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W/"/>
    </mc:Choice>
  </mc:AlternateContent>
  <xr:revisionPtr revIDLastSave="151" documentId="8_{C1AD2B0B-C116-4678-9017-10B555C8A88E}" xr6:coauthVersionLast="47" xr6:coauthVersionMax="47" xr10:uidLastSave="{21A60335-AA86-4085-954F-70E4106A0EAE}"/>
  <bookViews>
    <workbookView xWindow="-110" yWindow="-110" windowWidth="38620" windowHeight="21100" tabRatio="791" xr2:uid="{00000000-000D-0000-FFFF-FFFF00000000}"/>
  </bookViews>
  <sheets>
    <sheet name="RC RATING SUMMARY" sheetId="3" r:id="rId1"/>
    <sheet name="TRAFFIC &amp; ACCIDENTS" sheetId="11" r:id="rId2"/>
    <sheet name="STRUCTURE" sheetId="12" r:id="rId3"/>
    <sheet name="GEOMETRY" sheetId="13" r:id="rId4"/>
    <sheet name="Dev. Request" sheetId="9" r:id="rId5"/>
    <sheet name="USCS" sheetId="6" r:id="rId6"/>
  </sheets>
  <definedNames>
    <definedName name="_xlnm.Print_Area" localSheetId="3">GEOMETRY!$B$2:$N$39</definedName>
    <definedName name="_xlnm.Print_Area" localSheetId="0">'RC RATING SUMMARY'!#REF!,'RC RATING SUMMARY'!$B$3:$M$52</definedName>
    <definedName name="_xlnm.Print_Area" localSheetId="2">STRUCTURE!$B$4:$L$20,STRUCTURE!$B$26:$L$87,STRUCTURE!$B$90:$L$151</definedName>
    <definedName name="_xlnm.Print_Area" localSheetId="1">'TRAFFIC &amp; ACCIDENTS'!$B$4:$M$19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1" l="1"/>
  <c r="I48" i="11"/>
  <c r="G48" i="11"/>
  <c r="E48" i="11"/>
  <c r="J33" i="11"/>
  <c r="E33" i="11"/>
  <c r="M57" i="13" s="1"/>
  <c r="K24" i="3"/>
  <c r="I47" i="3"/>
  <c r="I20" i="3"/>
  <c r="X87" i="13" l="1"/>
  <c r="W87" i="13" s="1"/>
  <c r="X88" i="13"/>
  <c r="W88" i="13" s="1"/>
  <c r="X89" i="13"/>
  <c r="W89" i="13" s="1"/>
  <c r="F57" i="13"/>
  <c r="D75" i="11" l="1"/>
  <c r="D74" i="11"/>
  <c r="F73" i="11"/>
  <c r="D73" i="11"/>
  <c r="F72" i="11"/>
  <c r="D72" i="11"/>
  <c r="D70" i="11"/>
  <c r="D69" i="11"/>
  <c r="F68" i="11"/>
  <c r="D68" i="11"/>
  <c r="F67" i="11"/>
  <c r="D67" i="11"/>
  <c r="D65" i="11"/>
  <c r="I52" i="11"/>
  <c r="G52" i="11"/>
  <c r="E52" i="11"/>
  <c r="M45" i="11"/>
  <c r="M44" i="11"/>
  <c r="M43" i="11" s="1"/>
  <c r="M42" i="11" s="1"/>
  <c r="M41" i="11" s="1"/>
  <c r="M40" i="11" s="1"/>
  <c r="M39" i="11" s="1"/>
  <c r="M38" i="11" s="1"/>
  <c r="M37" i="11" s="1"/>
  <c r="M36" i="11" s="1"/>
  <c r="M35" i="11" s="1"/>
  <c r="N45" i="11"/>
  <c r="D71" i="11"/>
  <c r="K52" i="11" l="1"/>
  <c r="C54" i="11" s="1"/>
  <c r="G54" i="11" s="1"/>
  <c r="F69" i="11"/>
  <c r="F74" i="11"/>
  <c r="F65" i="11"/>
  <c r="F70" i="11"/>
  <c r="F75" i="11"/>
  <c r="D66" i="11"/>
  <c r="F66" i="11"/>
  <c r="F71" i="11"/>
  <c r="N44" i="11"/>
  <c r="N43" i="11" s="1"/>
  <c r="N42" i="11" s="1"/>
  <c r="N41" i="11" s="1"/>
  <c r="N40" i="11" s="1"/>
  <c r="N39" i="11" s="1"/>
  <c r="N38" i="11" s="1"/>
  <c r="N37" i="11" s="1"/>
  <c r="N36" i="11" s="1"/>
  <c r="N35" i="11" s="1"/>
  <c r="J37" i="11" s="1"/>
  <c r="K18" i="3" s="1"/>
  <c r="H72" i="11" l="1"/>
  <c r="H67" i="11"/>
  <c r="H71" i="11"/>
  <c r="H66" i="11"/>
  <c r="H68" i="11"/>
  <c r="H73" i="11"/>
  <c r="M75" i="11"/>
  <c r="M74" i="11" s="1"/>
  <c r="M73" i="11" s="1"/>
  <c r="M72" i="11" s="1"/>
  <c r="M71" i="11" s="1"/>
  <c r="M70" i="11" s="1"/>
  <c r="M69" i="11" s="1"/>
  <c r="M68" i="11" s="1"/>
  <c r="M67" i="11" s="1"/>
  <c r="M66" i="11" s="1"/>
  <c r="M65" i="11" s="1"/>
  <c r="K58" i="11" s="1"/>
  <c r="K19" i="3" s="1"/>
  <c r="H75" i="11"/>
  <c r="H70" i="11"/>
  <c r="H65" i="11"/>
  <c r="H74" i="11"/>
  <c r="H69" i="11"/>
  <c r="H111" i="13" l="1"/>
  <c r="E111" i="13"/>
  <c r="H110" i="13"/>
  <c r="E110" i="13"/>
  <c r="M132" i="13" s="1"/>
  <c r="H109" i="13"/>
  <c r="E109" i="13"/>
  <c r="C131" i="13" s="1"/>
  <c r="H108" i="13"/>
  <c r="E108" i="13"/>
  <c r="F108" i="13" s="1"/>
  <c r="G32" i="13" s="1"/>
  <c r="H107" i="13"/>
  <c r="E107" i="13"/>
  <c r="C129" i="13" s="1"/>
  <c r="H106" i="13"/>
  <c r="E106" i="13"/>
  <c r="H105" i="13"/>
  <c r="E105" i="13"/>
  <c r="F105" i="13" s="1"/>
  <c r="G29" i="13" s="1"/>
  <c r="H104" i="13"/>
  <c r="E104" i="13"/>
  <c r="M126" i="13" s="1"/>
  <c r="H103" i="13"/>
  <c r="E103" i="13"/>
  <c r="V158" i="13"/>
  <c r="H102" i="13"/>
  <c r="E102" i="13"/>
  <c r="M124" i="13" s="1"/>
  <c r="L124" i="13" s="1"/>
  <c r="K124" i="13" s="1"/>
  <c r="J124" i="13" s="1"/>
  <c r="I124" i="13" s="1"/>
  <c r="H124" i="13" s="1"/>
  <c r="G124" i="13" s="1"/>
  <c r="F124" i="13" s="1"/>
  <c r="E124" i="13" s="1"/>
  <c r="D124" i="13" s="1"/>
  <c r="V157" i="13"/>
  <c r="H101" i="13"/>
  <c r="E101" i="13"/>
  <c r="V156" i="13"/>
  <c r="H100" i="13"/>
  <c r="E100" i="13"/>
  <c r="M122" i="13" s="1"/>
  <c r="V155" i="13"/>
  <c r="H99" i="13"/>
  <c r="E99" i="13"/>
  <c r="M121" i="13" s="1"/>
  <c r="V154" i="13"/>
  <c r="H98" i="13"/>
  <c r="E98" i="13"/>
  <c r="V153" i="13"/>
  <c r="V152" i="13"/>
  <c r="V151" i="13"/>
  <c r="V150" i="13"/>
  <c r="V149" i="13"/>
  <c r="Q149" i="13"/>
  <c r="V148" i="13"/>
  <c r="Q148" i="13"/>
  <c r="V147" i="13"/>
  <c r="Q147" i="13"/>
  <c r="V146" i="13"/>
  <c r="V145" i="13"/>
  <c r="S89" i="13"/>
  <c r="S88" i="13"/>
  <c r="S87" i="13"/>
  <c r="Q139" i="13"/>
  <c r="S157" i="13" s="1"/>
  <c r="L81" i="13"/>
  <c r="K47" i="13"/>
  <c r="C47" i="13"/>
  <c r="K45" i="13"/>
  <c r="C45" i="13"/>
  <c r="F37" i="13"/>
  <c r="J148" i="12"/>
  <c r="C143" i="12"/>
  <c r="F143" i="12" s="1"/>
  <c r="C142" i="12"/>
  <c r="G142" i="12" s="1"/>
  <c r="C141" i="12"/>
  <c r="F141" i="12" s="1"/>
  <c r="C140" i="12"/>
  <c r="F140" i="12" s="1"/>
  <c r="I132" i="12"/>
  <c r="J132" i="12" s="1"/>
  <c r="K132" i="12" s="1"/>
  <c r="I131" i="12"/>
  <c r="J131" i="12" s="1"/>
  <c r="K131" i="12" s="1"/>
  <c r="I130" i="12"/>
  <c r="J130" i="12" s="1"/>
  <c r="K130" i="12" s="1"/>
  <c r="I129" i="12"/>
  <c r="J129" i="12" s="1"/>
  <c r="K129" i="12" s="1"/>
  <c r="I128" i="12"/>
  <c r="J128" i="12" s="1"/>
  <c r="K128" i="12" s="1"/>
  <c r="J119" i="12"/>
  <c r="J146" i="12" s="1"/>
  <c r="K86" i="12"/>
  <c r="K19" i="12"/>
  <c r="L19" i="12" s="1"/>
  <c r="C19" i="12"/>
  <c r="B19" i="12"/>
  <c r="K18" i="12"/>
  <c r="L18" i="12" s="1"/>
  <c r="C18" i="12"/>
  <c r="B18" i="12"/>
  <c r="K17" i="12"/>
  <c r="L17" i="12" s="1"/>
  <c r="C17" i="12"/>
  <c r="B17" i="12"/>
  <c r="K16" i="12"/>
  <c r="L16" i="12" s="1"/>
  <c r="C16" i="12"/>
  <c r="B16" i="12"/>
  <c r="C15" i="12"/>
  <c r="B15" i="12"/>
  <c r="P32" i="3"/>
  <c r="K32" i="3"/>
  <c r="I29" i="3"/>
  <c r="C132" i="13"/>
  <c r="C130" i="13"/>
  <c r="C133" i="13"/>
  <c r="M133" i="13"/>
  <c r="L133" i="13" s="1"/>
  <c r="K133" i="13" s="1"/>
  <c r="J133" i="13" s="1"/>
  <c r="I133" i="13" s="1"/>
  <c r="H133" i="13" s="1"/>
  <c r="G133" i="13" s="1"/>
  <c r="F133" i="13" s="1"/>
  <c r="E133" i="13" s="1"/>
  <c r="D133" i="13" s="1"/>
  <c r="F111" i="13"/>
  <c r="G35" i="13" s="1"/>
  <c r="C128" i="13"/>
  <c r="F106" i="13"/>
  <c r="G30" i="13" s="1"/>
  <c r="M123" i="13"/>
  <c r="L123" i="13" s="1"/>
  <c r="K123" i="13" s="1"/>
  <c r="J123" i="13" s="1"/>
  <c r="I123" i="13" s="1"/>
  <c r="H123" i="13" s="1"/>
  <c r="G123" i="13" s="1"/>
  <c r="F123" i="13" s="1"/>
  <c r="E123" i="13" s="1"/>
  <c r="D123" i="13" s="1"/>
  <c r="C123" i="13"/>
  <c r="F101" i="13"/>
  <c r="G25" i="13" s="1"/>
  <c r="M130" i="13"/>
  <c r="L130" i="13"/>
  <c r="K130" i="13" s="1"/>
  <c r="J130" i="13" s="1"/>
  <c r="I130" i="13" s="1"/>
  <c r="H130" i="13" s="1"/>
  <c r="G130" i="13" s="1"/>
  <c r="F130" i="13" s="1"/>
  <c r="E130" i="13" s="1"/>
  <c r="D130" i="13" s="1"/>
  <c r="C127" i="13"/>
  <c r="M127" i="13"/>
  <c r="L127" i="13"/>
  <c r="K127" i="13"/>
  <c r="J127" i="13" s="1"/>
  <c r="I127" i="13" s="1"/>
  <c r="H127" i="13" s="1"/>
  <c r="G127" i="13" s="1"/>
  <c r="F127" i="13" s="1"/>
  <c r="E127" i="13" s="1"/>
  <c r="D127" i="13" s="1"/>
  <c r="F110" i="13"/>
  <c r="G34" i="13" s="1"/>
  <c r="M125" i="13"/>
  <c r="L125" i="13" s="1"/>
  <c r="K125" i="13" s="1"/>
  <c r="J125" i="13" s="1"/>
  <c r="I125" i="13" s="1"/>
  <c r="H125" i="13" s="1"/>
  <c r="G125" i="13" s="1"/>
  <c r="F125" i="13" s="1"/>
  <c r="E125" i="13" s="1"/>
  <c r="D125" i="13" s="1"/>
  <c r="C125" i="13"/>
  <c r="F103" i="13"/>
  <c r="G27" i="13" s="1"/>
  <c r="G143" i="12" l="1"/>
  <c r="F104" i="13"/>
  <c r="G28" i="13" s="1"/>
  <c r="C126" i="13"/>
  <c r="L126" i="13"/>
  <c r="K126" i="13" s="1"/>
  <c r="J126" i="13" s="1"/>
  <c r="I126" i="13" s="1"/>
  <c r="H126" i="13" s="1"/>
  <c r="G126" i="13" s="1"/>
  <c r="F126" i="13" s="1"/>
  <c r="E126" i="13" s="1"/>
  <c r="D126" i="13" s="1"/>
  <c r="G140" i="12"/>
  <c r="B20" i="12"/>
  <c r="C20" i="12" s="1"/>
  <c r="P34" i="3" s="1"/>
  <c r="K31" i="3" s="1"/>
  <c r="K134" i="12"/>
  <c r="F142" i="12"/>
  <c r="J149" i="12" s="1"/>
  <c r="L20" i="12"/>
  <c r="K20" i="12" s="1"/>
  <c r="P36" i="3" s="1"/>
  <c r="K33" i="3" s="1"/>
  <c r="G141" i="12"/>
  <c r="G144" i="12" s="1"/>
  <c r="K133" i="12"/>
  <c r="J133" i="12" s="1"/>
  <c r="J147" i="12" s="1"/>
  <c r="K29" i="3"/>
  <c r="I34" i="3"/>
  <c r="F114" i="13"/>
  <c r="S156" i="13"/>
  <c r="R156" i="13" s="1"/>
  <c r="F102" i="13"/>
  <c r="G26" i="13" s="1"/>
  <c r="M131" i="13"/>
  <c r="L131" i="13" s="1"/>
  <c r="K131" i="13" s="1"/>
  <c r="J131" i="13" s="1"/>
  <c r="I131" i="13" s="1"/>
  <c r="H131" i="13" s="1"/>
  <c r="G131" i="13" s="1"/>
  <c r="F131" i="13" s="1"/>
  <c r="E131" i="13" s="1"/>
  <c r="D131" i="13" s="1"/>
  <c r="F109" i="13"/>
  <c r="G33" i="13" s="1"/>
  <c r="C124" i="13"/>
  <c r="F107" i="13"/>
  <c r="G31" i="13" s="1"/>
  <c r="H112" i="13"/>
  <c r="H113" i="13" s="1"/>
  <c r="L80" i="13" s="1"/>
  <c r="L82" i="13" s="1"/>
  <c r="L132" i="13"/>
  <c r="K132" i="13" s="1"/>
  <c r="J132" i="13" s="1"/>
  <c r="I132" i="13" s="1"/>
  <c r="H132" i="13" s="1"/>
  <c r="G132" i="13" s="1"/>
  <c r="F132" i="13" s="1"/>
  <c r="E132" i="13" s="1"/>
  <c r="D132" i="13" s="1"/>
  <c r="S155" i="13"/>
  <c r="R155" i="13" s="1"/>
  <c r="F100" i="13"/>
  <c r="G24" i="13" s="1"/>
  <c r="C122" i="13"/>
  <c r="M128" i="13"/>
  <c r="L128" i="13" s="1"/>
  <c r="K128" i="13" s="1"/>
  <c r="J128" i="13" s="1"/>
  <c r="I128" i="13" s="1"/>
  <c r="H128" i="13" s="1"/>
  <c r="G128" i="13" s="1"/>
  <c r="F128" i="13" s="1"/>
  <c r="E128" i="13" s="1"/>
  <c r="D128" i="13" s="1"/>
  <c r="M129" i="13"/>
  <c r="L129" i="13" s="1"/>
  <c r="K129" i="13" s="1"/>
  <c r="J129" i="13" s="1"/>
  <c r="I129" i="13" s="1"/>
  <c r="H129" i="13" s="1"/>
  <c r="G129" i="13" s="1"/>
  <c r="F129" i="13" s="1"/>
  <c r="E129" i="13" s="1"/>
  <c r="D129" i="13" s="1"/>
  <c r="L121" i="13"/>
  <c r="K121" i="13" s="1"/>
  <c r="J121" i="13" s="1"/>
  <c r="I121" i="13" s="1"/>
  <c r="H121" i="13" s="1"/>
  <c r="G121" i="13" s="1"/>
  <c r="F121" i="13" s="1"/>
  <c r="E121" i="13" s="1"/>
  <c r="D121" i="13" s="1"/>
  <c r="C121" i="13" s="1"/>
  <c r="F99" i="13" s="1"/>
  <c r="G23" i="13" s="1"/>
  <c r="L122" i="13"/>
  <c r="K122" i="13" s="1"/>
  <c r="J122" i="13" s="1"/>
  <c r="I122" i="13" s="1"/>
  <c r="H122" i="13" s="1"/>
  <c r="G122" i="13" s="1"/>
  <c r="F122" i="13" s="1"/>
  <c r="E122" i="13" s="1"/>
  <c r="D122" i="13" s="1"/>
  <c r="R157" i="13"/>
  <c r="Q157" i="13" s="1"/>
  <c r="Q156" i="13" s="1"/>
  <c r="Q155" i="13" s="1"/>
  <c r="S152" i="13" s="1"/>
  <c r="V89" i="13"/>
  <c r="M120" i="13"/>
  <c r="L120" i="13" s="1"/>
  <c r="K120" i="13" s="1"/>
  <c r="J120" i="13" s="1"/>
  <c r="I120" i="13" s="1"/>
  <c r="H120" i="13" s="1"/>
  <c r="G120" i="13" s="1"/>
  <c r="F120" i="13" s="1"/>
  <c r="E120" i="13" s="1"/>
  <c r="D120" i="13" s="1"/>
  <c r="C120" i="13" s="1"/>
  <c r="F98" i="13" s="1"/>
  <c r="K135" i="12" l="1"/>
  <c r="F144" i="12"/>
  <c r="J151" i="12"/>
  <c r="K34" i="3"/>
  <c r="K35" i="3" s="1"/>
  <c r="W145" i="13"/>
  <c r="AA145" i="13" s="1"/>
  <c r="W155" i="13"/>
  <c r="AA155" i="13" s="1"/>
  <c r="Z155" i="13" s="1"/>
  <c r="Y155" i="13" s="1"/>
  <c r="W152" i="13"/>
  <c r="X152" i="13" s="1"/>
  <c r="W157" i="13"/>
  <c r="AA157" i="13" s="1"/>
  <c r="Z157" i="13" s="1"/>
  <c r="Y157" i="13" s="1"/>
  <c r="W147" i="13"/>
  <c r="AA147" i="13" s="1"/>
  <c r="Z147" i="13" s="1"/>
  <c r="Y147" i="13" s="1"/>
  <c r="W153" i="13"/>
  <c r="AA153" i="13" s="1"/>
  <c r="Z153" i="13" s="1"/>
  <c r="Y153" i="13" s="1"/>
  <c r="W156" i="13"/>
  <c r="X156" i="13" s="1"/>
  <c r="W149" i="13"/>
  <c r="X149" i="13" s="1"/>
  <c r="W146" i="13"/>
  <c r="X146" i="13" s="1"/>
  <c r="W151" i="13"/>
  <c r="X151" i="13" s="1"/>
  <c r="W158" i="13"/>
  <c r="X158" i="13" s="1"/>
  <c r="W148" i="13"/>
  <c r="X148" i="13" s="1"/>
  <c r="W150" i="13"/>
  <c r="X150" i="13" s="1"/>
  <c r="W154" i="13"/>
  <c r="X154" i="13" s="1"/>
  <c r="V88" i="13"/>
  <c r="V87" i="13" s="1"/>
  <c r="V91" i="13" s="1"/>
  <c r="G22" i="13"/>
  <c r="G105" i="13" l="1"/>
  <c r="I105" i="13" s="1"/>
  <c r="L58" i="13"/>
  <c r="L57" i="13"/>
  <c r="K58" i="13" s="1"/>
  <c r="E58" i="13"/>
  <c r="E57" i="13" s="1"/>
  <c r="D58" i="13" s="1"/>
  <c r="D57" i="13" s="1"/>
  <c r="C58" i="13" s="1"/>
  <c r="C57" i="13" s="1"/>
  <c r="C51" i="13" s="1"/>
  <c r="N6" i="13" s="1"/>
  <c r="AA152" i="13"/>
  <c r="Z152" i="13" s="1"/>
  <c r="Y152" i="13" s="1"/>
  <c r="X155" i="13"/>
  <c r="X157" i="13"/>
  <c r="AA158" i="13"/>
  <c r="Z158" i="13" s="1"/>
  <c r="Y158" i="13" s="1"/>
  <c r="K20" i="3"/>
  <c r="X147" i="13"/>
  <c r="AA148" i="13"/>
  <c r="Z148" i="13" s="1"/>
  <c r="Y148" i="13" s="1"/>
  <c r="AA146" i="13"/>
  <c r="Z146" i="13" s="1"/>
  <c r="Y146" i="13" s="1"/>
  <c r="AA156" i="13"/>
  <c r="Z156" i="13" s="1"/>
  <c r="Y156" i="13" s="1"/>
  <c r="AA149" i="13"/>
  <c r="Z149" i="13" s="1"/>
  <c r="Y149" i="13" s="1"/>
  <c r="AA151" i="13"/>
  <c r="Z151" i="13" s="1"/>
  <c r="Y151" i="13" s="1"/>
  <c r="G102" i="13"/>
  <c r="I102" i="13" s="1"/>
  <c r="X153" i="13"/>
  <c r="AA150" i="13"/>
  <c r="Z150" i="13" s="1"/>
  <c r="Y150" i="13" s="1"/>
  <c r="G104" i="13"/>
  <c r="I104" i="13" s="1"/>
  <c r="G108" i="13"/>
  <c r="I108" i="13" s="1"/>
  <c r="G100" i="13"/>
  <c r="I100" i="13" s="1"/>
  <c r="G98" i="13"/>
  <c r="I98" i="13" s="1"/>
  <c r="G103" i="13"/>
  <c r="I103" i="13" s="1"/>
  <c r="AA154" i="13"/>
  <c r="Z154" i="13" s="1"/>
  <c r="Y154" i="13" s="1"/>
  <c r="G101" i="13"/>
  <c r="I101" i="13" s="1"/>
  <c r="G106" i="13"/>
  <c r="I106" i="13" s="1"/>
  <c r="G107" i="13"/>
  <c r="I107" i="13" s="1"/>
  <c r="H9" i="13"/>
  <c r="G111" i="13"/>
  <c r="I111" i="13" s="1"/>
  <c r="G110" i="13"/>
  <c r="I110" i="13" s="1"/>
  <c r="G99" i="13"/>
  <c r="I99" i="13" s="1"/>
  <c r="G109" i="13"/>
  <c r="I109" i="13" s="1"/>
  <c r="Z145" i="13"/>
  <c r="K57" i="13" l="1"/>
  <c r="J58" i="13" s="1"/>
  <c r="J57" i="13" s="1"/>
  <c r="K51" i="13" s="1"/>
  <c r="H23" i="13"/>
  <c r="F23" i="13" s="1"/>
  <c r="B25" i="13"/>
  <c r="B33" i="13"/>
  <c r="B28" i="13"/>
  <c r="B31" i="13"/>
  <c r="B32" i="13"/>
  <c r="B26" i="13"/>
  <c r="B34" i="13"/>
  <c r="B27" i="13"/>
  <c r="B35" i="13"/>
  <c r="B22" i="13"/>
  <c r="B24" i="13"/>
  <c r="B29" i="13"/>
  <c r="B30" i="13"/>
  <c r="B23" i="13"/>
  <c r="M23" i="13"/>
  <c r="M24" i="13"/>
  <c r="H22" i="13"/>
  <c r="F22" i="13" s="1"/>
  <c r="L25" i="13"/>
  <c r="L33" i="13"/>
  <c r="H31" i="13"/>
  <c r="L32" i="13"/>
  <c r="M31" i="13"/>
  <c r="L34" i="13"/>
  <c r="M33" i="13"/>
  <c r="J43" i="3" s="1"/>
  <c r="L24" i="13"/>
  <c r="H28" i="13"/>
  <c r="M35" i="13"/>
  <c r="L29" i="13"/>
  <c r="L28" i="13"/>
  <c r="M30" i="13"/>
  <c r="L26" i="13"/>
  <c r="H27" i="13"/>
  <c r="F33" i="13"/>
  <c r="F25" i="13"/>
  <c r="F32" i="13"/>
  <c r="F24" i="13"/>
  <c r="F31" i="13"/>
  <c r="F30" i="13"/>
  <c r="F28" i="13"/>
  <c r="F27" i="13"/>
  <c r="F26" i="13"/>
  <c r="F29" i="13"/>
  <c r="F35" i="13"/>
  <c r="F34" i="13"/>
  <c r="H32" i="13"/>
  <c r="H35" i="13"/>
  <c r="H30" i="13"/>
  <c r="M22" i="13"/>
  <c r="L22" i="13" s="1"/>
  <c r="L31" i="13"/>
  <c r="M26" i="13"/>
  <c r="H29" i="13"/>
  <c r="M27" i="13"/>
  <c r="H25" i="13"/>
  <c r="M28" i="13"/>
  <c r="H33" i="13"/>
  <c r="M29" i="13"/>
  <c r="H34" i="13"/>
  <c r="L35" i="13"/>
  <c r="H24" i="13"/>
  <c r="H26" i="13"/>
  <c r="I112" i="13"/>
  <c r="G117" i="13" s="1"/>
  <c r="L86" i="13" s="1"/>
  <c r="L30" i="13"/>
  <c r="L27" i="13"/>
  <c r="J40" i="3"/>
  <c r="M32" i="13"/>
  <c r="L23" i="13"/>
  <c r="J18" i="13"/>
  <c r="M34" i="13"/>
  <c r="F68" i="13"/>
  <c r="F67" i="13" s="1"/>
  <c r="F66" i="13" s="1"/>
  <c r="F65" i="13" s="1"/>
  <c r="F64" i="13" s="1"/>
  <c r="F63" i="13" s="1"/>
  <c r="F62" i="13" s="1"/>
  <c r="Q42" i="3" s="1"/>
  <c r="M25" i="13"/>
  <c r="Y145" i="13"/>
  <c r="N7" i="13" l="1"/>
  <c r="J41" i="3" s="1"/>
  <c r="M68" i="13"/>
  <c r="M67" i="13" s="1"/>
  <c r="M66" i="13" s="1"/>
  <c r="M65" i="13" s="1"/>
  <c r="M64" i="13" s="1"/>
  <c r="M63" i="13" s="1"/>
  <c r="Q43" i="3" s="1"/>
  <c r="F36" i="13"/>
  <c r="D18" i="13" s="1"/>
  <c r="X145" i="13"/>
  <c r="X159" i="13" s="1"/>
  <c r="Y159" i="13" s="1"/>
  <c r="Z159" i="13" s="1"/>
  <c r="AA159" i="13" s="1"/>
  <c r="K156" i="13" s="1"/>
  <c r="P42" i="3"/>
  <c r="K40" i="3" s="1"/>
  <c r="L36" i="13"/>
  <c r="M62" i="13" l="1"/>
  <c r="P43" i="3" s="1"/>
  <c r="K41" i="3" s="1"/>
  <c r="K42" i="3"/>
  <c r="B37" i="13"/>
  <c r="C37" i="13" s="1"/>
  <c r="J42" i="3"/>
  <c r="J19" i="13"/>
  <c r="K43" i="3" s="1"/>
  <c r="K44" i="3" l="1"/>
  <c r="K47" i="3" s="1"/>
</calcChain>
</file>

<file path=xl/sharedStrings.xml><?xml version="1.0" encoding="utf-8"?>
<sst xmlns="http://schemas.openxmlformats.org/spreadsheetml/2006/main" count="603" uniqueCount="448">
  <si>
    <t>Possible</t>
  </si>
  <si>
    <t xml:space="preserve">Scored </t>
  </si>
  <si>
    <t xml:space="preserve">                                                                      </t>
  </si>
  <si>
    <t>Points</t>
  </si>
  <si>
    <t xml:space="preserve"> </t>
  </si>
  <si>
    <t>Subtotal</t>
  </si>
  <si>
    <t>GRAVEL</t>
  </si>
  <si>
    <t>SURFACED</t>
  </si>
  <si>
    <t>Surface Condition</t>
  </si>
  <si>
    <t>Drainage</t>
  </si>
  <si>
    <t>Subsurface Condition</t>
  </si>
  <si>
    <t xml:space="preserve">Note: </t>
  </si>
  <si>
    <t xml:space="preserve"> -Proposals below design standards require WSDOT deviation approval.</t>
  </si>
  <si>
    <t>Calculation Table</t>
  </si>
  <si>
    <t>CALC</t>
  </si>
  <si>
    <t>AADT</t>
  </si>
  <si>
    <t>TRUCK AADT</t>
  </si>
  <si>
    <t>POINTS</t>
  </si>
  <si>
    <t>=</t>
  </si>
  <si>
    <t>Total</t>
  </si>
  <si>
    <t xml:space="preserve">  </t>
  </si>
  <si>
    <t>(Page to be filled out by RAP Engineer)</t>
  </si>
  <si>
    <t>(Intermediate values on scales are acceptable)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</si>
  <si>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</si>
  <si>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</si>
  <si>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</si>
  <si>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</si>
  <si>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</si>
  <si>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 xml:space="preserve"> slick or porous areas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</si>
  <si>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</si>
  <si>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</si>
  <si>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</si>
  <si>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</si>
  <si>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</si>
  <si>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</si>
  <si>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</si>
  <si>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</si>
  <si>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</si>
  <si>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</si>
  <si>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</si>
  <si>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</si>
  <si>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</si>
  <si>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</si>
  <si>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</si>
  <si>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</si>
  <si>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*  Intermediate values are acceptable</t>
  </si>
  <si>
    <t xml:space="preserve">2. DRAINAGE (15 pts Max)  </t>
  </si>
  <si>
    <t>Good/Adequate = 2</t>
  </si>
  <si>
    <t xml:space="preserve">   Fair = 7</t>
  </si>
  <si>
    <t>Poor = 15</t>
  </si>
  <si>
    <t xml:space="preserve">No signs of displacement or settling                   </t>
  </si>
  <si>
    <t xml:space="preserve">Minor localized sags along shoulder                    </t>
  </si>
  <si>
    <t xml:space="preserve">Moderate alligator cracking mid lane, some sags on </t>
  </si>
  <si>
    <t xml:space="preserve">     shoulders and  mid lane, minor localized settling</t>
  </si>
  <si>
    <t xml:space="preserve">Large areas of heavy alligator cracking, </t>
  </si>
  <si>
    <t xml:space="preserve">     extensive sagging and settling.</t>
  </si>
  <si>
    <t>Very Poor</t>
  </si>
  <si>
    <t xml:space="preserve">Major subgrade deterioration;  extensive deep sags and  </t>
  </si>
  <si>
    <t xml:space="preserve">     settling;  heavy alligator cracking throughout section.</t>
  </si>
  <si>
    <t>Structural Condition - Paved Only</t>
  </si>
  <si>
    <t>(Note: Round rating to nearest whole number)</t>
  </si>
  <si>
    <t>Adequate amount of surface material of proper gradation</t>
  </si>
  <si>
    <t>and well fractured.</t>
  </si>
  <si>
    <t>Some material but over sized gradation or poorly</t>
  </si>
  <si>
    <t xml:space="preserve"> fractured.</t>
  </si>
  <si>
    <t>No surface material, large loose stones, barely travelable.</t>
  </si>
  <si>
    <t xml:space="preserve">If traffic volumes and speed are such that excessive maintenance is </t>
  </si>
  <si>
    <t>required, a maximum rating may be applied.</t>
  </si>
  <si>
    <t>POINTS:</t>
  </si>
  <si>
    <t>&gt; 2000</t>
  </si>
  <si>
    <t>Proposed</t>
  </si>
  <si>
    <t>Design</t>
  </si>
  <si>
    <t>(Use stopping sight distance standard)</t>
  </si>
  <si>
    <t>Terrain</t>
  </si>
  <si>
    <t>Minimum Des. Speed Calc. Table</t>
  </si>
  <si>
    <r>
      <t xml:space="preserve">Length of substandard vertical curves in miles, </t>
    </r>
    <r>
      <rPr>
        <b/>
        <sz val="10"/>
        <rFont val="MS Sans Serif"/>
        <family val="2"/>
      </rPr>
      <t>CL</t>
    </r>
  </si>
  <si>
    <t>Flat</t>
  </si>
  <si>
    <r>
      <t xml:space="preserve">Project length in miles, </t>
    </r>
    <r>
      <rPr>
        <b/>
        <sz val="10"/>
        <rFont val="MS Sans Serif"/>
        <family val="2"/>
      </rPr>
      <t>PL</t>
    </r>
  </si>
  <si>
    <t>Rolling</t>
  </si>
  <si>
    <t>CL/PL</t>
  </si>
  <si>
    <t>%</t>
  </si>
  <si>
    <t>Mountainous</t>
  </si>
  <si>
    <t>Minimum Design Speed</t>
  </si>
  <si>
    <t>Speed</t>
  </si>
  <si>
    <t>PROJECT LENGTH</t>
  </si>
  <si>
    <t>FLAT</t>
  </si>
  <si>
    <t>ROLLING</t>
  </si>
  <si>
    <t>MOUNTAINOUS</t>
  </si>
  <si>
    <t>Exist.</t>
  </si>
  <si>
    <t>Curve No.</t>
  </si>
  <si>
    <t>Sight</t>
  </si>
  <si>
    <t>Distance</t>
  </si>
  <si>
    <t>TRUCK ADT</t>
  </si>
  <si>
    <t>From CRAB</t>
  </si>
  <si>
    <t>III. VERTICAL ALIGNMENT (10 Pts. Max.)</t>
  </si>
  <si>
    <t>1)</t>
  </si>
  <si>
    <r>
      <t xml:space="preserve">Determine safe speed - </t>
    </r>
    <r>
      <rPr>
        <b/>
        <sz val="10"/>
        <rFont val="MS Sans Serif"/>
        <family val="2"/>
      </rPr>
      <t>Vs</t>
    </r>
  </si>
  <si>
    <t>Safe</t>
  </si>
  <si>
    <t>Vs</t>
  </si>
  <si>
    <t>Vd</t>
  </si>
  <si>
    <t>Project Length in Miles</t>
  </si>
  <si>
    <t>Curve</t>
  </si>
  <si>
    <t>Length of</t>
  </si>
  <si>
    <t>Percent</t>
  </si>
  <si>
    <t>of</t>
  </si>
  <si>
    <t>Project</t>
  </si>
  <si>
    <t>Points Calculation:</t>
  </si>
  <si>
    <t>=%/2</t>
  </si>
  <si>
    <t>miles</t>
  </si>
  <si>
    <t>feet</t>
  </si>
  <si>
    <t xml:space="preserve"> -Points for the Structural Condition of Roads will be assigned by the RAP engineer</t>
  </si>
  <si>
    <t xml:space="preserve"> -No points are allowed for conditions which will not be improved by the proposed project</t>
  </si>
  <si>
    <t>VERTICAL CURVES:</t>
  </si>
  <si>
    <t>Curve, ft</t>
  </si>
  <si>
    <t>(check one)</t>
  </si>
  <si>
    <t>(Surface Condition and Drainage points to be filled out by RAP Engineer)</t>
  </si>
  <si>
    <t>Scored By CRAB</t>
  </si>
  <si>
    <t>Visual Surface Score</t>
  </si>
  <si>
    <t>from CRAB</t>
  </si>
  <si>
    <t>2. DRAINAGE  (10 Points Max.)</t>
  </si>
  <si>
    <t>3. BASE OR FOUNDATION CONDITION  (15 Points Max)</t>
  </si>
  <si>
    <t>Submit Test procedure and/or Data</t>
  </si>
  <si>
    <t>By Cores:  Dig or excavate down 3 ft with backhoe or auger.</t>
  </si>
  <si>
    <t xml:space="preserve"> Analyze material below surfacing.</t>
  </si>
  <si>
    <t>From Road Log</t>
  </si>
  <si>
    <t>CLASS</t>
  </si>
  <si>
    <t>SELECT ONE:</t>
  </si>
  <si>
    <t>T6 or T7</t>
  </si>
  <si>
    <t>T5</t>
  </si>
  <si>
    <t>T4</t>
  </si>
  <si>
    <t>T3</t>
  </si>
  <si>
    <t>Base</t>
  </si>
  <si>
    <t>Truck Rating</t>
  </si>
  <si>
    <t>Add 2 pts if:</t>
  </si>
  <si>
    <t>F/C = 07</t>
  </si>
  <si>
    <t>TOTAL GRAVEL STRUCTURAL RATING</t>
  </si>
  <si>
    <t>3. Freight and Goods Class</t>
  </si>
  <si>
    <t>SILT WITH CLAYS</t>
  </si>
  <si>
    <t>POSSIBLE:</t>
  </si>
  <si>
    <t>SCORE</t>
  </si>
  <si>
    <t>SELECTED:</t>
  </si>
  <si>
    <t>Intermediate values are acceptible</t>
  </si>
  <si>
    <t>Drainage Score</t>
  </si>
  <si>
    <t>SCORE:</t>
  </si>
  <si>
    <t>Visual Rating</t>
  </si>
  <si>
    <t>STRUCTURAL CONDITION:</t>
  </si>
  <si>
    <t>Subsurface or Soils</t>
  </si>
  <si>
    <t>*F&amp;G Truck Class</t>
  </si>
  <si>
    <t>Surfaced</t>
  </si>
  <si>
    <t>OR</t>
  </si>
  <si>
    <t>Visual</t>
  </si>
  <si>
    <t>Cores</t>
  </si>
  <si>
    <t>F&amp;G</t>
  </si>
  <si>
    <t>F/C</t>
  </si>
  <si>
    <t>FUNCTIONAL CLASS</t>
  </si>
  <si>
    <t>ACCIDENTS</t>
  </si>
  <si>
    <t>TERRAIN</t>
  </si>
  <si>
    <t>possible</t>
  </si>
  <si>
    <t>scored</t>
  </si>
  <si>
    <t>COUNTY</t>
  </si>
  <si>
    <t>PROJECT NAME</t>
  </si>
  <si>
    <t>ACP, BST, PCC</t>
  </si>
  <si>
    <t>(Surfaced)</t>
  </si>
  <si>
    <t>Gravel, Earth</t>
  </si>
  <si>
    <t>(Unsurfaced)</t>
  </si>
  <si>
    <t>Unsurfaced</t>
  </si>
  <si>
    <t>Total Visual Score</t>
  </si>
  <si>
    <t>PROPOSED</t>
  </si>
  <si>
    <t>Width Reduction Calcs</t>
  </si>
  <si>
    <t>EXISTING</t>
  </si>
  <si>
    <t>REFERRENCE TABLES</t>
  </si>
  <si>
    <t>COLLECTORS</t>
  </si>
  <si>
    <t>ROADBED WIDTH</t>
  </si>
  <si>
    <t>DESIGN</t>
  </si>
  <si>
    <t>LANE WIDTHS PER ADT</t>
  </si>
  <si>
    <t>SHOULDER WIDTHS PER ADT</t>
  </si>
  <si>
    <t>SPEED</t>
  </si>
  <si>
    <t>&lt; 400</t>
  </si>
  <si>
    <t>400 - 1500</t>
  </si>
  <si>
    <t>1500 - 2000</t>
  </si>
  <si>
    <t>Existing Roadbed Width</t>
  </si>
  <si>
    <t>ALL SPEEDS</t>
  </si>
  <si>
    <t>Proposed Roadbed Width</t>
  </si>
  <si>
    <t>ARTERIALS</t>
  </si>
  <si>
    <t>Design Roadbed Width, AASHTO</t>
  </si>
  <si>
    <t>Design Pavement Width, AASHTO</t>
  </si>
  <si>
    <t>AASHTO</t>
  </si>
  <si>
    <t>Date</t>
  </si>
  <si>
    <t>SAND</t>
  </si>
  <si>
    <t>CLAY</t>
  </si>
  <si>
    <t>ORGANIC</t>
  </si>
  <si>
    <t>SILT</t>
  </si>
  <si>
    <t>GW, GP, GM, GC</t>
  </si>
  <si>
    <t>SW, SP, SM, SC</t>
  </si>
  <si>
    <t>ML, MH</t>
  </si>
  <si>
    <t>CL, CH</t>
  </si>
  <si>
    <t>OL, OH</t>
  </si>
  <si>
    <t>MAJOR DIVISIONS</t>
  </si>
  <si>
    <t>GROUP SYMBOL</t>
  </si>
  <si>
    <t>GROUP NAME</t>
  </si>
  <si>
    <t>COARSE GRAINED SOILS MORE THAN 50% RETAINED ON NO.200 SIEVE</t>
  </si>
  <si>
    <t>GRAVEL MORE THAN 50% OF COARSE FRACTION RETAINED ON NO.4 SIEVE</t>
  </si>
  <si>
    <t>CLEAN GRAVEL</t>
  </si>
  <si>
    <t>GW</t>
  </si>
  <si>
    <t>WELL-GRADED GRAVEL, FINE TO COARSE GRAVEL</t>
  </si>
  <si>
    <t>GP</t>
  </si>
  <si>
    <t>POORLY-GRADED GRAVEL</t>
  </si>
  <si>
    <t>GRAVEL WITH FINES</t>
  </si>
  <si>
    <t>GM</t>
  </si>
  <si>
    <t>SILTY GRAVEL</t>
  </si>
  <si>
    <t>GC</t>
  </si>
  <si>
    <t>CLAYEY GRAVEL</t>
  </si>
  <si>
    <t>SAND MORE THAN 50% OF COARSE FRACTION PASSES NO.4 SIEVE</t>
  </si>
  <si>
    <t>CLEAN SAND</t>
  </si>
  <si>
    <t>SW</t>
  </si>
  <si>
    <t>WELL-GRADED SAND, FINE TO COARSE SAND</t>
  </si>
  <si>
    <t>SP</t>
  </si>
  <si>
    <t>POORLY-GRADED SAND</t>
  </si>
  <si>
    <t>SAND WITH FINES</t>
  </si>
  <si>
    <t>SM</t>
  </si>
  <si>
    <t>SILTY SAND</t>
  </si>
  <si>
    <t>SC</t>
  </si>
  <si>
    <t>CLAYEY SAND</t>
  </si>
  <si>
    <t>FINE GRAINED SOILS MORE THAN 50% PASSES NO.200 SIEVE</t>
  </si>
  <si>
    <t>SILT AND CLAY LIQUID LIMIT LESS THAN 50</t>
  </si>
  <si>
    <t>INORGANIC</t>
  </si>
  <si>
    <t>ML</t>
  </si>
  <si>
    <t>CL</t>
  </si>
  <si>
    <t>OL</t>
  </si>
  <si>
    <t>ORGANIC SILT, ORGANIC CLAY</t>
  </si>
  <si>
    <t>SILT AND CLAY LIQUID LIMIT 50 OR MORE</t>
  </si>
  <si>
    <t>MH</t>
  </si>
  <si>
    <t>SILT OF HIGH PLASTICITY, ELASTIC SILT</t>
  </si>
  <si>
    <t>CH</t>
  </si>
  <si>
    <t>CLAY OF HIGH PLASTICITY, FAT CLAY</t>
  </si>
  <si>
    <t>OH</t>
  </si>
  <si>
    <t>ORGANIC CLAY, ORGANIC SILT</t>
  </si>
  <si>
    <t>HIGHLY ORGANIC SOILS</t>
  </si>
  <si>
    <t>PT</t>
  </si>
  <si>
    <t>PEAT</t>
  </si>
  <si>
    <t>07 Functional Class for Gravel Road</t>
  </si>
  <si>
    <t>Improved</t>
  </si>
  <si>
    <t>Exist Sight</t>
  </si>
  <si>
    <t>Exist. Safe</t>
  </si>
  <si>
    <t>Exist. Surface Type</t>
  </si>
  <si>
    <t>1.</t>
  </si>
  <si>
    <t>2.</t>
  </si>
  <si>
    <t>Visual:</t>
  </si>
  <si>
    <t>Curve #</t>
  </si>
  <si>
    <t>Avg.</t>
  </si>
  <si>
    <t>CHECK ONE:</t>
  </si>
  <si>
    <t>Cum.</t>
  </si>
  <si>
    <t>Deficient Length</t>
  </si>
  <si>
    <t>weighted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</si>
  <si>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</si>
  <si>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</si>
  <si>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</si>
  <si>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</si>
  <si>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</si>
  <si>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</si>
  <si>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</si>
  <si>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</si>
  <si>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</si>
  <si>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</si>
  <si>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</si>
  <si>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</si>
  <si>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</si>
  <si>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</si>
  <si>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</si>
  <si>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</si>
  <si>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</si>
  <si>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>Dev. From Design:</t>
  </si>
  <si>
    <t>PTS:</t>
  </si>
  <si>
    <t>Scored:</t>
  </si>
  <si>
    <t>LANE WIDTH</t>
  </si>
  <si>
    <t>Existing LANE Width</t>
  </si>
  <si>
    <t>Proposed LANE Width</t>
  </si>
  <si>
    <r>
      <t xml:space="preserve">COLLECTOR </t>
    </r>
    <r>
      <rPr>
        <b/>
        <u/>
        <sz val="10"/>
        <color indexed="10"/>
        <rFont val="MS Sans Serif"/>
        <family val="2"/>
      </rPr>
      <t>SHOULDER</t>
    </r>
    <r>
      <rPr>
        <b/>
        <u/>
        <sz val="10"/>
        <rFont val="MS Sans Serif"/>
        <family val="2"/>
      </rPr>
      <t xml:space="preserve"> WIDTHS</t>
    </r>
  </si>
  <si>
    <r>
      <t>COLLECTOR</t>
    </r>
    <r>
      <rPr>
        <b/>
        <u/>
        <sz val="10"/>
        <color indexed="10"/>
        <rFont val="MS Sans Serif"/>
        <family val="2"/>
      </rPr>
      <t xml:space="preserve"> LANE </t>
    </r>
    <r>
      <rPr>
        <b/>
        <u/>
        <sz val="10"/>
        <rFont val="MS Sans Serif"/>
        <family val="2"/>
      </rPr>
      <t>WIDTHS</t>
    </r>
  </si>
  <si>
    <t>UNREDUCED VERTICAL ALIGNMENT SUBTOTAL</t>
  </si>
  <si>
    <t>See USCS sheet</t>
  </si>
  <si>
    <t>STRUCTURAL RATING:</t>
  </si>
  <si>
    <r>
      <t xml:space="preserve">LIST  ALL  </t>
    </r>
    <r>
      <rPr>
        <b/>
        <sz val="12"/>
        <color indexed="10"/>
        <rFont val="MS Sans Serif"/>
      </rPr>
      <t>DEFICIENT</t>
    </r>
    <r>
      <rPr>
        <b/>
        <sz val="10"/>
        <color indexed="10"/>
        <rFont val="MS Sans Serif"/>
        <family val="2"/>
      </rPr>
      <t xml:space="preserve">  CURVES</t>
    </r>
  </si>
  <si>
    <t>1. SURFACE CONDITION (15 Points Max.)</t>
  </si>
  <si>
    <t>3. SUBSURFACE CONDITION (25 pts Max)</t>
  </si>
  <si>
    <t>DESCRIPTIONS:</t>
  </si>
  <si>
    <r>
      <t xml:space="preserve">(3R) =One or more curves on existing roadway </t>
    </r>
    <r>
      <rPr>
        <b/>
        <sz val="10"/>
        <color indexed="10"/>
        <rFont val="Arial"/>
        <family val="2"/>
      </rPr>
      <t>&gt; 15 mph below Design Speed</t>
    </r>
  </si>
  <si>
    <r>
      <t xml:space="preserve">One or more substandard curves </t>
    </r>
    <r>
      <rPr>
        <b/>
        <sz val="10"/>
        <rFont val="Arial"/>
        <family val="2"/>
      </rPr>
      <t>15 MPH below design speed</t>
    </r>
  </si>
  <si>
    <t>HORIZONTAL ALIGNMENT POINTS</t>
  </si>
  <si>
    <t>(15 Points Max.)</t>
  </si>
  <si>
    <t>RECONSTRUCTION PROJECTS</t>
  </si>
  <si>
    <t>Rounded</t>
  </si>
  <si>
    <t>Ball Bank</t>
  </si>
  <si>
    <t>MPH</t>
  </si>
  <si>
    <t>Curves</t>
  </si>
  <si>
    <r>
      <t xml:space="preserve">Curves </t>
    </r>
    <r>
      <rPr>
        <u/>
        <sz val="8"/>
        <rFont val="Arial"/>
        <family val="2"/>
      </rPr>
      <t>&lt;</t>
    </r>
  </si>
  <si>
    <t>Curves up to</t>
  </si>
  <si>
    <t>below</t>
  </si>
  <si>
    <t>Better than</t>
  </si>
  <si>
    <t>5 MPH</t>
  </si>
  <si>
    <t>10 MPH</t>
  </si>
  <si>
    <t>15 MPH</t>
  </si>
  <si>
    <t>Vb</t>
  </si>
  <si>
    <t>standard</t>
  </si>
  <si>
    <t>Standard</t>
  </si>
  <si>
    <t>below std</t>
  </si>
  <si>
    <t>Minimum Design Speed Table</t>
  </si>
  <si>
    <t>Horizontal</t>
  </si>
  <si>
    <t>HORIZ. ALIGNMENT:</t>
  </si>
  <si>
    <t>Design Speed</t>
  </si>
  <si>
    <t>Pts Assigned</t>
  </si>
  <si>
    <t xml:space="preserve">   %</t>
  </si>
  <si>
    <t>Speed, Vb</t>
  </si>
  <si>
    <t>Impr.</t>
  </si>
  <si>
    <t>no greater than 10 points</t>
  </si>
  <si>
    <t>4. TRUCK CLASS RATING  (15 Points Max.)</t>
  </si>
  <si>
    <t>1. SURFACE CONDITION  (10 Points Max)</t>
  </si>
  <si>
    <t>RATING SHEET DESIGNATIONS</t>
  </si>
  <si>
    <t>Add, for gravel or unsurfaced roads only:</t>
  </si>
  <si>
    <r>
      <t>Cores</t>
    </r>
    <r>
      <rPr>
        <sz val="10"/>
        <rFont val="MS Sans Serif"/>
        <family val="2"/>
      </rPr>
      <t xml:space="preserve">: </t>
    </r>
  </si>
  <si>
    <t>Roadway</t>
  </si>
  <si>
    <t>Lanes</t>
  </si>
  <si>
    <t>miles in hundredths</t>
  </si>
  <si>
    <t>RC RATING SUMMARY:</t>
  </si>
  <si>
    <t xml:space="preserve">LOCAL SIGNIFICANCE </t>
  </si>
  <si>
    <t>TRAFFIC VOLUME</t>
  </si>
  <si>
    <t>TRAFFIC ACCIDENTS</t>
  </si>
  <si>
    <r>
      <rPr>
        <b/>
        <sz val="8"/>
        <rFont val="MS Sans Serif"/>
      </rPr>
      <t xml:space="preserve">ROADWAY </t>
    </r>
    <r>
      <rPr>
        <sz val="8"/>
        <rFont val="MS Sans Serif"/>
        <family val="2"/>
      </rPr>
      <t>(LANES PLUS SHOULDERS)</t>
    </r>
  </si>
  <si>
    <r>
      <rPr>
        <b/>
        <sz val="8"/>
        <rFont val="MS Sans Serif"/>
      </rPr>
      <t>LANES</t>
    </r>
    <r>
      <rPr>
        <sz val="8"/>
        <rFont val="MS Sans Serif"/>
        <family val="2"/>
      </rPr>
      <t xml:space="preserve"> (BOTH SIDES)</t>
    </r>
  </si>
  <si>
    <t>CRAB
Provided</t>
  </si>
  <si>
    <t>County
Provided</t>
  </si>
  <si>
    <t>Provided</t>
  </si>
  <si>
    <t xml:space="preserve">LANE WIDTH </t>
  </si>
  <si>
    <t>VERTICAL ALIGNMENT</t>
  </si>
  <si>
    <t>HORIZONTAL ALIGNMENT</t>
  </si>
  <si>
    <t>ROADWAY WIDTH</t>
  </si>
  <si>
    <t>Check one:</t>
  </si>
  <si>
    <t>Des. Speed</t>
  </si>
  <si>
    <r>
      <t xml:space="preserve">RAP </t>
    </r>
    <r>
      <rPr>
        <b/>
        <sz val="20"/>
        <color indexed="30"/>
        <rFont val="Arial"/>
        <family val="2"/>
      </rPr>
      <t>RC</t>
    </r>
    <r>
      <rPr>
        <b/>
        <sz val="18"/>
        <color indexed="62"/>
        <rFont val="Arial"/>
        <family val="2"/>
      </rPr>
      <t xml:space="preserve"> project</t>
    </r>
  </si>
  <si>
    <t>HORIZONTAL ALIGNMENT (10 Points Max.)</t>
  </si>
  <si>
    <t>VERTICAL ALIGNMENT (10 Points Max.)</t>
  </si>
  <si>
    <t>Min Des. Speed</t>
  </si>
  <si>
    <t xml:space="preserve">ASSHTO </t>
  </si>
  <si>
    <t>Safe Speed Vs Calculation Table</t>
  </si>
  <si>
    <t>HORIZONTAL ALIGNMENT RATING</t>
  </si>
  <si>
    <t>DESIGN SPEED TABLE</t>
  </si>
  <si>
    <t>Used for horizpntal and vertical curve points</t>
  </si>
  <si>
    <t xml:space="preserve">GEOMETRY RATING </t>
  </si>
  <si>
    <r>
      <t xml:space="preserve">(Recon) =All substandard curves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5MPH below Design Speed</t>
    </r>
  </si>
  <si>
    <r>
      <t xml:space="preserve">(3R) =All substandard curves </t>
    </r>
    <r>
      <rPr>
        <b/>
        <u/>
        <sz val="10"/>
        <color indexed="10"/>
        <rFont val="Arial"/>
        <family val="2"/>
      </rPr>
      <t>&lt;</t>
    </r>
    <r>
      <rPr>
        <b/>
        <sz val="10"/>
        <color indexed="10"/>
        <rFont val="Arial"/>
        <family val="2"/>
      </rPr>
      <t xml:space="preserve"> 15 mph below Design Speed</t>
    </r>
  </si>
  <si>
    <r>
      <t xml:space="preserve">One or more substandard curves &gt; 5 up to </t>
    </r>
    <r>
      <rPr>
        <b/>
        <sz val="10"/>
        <rFont val="Arial"/>
        <family val="2"/>
      </rPr>
      <t>10 MPH below design speed</t>
    </r>
  </si>
  <si>
    <r>
      <t>All existing alignment meets or exceeds</t>
    </r>
    <r>
      <rPr>
        <b/>
        <sz val="10"/>
        <rFont val="Arial"/>
        <family val="2"/>
      </rPr>
      <t xml:space="preserve"> design speed</t>
    </r>
  </si>
  <si>
    <t>All Curves</t>
  </si>
  <si>
    <t>TRAFFIC</t>
  </si>
  <si>
    <t>GEOMETRY:</t>
  </si>
  <si>
    <t>(All projects are ranked by extent of improvement)</t>
  </si>
  <si>
    <t>LANE &amp; ROADWAY WIDTHS</t>
  </si>
  <si>
    <r>
      <t xml:space="preserve">Calc relies on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</si>
  <si>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r>
      <t xml:space="preserve">Calc relies on </t>
    </r>
    <r>
      <rPr>
        <u/>
        <sz val="8"/>
        <rFont val="MS Sans Serif"/>
      </rPr>
      <t>Project length</t>
    </r>
    <r>
      <rPr>
        <sz val="8"/>
        <rFont val="MS Sans Serif"/>
      </rPr>
      <t xml:space="preserve">,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</si>
  <si>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t>Use the last five 
full years' reports</t>
  </si>
  <si>
    <r>
      <t xml:space="preserve">STRUCTURAL CONDITION   </t>
    </r>
    <r>
      <rPr>
        <b/>
        <sz val="10"/>
        <color theme="9" tint="-0.249977111117893"/>
        <rFont val="MS Sans Serif"/>
      </rPr>
      <t>GRAVEL</t>
    </r>
    <r>
      <rPr>
        <sz val="10"/>
        <rFont val="MS Sans Serif"/>
      </rPr>
      <t xml:space="preserve"> (</t>
    </r>
    <r>
      <rPr>
        <b/>
        <sz val="10"/>
        <color indexed="10"/>
        <rFont val="MS Sans Serif"/>
        <family val="2"/>
      </rPr>
      <t>55</t>
    </r>
    <r>
      <rPr>
        <sz val="10"/>
        <rFont val="MS Sans Serif"/>
      </rPr>
      <t xml:space="preserve"> Points Max.)</t>
    </r>
  </si>
  <si>
    <r>
      <t xml:space="preserve">STRUCTURAL CONDITION   </t>
    </r>
    <r>
      <rPr>
        <b/>
        <sz val="10"/>
        <color theme="9" tint="-0.249977111117893"/>
        <rFont val="MS Sans Serif"/>
      </rPr>
      <t>ASPHALT</t>
    </r>
    <r>
      <rPr>
        <sz val="10"/>
        <rFont val="MS Sans Serif"/>
      </rPr>
      <t xml:space="preserve"> (55 Points Max.)</t>
    </r>
  </si>
  <si>
    <t>one project only</t>
  </si>
  <si>
    <t>P.D. ONLY ACCIDENTS</t>
  </si>
  <si>
    <t>INJURY (non fatal) ACCIDENTS</t>
  </si>
  <si>
    <t>FATAL ACCIDENTS</t>
  </si>
  <si>
    <t>LOCAL SIGNIFICANCE</t>
  </si>
  <si>
    <t>1 Project per County per Biennium</t>
  </si>
  <si>
    <t>Mark here to assign Local Significance pts to this project.</t>
  </si>
  <si>
    <r>
      <t>TRAFFIC VOLUME (</t>
    </r>
    <r>
      <rPr>
        <b/>
        <sz val="10"/>
        <color indexed="10"/>
        <rFont val="MS Sans Serif"/>
        <family val="2"/>
      </rPr>
      <t>10</t>
    </r>
    <r>
      <rPr>
        <sz val="10"/>
        <rFont val="MS Sans Serif"/>
      </rPr>
      <t xml:space="preserve"> Points Max.)</t>
    </r>
  </si>
  <si>
    <t>Traffic Volume Rating</t>
  </si>
  <si>
    <t>Current Est. ADT =</t>
  </si>
  <si>
    <t xml:space="preserve">          Current Est. Truck ADT </t>
  </si>
  <si>
    <t>Determine Traffic Volume Rating using Table below</t>
  </si>
  <si>
    <t>ADT = Average Weekday Traffic Volumes</t>
  </si>
  <si>
    <t>TRAFFIC VOLUME RATING</t>
  </si>
  <si>
    <r>
      <t>TRAFFIC ACCIDENTS (</t>
    </r>
    <r>
      <rPr>
        <b/>
        <u/>
        <sz val="10"/>
        <color indexed="10"/>
        <rFont val="MS Sans Serif"/>
        <family val="2"/>
      </rPr>
      <t>10</t>
    </r>
    <r>
      <rPr>
        <u/>
        <sz val="10"/>
        <rFont val="MS Sans Serif"/>
        <family val="2"/>
      </rPr>
      <t xml:space="preserve"> Points Max.)</t>
    </r>
  </si>
  <si>
    <t>Equivalent Property Damage Only Accidents, Three Year Average</t>
  </si>
  <si>
    <t>(Indicate number of accidents, not number of fatalities, injuries or property damages)</t>
  </si>
  <si>
    <t>Year</t>
  </si>
  <si>
    <t>Prop. Damage</t>
  </si>
  <si>
    <t>Injury</t>
  </si>
  <si>
    <t xml:space="preserve">Fatality </t>
  </si>
  <si>
    <t xml:space="preserve">                                          </t>
  </si>
  <si>
    <t>No. of accidents</t>
  </si>
  <si>
    <t xml:space="preserve">    Subtotal</t>
  </si>
  <si>
    <t>Factor</t>
  </si>
  <si>
    <t>x3</t>
  </si>
  <si>
    <t>x10</t>
  </si>
  <si>
    <t>x25</t>
  </si>
  <si>
    <t xml:space="preserve">                                                     </t>
  </si>
  <si>
    <t>+</t>
  </si>
  <si>
    <t xml:space="preserve">  Determine accident rating </t>
  </si>
  <si>
    <t>(Length</t>
  </si>
  <si>
    <t>(Equivalent</t>
  </si>
  <si>
    <t>using table below.</t>
  </si>
  <si>
    <t>in Miles)</t>
  </si>
  <si>
    <t>Acc./Mile)</t>
  </si>
  <si>
    <t xml:space="preserve">TRAFFIC ACCIDENT RATING </t>
  </si>
  <si>
    <t>Traffic Accident</t>
  </si>
  <si>
    <t>ACCIDENT AND TRAFFIC RATING TABLE</t>
  </si>
  <si>
    <t>Average</t>
  </si>
  <si>
    <t>Equivalent</t>
  </si>
  <si>
    <t>Rating</t>
  </si>
  <si>
    <t>ACCIDENT</t>
  </si>
  <si>
    <t xml:space="preserve"> ADT</t>
  </si>
  <si>
    <t>Truck ADT</t>
  </si>
  <si>
    <t>Acc/Mile</t>
  </si>
  <si>
    <t>&lt;50</t>
  </si>
  <si>
    <t>&lt;5</t>
  </si>
  <si>
    <t>0-2</t>
  </si>
  <si>
    <t>51-100</t>
  </si>
  <si>
    <t>6-10</t>
  </si>
  <si>
    <t>3-4</t>
  </si>
  <si>
    <t>101-250</t>
  </si>
  <si>
    <t>11-25</t>
  </si>
  <si>
    <t>5-6</t>
  </si>
  <si>
    <t>251-500</t>
  </si>
  <si>
    <t>26-50</t>
  </si>
  <si>
    <t>7-8</t>
  </si>
  <si>
    <t>501-750</t>
  </si>
  <si>
    <t>51-75</t>
  </si>
  <si>
    <t>9-10</t>
  </si>
  <si>
    <t>751-1000</t>
  </si>
  <si>
    <t>76-100</t>
  </si>
  <si>
    <t>11-12</t>
  </si>
  <si>
    <t>1001-1250</t>
  </si>
  <si>
    <t>101-125</t>
  </si>
  <si>
    <t>13-14</t>
  </si>
  <si>
    <t>1251-1500</t>
  </si>
  <si>
    <t>126-150</t>
  </si>
  <si>
    <t>15-16</t>
  </si>
  <si>
    <t>1501-2000</t>
  </si>
  <si>
    <t>151-200</t>
  </si>
  <si>
    <t>17-18</t>
  </si>
  <si>
    <t>2001-2500</t>
  </si>
  <si>
    <t>201-250</t>
  </si>
  <si>
    <t>19-20</t>
  </si>
  <si>
    <t>&gt;2500</t>
  </si>
  <si>
    <t>&gt;250</t>
  </si>
  <si>
    <t>&gt;20</t>
  </si>
  <si>
    <t xml:space="preserve">                                              </t>
  </si>
  <si>
    <t>Note: Use the highest value of ADT or Truck ADT</t>
  </si>
  <si>
    <t>NW Region</t>
  </si>
  <si>
    <t>TOTAL NWR RAP WORKSHEET RATING:</t>
  </si>
  <si>
    <t>NW RC</t>
  </si>
  <si>
    <t>x</t>
  </si>
  <si>
    <t xml:space="preserve">     Cannot be less than: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</si>
</sst>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"/>
    <numFmt numFmtId="165" formatCode="[$-409]mmmm\ d\,\ yyyy;@"/>
    <numFmt numFmtId="166" formatCode="mm/dd/yy;@"/>
    <numFmt numFmtId="167" formatCode="yyyy"/>
  </numFmts>
  <fonts count="87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0"/>
      <color indexed="14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u/>
      <sz val="8"/>
      <name val="MS Sans Serif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u/>
      <sz val="8"/>
      <name val="MS Sans Serif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10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u/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10"/>
      <color indexed="9"/>
      <name val="MS Sans Serif"/>
      <family val="2"/>
    </font>
    <font>
      <sz val="8"/>
      <color indexed="10"/>
      <name val="MS Sans Serif"/>
      <family val="2"/>
    </font>
    <font>
      <sz val="10"/>
      <color indexed="14"/>
      <name val="MS Sans Serif"/>
      <family val="2"/>
    </font>
    <font>
      <b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8.5"/>
      <name val="MS Sans Serif"/>
      <family val="2"/>
    </font>
    <font>
      <b/>
      <sz val="12"/>
      <color indexed="14"/>
      <name val="MS Sans Serif"/>
      <family val="2"/>
    </font>
    <font>
      <b/>
      <sz val="8.5"/>
      <name val="Verdana"/>
      <family val="2"/>
    </font>
    <font>
      <b/>
      <sz val="8.5"/>
      <color indexed="14"/>
      <name val="MS Sans Serif"/>
      <family val="2"/>
    </font>
    <font>
      <sz val="8.5"/>
      <name val="Verdana"/>
      <family val="2"/>
    </font>
    <font>
      <b/>
      <sz val="8.5"/>
      <name val="MS Sans Serif"/>
      <family val="2"/>
    </font>
    <font>
      <sz val="8.5"/>
      <name val="Times New Roman"/>
      <family val="1"/>
    </font>
    <font>
      <sz val="8"/>
      <color indexed="9"/>
      <name val="MS Sans Serif"/>
      <family val="2"/>
    </font>
    <font>
      <sz val="14"/>
      <color indexed="10"/>
      <name val="MS Sans Serif"/>
      <family val="2"/>
    </font>
    <font>
      <b/>
      <i/>
      <sz val="12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b/>
      <u/>
      <sz val="10"/>
      <color indexed="10"/>
      <name val="MS Sans Serif"/>
      <family val="2"/>
    </font>
    <font>
      <sz val="10"/>
      <color indexed="47"/>
      <name val="MS Sans Serif"/>
      <family val="2"/>
    </font>
    <font>
      <b/>
      <u/>
      <sz val="24"/>
      <name val="MS Sans Serif"/>
      <family val="2"/>
    </font>
    <font>
      <b/>
      <sz val="12"/>
      <color indexed="10"/>
      <name val="MS Sans Serif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sz val="10"/>
      <name val="MS Sans Serif"/>
    </font>
    <font>
      <b/>
      <u/>
      <sz val="10"/>
      <color indexed="12"/>
      <name val="MS Sans Serif"/>
    </font>
    <font>
      <sz val="10"/>
      <color indexed="42"/>
      <name val="MS Sans Serif"/>
      <family val="2"/>
    </font>
    <font>
      <sz val="8"/>
      <name val="MS Sans Serif"/>
    </font>
    <font>
      <b/>
      <sz val="10"/>
      <color indexed="10"/>
      <name val="MS Sans Serif"/>
    </font>
    <font>
      <b/>
      <sz val="10"/>
      <name val="MS Sans Serif"/>
    </font>
    <font>
      <b/>
      <sz val="8"/>
      <name val="Arial"/>
      <family val="2"/>
    </font>
    <font>
      <sz val="7"/>
      <name val="MS Sans Serif"/>
    </font>
    <font>
      <b/>
      <u/>
      <sz val="14"/>
      <name val="MS Sans Serif"/>
      <family val="2"/>
    </font>
    <font>
      <b/>
      <sz val="18"/>
      <name val="Arial"/>
      <family val="2"/>
    </font>
    <font>
      <b/>
      <sz val="8"/>
      <name val="MS Sans Serif"/>
    </font>
    <font>
      <b/>
      <sz val="18"/>
      <color indexed="62"/>
      <name val="Arial"/>
      <family val="2"/>
    </font>
    <font>
      <b/>
      <sz val="20"/>
      <color indexed="30"/>
      <name val="Arial"/>
      <family val="2"/>
    </font>
    <font>
      <u/>
      <sz val="10"/>
      <color indexed="12"/>
      <name val="MS Sans Serif"/>
    </font>
    <font>
      <sz val="10"/>
      <color rgb="FFFF0000"/>
      <name val="MS Sans Serif"/>
    </font>
    <font>
      <b/>
      <sz val="18"/>
      <color rgb="FF7030A0"/>
      <name val="MS Sans Serif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7030A0"/>
      <name val="MS Sans Serif"/>
      <family val="2"/>
    </font>
    <font>
      <b/>
      <u/>
      <sz val="10"/>
      <color rgb="FF7030A0"/>
      <name val="MS Sans Serif"/>
    </font>
    <font>
      <b/>
      <sz val="18"/>
      <color rgb="FF7030A0"/>
      <name val="Arial"/>
      <family val="2"/>
    </font>
    <font>
      <u/>
      <sz val="8"/>
      <name val="MS Sans Serif"/>
    </font>
    <font>
      <b/>
      <sz val="8"/>
      <color rgb="FFFF0000"/>
      <name val="MS Sans Serif"/>
    </font>
    <font>
      <b/>
      <sz val="10"/>
      <color theme="9" tint="-0.249977111117893"/>
      <name val="MS Sans Serif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 style="thin">
        <color indexed="64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0" fontId="5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0" borderId="0"/>
    <xf numFmtId="0" fontId="2" fillId="0" borderId="0"/>
    <xf numFmtId="0" fontId="34" fillId="0" borderId="0">
      <alignment horizontal="center"/>
    </xf>
    <xf numFmtId="9" fontId="2" fillId="0" borderId="0" applyFont="0" applyFill="0" applyBorder="0" applyAlignment="0" applyProtection="0"/>
  </cellStyleXfs>
  <cellXfs count="5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0" fillId="0" borderId="2" xfId="0" applyNumberForma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2" fillId="0" borderId="0" xfId="0" applyFont="1" applyAlignment="1">
      <alignment horizontal="left"/>
    </xf>
    <xf numFmtId="0" fontId="44" fillId="0" borderId="0" xfId="6" applyFont="1" applyAlignment="1">
      <alignment horizontal="center" vertical="center"/>
    </xf>
    <xf numFmtId="0" fontId="46" fillId="0" borderId="0" xfId="6" applyFont="1" applyAlignment="1">
      <alignment horizontal="center" vertical="center"/>
    </xf>
    <xf numFmtId="0" fontId="46" fillId="0" borderId="5" xfId="6" applyFont="1" applyBorder="1" applyAlignment="1">
      <alignment horizontal="center" vertical="center" wrapText="1"/>
    </xf>
    <xf numFmtId="0" fontId="46" fillId="0" borderId="6" xfId="6" applyFont="1" applyBorder="1" applyAlignment="1">
      <alignment horizontal="center" vertical="center" wrapText="1"/>
    </xf>
    <xf numFmtId="0" fontId="48" fillId="0" borderId="7" xfId="6" applyFont="1" applyBorder="1" applyAlignment="1">
      <alignment horizontal="center" vertical="center" wrapText="1"/>
    </xf>
    <xf numFmtId="0" fontId="48" fillId="0" borderId="8" xfId="6" applyFont="1" applyBorder="1" applyAlignment="1">
      <alignment horizontal="center" vertical="center" wrapText="1"/>
    </xf>
    <xf numFmtId="0" fontId="49" fillId="0" borderId="0" xfId="6" applyFont="1" applyAlignment="1">
      <alignment horizontal="left"/>
    </xf>
    <xf numFmtId="0" fontId="49" fillId="0" borderId="0" xfId="6" applyFont="1" applyAlignment="1">
      <alignment horizontal="left" vertical="center"/>
    </xf>
    <xf numFmtId="0" fontId="48" fillId="0" borderId="9" xfId="6" applyFont="1" applyBorder="1" applyAlignment="1">
      <alignment horizontal="center" vertical="center" wrapText="1"/>
    </xf>
    <xf numFmtId="0" fontId="48" fillId="0" borderId="10" xfId="6" applyFont="1" applyBorder="1" applyAlignment="1">
      <alignment horizontal="center" vertical="center" wrapText="1"/>
    </xf>
    <xf numFmtId="0" fontId="50" fillId="0" borderId="0" xfId="6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5" fillId="0" borderId="0" xfId="0" applyFont="1"/>
    <xf numFmtId="9" fontId="7" fillId="0" borderId="0" xfId="7" applyFont="1" applyBorder="1" applyAlignment="1" applyProtection="1">
      <alignment horizontal="right"/>
    </xf>
    <xf numFmtId="0" fontId="13" fillId="0" borderId="0" xfId="0" applyFont="1" applyAlignment="1">
      <alignment horizontal="center"/>
    </xf>
    <xf numFmtId="0" fontId="0" fillId="2" borderId="0" xfId="0" applyFill="1"/>
    <xf numFmtId="0" fontId="53" fillId="0" borderId="0" xfId="3" applyFont="1" applyAlignment="1">
      <alignment horizontal="left"/>
    </xf>
    <xf numFmtId="0" fontId="42" fillId="0" borderId="0" xfId="3" applyFont="1"/>
    <xf numFmtId="0" fontId="54" fillId="0" borderId="0" xfId="3" applyFont="1" applyAlignment="1">
      <alignment horizontal="center"/>
    </xf>
    <xf numFmtId="0" fontId="54" fillId="0" borderId="0" xfId="3" applyFont="1" applyAlignment="1">
      <alignment horizontal="right"/>
    </xf>
    <xf numFmtId="0" fontId="54" fillId="0" borderId="0" xfId="3" applyFont="1" applyAlignment="1">
      <alignment horizontal="left" indent="1"/>
    </xf>
    <xf numFmtId="0" fontId="54" fillId="0" borderId="0" xfId="3" applyFont="1"/>
    <xf numFmtId="0" fontId="54" fillId="0" borderId="0" xfId="3" applyFont="1" applyAlignment="1">
      <alignment horizontal="left" indent="2"/>
    </xf>
    <xf numFmtId="0" fontId="54" fillId="0" borderId="0" xfId="3" applyFont="1" applyAlignment="1">
      <alignment horizontal="left"/>
    </xf>
    <xf numFmtId="0" fontId="54" fillId="0" borderId="0" xfId="3" applyFont="1" applyAlignment="1">
      <alignment horizontal="left" indent="4"/>
    </xf>
    <xf numFmtId="0" fontId="54" fillId="0" borderId="0" xfId="3" applyFont="1" applyAlignment="1">
      <alignment horizontal="left" indent="6"/>
    </xf>
    <xf numFmtId="0" fontId="43" fillId="0" borderId="0" xfId="3" applyFont="1"/>
    <xf numFmtId="0" fontId="2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22" fillId="0" borderId="0" xfId="0" applyFont="1"/>
    <xf numFmtId="0" fontId="28" fillId="0" borderId="0" xfId="0" applyFont="1" applyAlignment="1">
      <alignment horizontal="center"/>
    </xf>
    <xf numFmtId="0" fontId="52" fillId="0" borderId="14" xfId="0" applyFont="1" applyBorder="1" applyAlignment="1">
      <alignment horizontal="center" vertical="top"/>
    </xf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14" xfId="0" applyBorder="1"/>
    <xf numFmtId="0" fontId="0" fillId="0" borderId="21" xfId="0" applyBorder="1"/>
    <xf numFmtId="0" fontId="23" fillId="0" borderId="0" xfId="0" applyFont="1" applyAlignment="1">
      <alignment horizontal="left"/>
    </xf>
    <xf numFmtId="0" fontId="9" fillId="0" borderId="0" xfId="0" applyFont="1"/>
    <xf numFmtId="9" fontId="0" fillId="0" borderId="0" xfId="7" applyFont="1" applyBorder="1" applyAlignment="1" applyProtection="1">
      <alignment horizontal="center"/>
    </xf>
    <xf numFmtId="0" fontId="8" fillId="0" borderId="15" xfId="0" applyFont="1" applyBorder="1" applyAlignment="1">
      <alignment horizontal="center"/>
    </xf>
    <xf numFmtId="0" fontId="23" fillId="0" borderId="14" xfId="0" applyFont="1" applyBorder="1"/>
    <xf numFmtId="9" fontId="0" fillId="0" borderId="16" xfId="0" applyNumberFormat="1" applyBorder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3" xfId="0" applyFont="1" applyBorder="1"/>
    <xf numFmtId="0" fontId="14" fillId="0" borderId="0" xfId="0" applyFont="1" applyAlignment="1">
      <alignment horizontal="left"/>
    </xf>
    <xf numFmtId="0" fontId="0" fillId="3" borderId="4" xfId="0" applyFill="1" applyBorder="1" applyAlignment="1" applyProtection="1">
      <alignment horizontal="center"/>
      <protection locked="0"/>
    </xf>
    <xf numFmtId="9" fontId="0" fillId="0" borderId="0" xfId="7" applyFont="1" applyBorder="1" applyAlignment="1" applyProtection="1">
      <alignment horizontal="left"/>
    </xf>
    <xf numFmtId="0" fontId="0" fillId="3" borderId="11" xfId="0" applyFill="1" applyBorder="1" applyAlignment="1" applyProtection="1">
      <alignment horizontal="center"/>
      <protection locked="0"/>
    </xf>
    <xf numFmtId="9" fontId="7" fillId="0" borderId="0" xfId="7" applyFont="1" applyBorder="1" applyAlignment="1" applyProtection="1">
      <alignment horizontal="left"/>
    </xf>
    <xf numFmtId="9" fontId="38" fillId="0" borderId="0" xfId="7" applyFont="1" applyBorder="1" applyAlignment="1" applyProtection="1">
      <alignment horizontal="center"/>
    </xf>
    <xf numFmtId="2" fontId="8" fillId="0" borderId="0" xfId="0" applyNumberFormat="1" applyFont="1" applyAlignment="1">
      <alignment horizontal="center"/>
    </xf>
    <xf numFmtId="0" fontId="66" fillId="0" borderId="0" xfId="0" applyFont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36" fillId="0" borderId="49" xfId="0" applyFont="1" applyBorder="1"/>
    <xf numFmtId="0" fontId="0" fillId="0" borderId="53" xfId="0" applyBorder="1"/>
    <xf numFmtId="0" fontId="0" fillId="6" borderId="0" xfId="0" applyFill="1"/>
    <xf numFmtId="0" fontId="0" fillId="6" borderId="0" xfId="0" applyFill="1" applyAlignment="1">
      <alignment horizontal="left"/>
    </xf>
    <xf numFmtId="9" fontId="63" fillId="6" borderId="0" xfId="7" applyFont="1" applyFill="1" applyProtection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9" fontId="51" fillId="6" borderId="0" xfId="7" quotePrefix="1" applyFont="1" applyFill="1" applyBorder="1" applyAlignment="1" applyProtection="1"/>
    <xf numFmtId="0" fontId="0" fillId="0" borderId="55" xfId="0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78" fillId="0" borderId="0" xfId="0" applyFont="1" applyAlignment="1">
      <alignment vertical="top" wrapText="1"/>
    </xf>
    <xf numFmtId="0" fontId="78" fillId="0" borderId="53" xfId="0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3" fillId="0" borderId="0" xfId="2" applyBorder="1" applyAlignment="1" applyProtection="1"/>
    <xf numFmtId="0" fontId="37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4" borderId="0" xfId="0" applyFill="1"/>
    <xf numFmtId="0" fontId="57" fillId="4" borderId="0" xfId="0" applyFont="1" applyFill="1" applyAlignment="1">
      <alignment horizontal="center"/>
    </xf>
    <xf numFmtId="0" fontId="57" fillId="4" borderId="0" xfId="0" quotePrefix="1" applyFont="1" applyFill="1" applyAlignment="1">
      <alignment horizontal="center"/>
    </xf>
    <xf numFmtId="0" fontId="0" fillId="4" borderId="25" xfId="0" applyFill="1" applyBorder="1"/>
    <xf numFmtId="0" fontId="0" fillId="4" borderId="1" xfId="0" applyFill="1" applyBorder="1"/>
    <xf numFmtId="0" fontId="0" fillId="4" borderId="26" xfId="0" applyFill="1" applyBorder="1"/>
    <xf numFmtId="0" fontId="0" fillId="4" borderId="23" xfId="0" applyFill="1" applyBorder="1"/>
    <xf numFmtId="0" fontId="7" fillId="4" borderId="0" xfId="0" applyFont="1" applyFill="1" applyAlignment="1">
      <alignment horizontal="center"/>
    </xf>
    <xf numFmtId="0" fontId="0" fillId="4" borderId="22" xfId="0" applyFill="1" applyBorder="1"/>
    <xf numFmtId="2" fontId="0" fillId="4" borderId="23" xfId="0" applyNumberFormat="1" applyFill="1" applyBorder="1"/>
    <xf numFmtId="2" fontId="0" fillId="4" borderId="0" xfId="0" applyNumberFormat="1" applyFill="1"/>
    <xf numFmtId="2" fontId="0" fillId="4" borderId="23" xfId="0" applyNumberFormat="1" applyFill="1" applyBorder="1" applyAlignment="1">
      <alignment horizontal="right"/>
    </xf>
    <xf numFmtId="2" fontId="0" fillId="4" borderId="0" xfId="0" applyNumberFormat="1" applyFill="1" applyAlignment="1">
      <alignment horizontal="right"/>
    </xf>
    <xf numFmtId="0" fontId="0" fillId="4" borderId="27" xfId="0" applyFill="1" applyBorder="1"/>
    <xf numFmtId="0" fontId="0" fillId="4" borderId="3" xfId="0" applyFill="1" applyBorder="1"/>
    <xf numFmtId="0" fontId="0" fillId="4" borderId="28" xfId="0" applyFill="1" applyBorder="1"/>
    <xf numFmtId="0" fontId="72" fillId="4" borderId="0" xfId="0" applyFont="1" applyFill="1" applyAlignment="1">
      <alignment horizontal="center" vertical="top"/>
    </xf>
    <xf numFmtId="0" fontId="72" fillId="4" borderId="0" xfId="0" applyFont="1" applyFill="1" applyAlignment="1">
      <alignment horizontal="center" vertical="center"/>
    </xf>
    <xf numFmtId="0" fontId="78" fillId="4" borderId="0" xfId="0" applyFont="1" applyFill="1" applyAlignment="1">
      <alignment vertical="top" wrapText="1"/>
    </xf>
    <xf numFmtId="0" fontId="0" fillId="0" borderId="51" xfId="0" applyBorder="1" applyAlignment="1">
      <alignment horizontal="left"/>
    </xf>
    <xf numFmtId="0" fontId="0" fillId="0" borderId="49" xfId="0" applyBorder="1"/>
    <xf numFmtId="0" fontId="72" fillId="0" borderId="53" xfId="0" applyFont="1" applyBorder="1" applyAlignment="1">
      <alignment horizontal="center" vertical="top"/>
    </xf>
    <xf numFmtId="0" fontId="0" fillId="0" borderId="49" xfId="0" applyBorder="1" applyAlignment="1">
      <alignment horizontal="left"/>
    </xf>
    <xf numFmtId="0" fontId="72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34" fillId="0" borderId="49" xfId="0" applyFont="1" applyBorder="1"/>
    <xf numFmtId="0" fontId="0" fillId="0" borderId="54" xfId="0" applyBorder="1"/>
    <xf numFmtId="0" fontId="0" fillId="0" borderId="56" xfId="0" applyBorder="1"/>
    <xf numFmtId="0" fontId="8" fillId="7" borderId="4" xfId="0" applyFont="1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22" fillId="0" borderId="53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25" fillId="0" borderId="53" xfId="0" applyFont="1" applyBorder="1"/>
    <xf numFmtId="0" fontId="13" fillId="0" borderId="5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0" fillId="7" borderId="29" xfId="0" applyFill="1" applyBorder="1" applyAlignment="1" applyProtection="1">
      <alignment horizontal="center"/>
      <protection locked="0"/>
    </xf>
    <xf numFmtId="0" fontId="66" fillId="0" borderId="22" xfId="0" applyFont="1" applyBorder="1" applyAlignment="1">
      <alignment horizontal="right"/>
    </xf>
    <xf numFmtId="0" fontId="66" fillId="0" borderId="0" xfId="0" applyFont="1" applyAlignment="1">
      <alignment horizontal="right"/>
    </xf>
    <xf numFmtId="0" fontId="64" fillId="6" borderId="16" xfId="2" applyFont="1" applyFill="1" applyBorder="1" applyAlignment="1" applyProtection="1">
      <alignment horizontal="left"/>
    </xf>
    <xf numFmtId="0" fontId="0" fillId="6" borderId="16" xfId="0" applyFill="1" applyBorder="1"/>
    <xf numFmtId="0" fontId="13" fillId="6" borderId="16" xfId="0" applyFont="1" applyFill="1" applyBorder="1" applyAlignment="1">
      <alignment horizontal="left"/>
    </xf>
    <xf numFmtId="0" fontId="0" fillId="6" borderId="16" xfId="0" applyFill="1" applyBorder="1" applyAlignment="1">
      <alignment horizontal="center"/>
    </xf>
    <xf numFmtId="0" fontId="38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22" fillId="6" borderId="0" xfId="0" applyFont="1" applyFill="1"/>
    <xf numFmtId="0" fontId="2" fillId="8" borderId="0" xfId="0" applyFont="1" applyFill="1" applyAlignment="1">
      <alignment horizontal="left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top"/>
    </xf>
    <xf numFmtId="0" fontId="2" fillId="8" borderId="4" xfId="0" applyFont="1" applyFill="1" applyBorder="1" applyAlignment="1">
      <alignment horizontal="center"/>
    </xf>
    <xf numFmtId="0" fontId="12" fillId="7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3" fillId="0" borderId="55" xfId="2" applyBorder="1" applyAlignment="1" applyProtection="1">
      <alignment horizontal="center"/>
    </xf>
    <xf numFmtId="0" fontId="16" fillId="6" borderId="0" xfId="0" applyFon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0" borderId="24" xfId="0" applyFont="1" applyBorder="1"/>
    <xf numFmtId="0" fontId="3" fillId="0" borderId="24" xfId="2" applyBorder="1" applyAlignment="1" applyProtection="1"/>
    <xf numFmtId="0" fontId="25" fillId="6" borderId="0" xfId="0" applyFont="1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9" fillId="0" borderId="2" xfId="0" quotePrefix="1" applyFont="1" applyBorder="1" applyAlignment="1">
      <alignment horizontal="center"/>
    </xf>
    <xf numFmtId="0" fontId="0" fillId="5" borderId="4" xfId="0" applyFill="1" applyBorder="1" applyAlignment="1" applyProtection="1">
      <alignment horizontal="center"/>
      <protection locked="0"/>
    </xf>
    <xf numFmtId="0" fontId="80" fillId="0" borderId="0" xfId="0" applyFont="1" applyAlignment="1">
      <alignment horizontal="left"/>
    </xf>
    <xf numFmtId="0" fontId="0" fillId="6" borderId="4" xfId="0" applyFill="1" applyBorder="1" applyAlignment="1">
      <alignment horizontal="center"/>
    </xf>
    <xf numFmtId="0" fontId="0" fillId="6" borderId="23" xfId="0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0" fillId="8" borderId="0" xfId="0" applyFill="1" applyAlignment="1">
      <alignment horizontal="left"/>
    </xf>
    <xf numFmtId="0" fontId="7" fillId="8" borderId="25" xfId="0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23" fillId="8" borderId="1" xfId="0" applyFont="1" applyFill="1" applyBorder="1" applyAlignment="1">
      <alignment horizontal="center"/>
    </xf>
    <xf numFmtId="0" fontId="81" fillId="8" borderId="1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23" fillId="8" borderId="0" xfId="0" applyFont="1" applyFill="1" applyAlignment="1">
      <alignment horizontal="center"/>
    </xf>
    <xf numFmtId="0" fontId="81" fillId="8" borderId="0" xfId="0" applyFont="1" applyFill="1" applyAlignment="1">
      <alignment horizontal="left"/>
    </xf>
    <xf numFmtId="0" fontId="27" fillId="8" borderId="23" xfId="0" applyFont="1" applyFill="1" applyBorder="1" applyAlignment="1">
      <alignment horizontal="left"/>
    </xf>
    <xf numFmtId="0" fontId="27" fillId="8" borderId="0" xfId="0" applyFont="1" applyFill="1" applyAlignment="1">
      <alignment horizontal="left"/>
    </xf>
    <xf numFmtId="0" fontId="9" fillId="8" borderId="0" xfId="0" applyFont="1" applyFill="1" applyAlignment="1">
      <alignment horizontal="center"/>
    </xf>
    <xf numFmtId="0" fontId="2" fillId="8" borderId="23" xfId="0" applyFont="1" applyFill="1" applyBorder="1" applyAlignment="1">
      <alignment horizontal="left"/>
    </xf>
    <xf numFmtId="0" fontId="7" fillId="8" borderId="0" xfId="0" applyFont="1" applyFill="1" applyAlignment="1">
      <alignment horizontal="left"/>
    </xf>
    <xf numFmtId="0" fontId="33" fillId="8" borderId="0" xfId="0" applyFont="1" applyFill="1" applyAlignment="1">
      <alignment horizontal="center"/>
    </xf>
    <xf numFmtId="0" fontId="41" fillId="8" borderId="23" xfId="0" applyFont="1" applyFill="1" applyBorder="1" applyAlignment="1">
      <alignment horizontal="center"/>
    </xf>
    <xf numFmtId="0" fontId="33" fillId="8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7" fillId="8" borderId="23" xfId="0" applyFont="1" applyFill="1" applyBorder="1" applyAlignment="1">
      <alignment horizontal="left"/>
    </xf>
    <xf numFmtId="0" fontId="9" fillId="8" borderId="0" xfId="0" applyFont="1" applyFill="1" applyAlignment="1">
      <alignment horizontal="right"/>
    </xf>
    <xf numFmtId="0" fontId="7" fillId="8" borderId="0" xfId="0" applyFont="1" applyFill="1" applyAlignment="1">
      <alignment horizontal="center"/>
    </xf>
    <xf numFmtId="0" fontId="62" fillId="8" borderId="0" xfId="0" applyFont="1" applyFill="1" applyAlignment="1">
      <alignment horizontal="center"/>
    </xf>
    <xf numFmtId="0" fontId="0" fillId="8" borderId="0" xfId="0" applyFill="1"/>
    <xf numFmtId="0" fontId="0" fillId="8" borderId="2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5" fillId="8" borderId="0" xfId="0" applyFont="1" applyFill="1" applyAlignment="1">
      <alignment horizontal="left"/>
    </xf>
    <xf numFmtId="0" fontId="0" fillId="8" borderId="23" xfId="0" applyFill="1" applyBorder="1"/>
    <xf numFmtId="0" fontId="0" fillId="8" borderId="0" xfId="0" applyFill="1" applyAlignment="1">
      <alignment horizontal="right"/>
    </xf>
    <xf numFmtId="0" fontId="0" fillId="8" borderId="32" xfId="0" applyFill="1" applyBorder="1" applyAlignment="1">
      <alignment horizontal="center"/>
    </xf>
    <xf numFmtId="0" fontId="65" fillId="8" borderId="0" xfId="0" applyFont="1" applyFill="1" applyAlignment="1">
      <alignment horizontal="left"/>
    </xf>
    <xf numFmtId="0" fontId="2" fillId="8" borderId="0" xfId="0" applyFont="1" applyFill="1" applyAlignment="1">
      <alignment horizontal="right"/>
    </xf>
    <xf numFmtId="1" fontId="2" fillId="8" borderId="4" xfId="0" applyNumberFormat="1" applyFont="1" applyFill="1" applyBorder="1" applyAlignment="1">
      <alignment horizontal="center"/>
    </xf>
    <xf numFmtId="1" fontId="2" fillId="8" borderId="0" xfId="0" applyNumberFormat="1" applyFont="1" applyFill="1" applyAlignment="1">
      <alignment horizontal="center"/>
    </xf>
    <xf numFmtId="1" fontId="41" fillId="8" borderId="33" xfId="0" applyNumberFormat="1" applyFont="1" applyFill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4" fillId="8" borderId="0" xfId="0" applyFont="1" applyFill="1" applyAlignment="1">
      <alignment horizontal="right"/>
    </xf>
    <xf numFmtId="0" fontId="4" fillId="8" borderId="22" xfId="0" applyFont="1" applyFill="1" applyBorder="1" applyAlignment="1">
      <alignment horizontal="left"/>
    </xf>
    <xf numFmtId="0" fontId="0" fillId="8" borderId="22" xfId="0" applyFill="1" applyBorder="1" applyAlignment="1">
      <alignment horizontal="left"/>
    </xf>
    <xf numFmtId="0" fontId="3" fillId="0" borderId="16" xfId="2" applyFill="1" applyBorder="1" applyAlignment="1" applyProtection="1"/>
    <xf numFmtId="0" fontId="0" fillId="8" borderId="25" xfId="0" applyFill="1" applyBorder="1"/>
    <xf numFmtId="0" fontId="0" fillId="8" borderId="26" xfId="0" applyFill="1" applyBorder="1" applyAlignment="1">
      <alignment horizontal="left"/>
    </xf>
    <xf numFmtId="0" fontId="4" fillId="8" borderId="0" xfId="0" applyFont="1" applyFill="1" applyAlignment="1">
      <alignment horizontal="left" vertical="center"/>
    </xf>
    <xf numFmtId="0" fontId="11" fillId="8" borderId="0" xfId="0" applyFont="1" applyFill="1" applyAlignment="1">
      <alignment horizontal="left" vertical="center"/>
    </xf>
    <xf numFmtId="0" fontId="34" fillId="8" borderId="0" xfId="4" applyFill="1" applyAlignment="1">
      <alignment horizontal="left"/>
    </xf>
    <xf numFmtId="0" fontId="12" fillId="8" borderId="4" xfId="4" applyFont="1" applyFill="1" applyBorder="1" applyAlignment="1">
      <alignment horizontal="center"/>
    </xf>
    <xf numFmtId="0" fontId="8" fillId="8" borderId="0" xfId="4" applyFont="1" applyFill="1" applyAlignment="1">
      <alignment horizontal="left"/>
    </xf>
    <xf numFmtId="0" fontId="4" fillId="8" borderId="4" xfId="0" quotePrefix="1" applyFont="1" applyFill="1" applyBorder="1" applyAlignment="1">
      <alignment horizontal="center"/>
    </xf>
    <xf numFmtId="0" fontId="18" fillId="8" borderId="4" xfId="0" quotePrefix="1" applyFont="1" applyFill="1" applyBorder="1" applyAlignment="1">
      <alignment horizontal="center"/>
    </xf>
    <xf numFmtId="0" fontId="40" fillId="8" borderId="0" xfId="0" quotePrefix="1" applyFont="1" applyFill="1" applyAlignment="1">
      <alignment horizontal="center"/>
    </xf>
    <xf numFmtId="0" fontId="40" fillId="8" borderId="0" xfId="0" applyFont="1" applyFill="1" applyAlignment="1">
      <alignment horizontal="left"/>
    </xf>
    <xf numFmtId="0" fontId="11" fillId="8" borderId="26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0" fillId="8" borderId="23" xfId="0" applyFill="1" applyBorder="1" applyAlignment="1">
      <alignment horizontal="right"/>
    </xf>
    <xf numFmtId="0" fontId="70" fillId="8" borderId="27" xfId="0" applyFont="1" applyFill="1" applyBorder="1" applyAlignment="1">
      <alignment horizontal="center"/>
    </xf>
    <xf numFmtId="0" fontId="70" fillId="8" borderId="3" xfId="0" applyFont="1" applyFill="1" applyBorder="1" applyAlignment="1">
      <alignment horizontal="center"/>
    </xf>
    <xf numFmtId="0" fontId="66" fillId="8" borderId="22" xfId="0" applyFont="1" applyFill="1" applyBorder="1" applyAlignment="1">
      <alignment horizontal="left"/>
    </xf>
    <xf numFmtId="0" fontId="66" fillId="8" borderId="0" xfId="0" applyFont="1" applyFill="1" applyAlignment="1">
      <alignment horizontal="left"/>
    </xf>
    <xf numFmtId="0" fontId="0" fillId="8" borderId="27" xfId="0" applyFill="1" applyBorder="1" applyAlignment="1">
      <alignment horizontal="center"/>
    </xf>
    <xf numFmtId="0" fontId="69" fillId="8" borderId="23" xfId="0" applyFont="1" applyFill="1" applyBorder="1" applyAlignment="1">
      <alignment horizontal="center"/>
    </xf>
    <xf numFmtId="0" fontId="66" fillId="8" borderId="0" xfId="0" applyFont="1" applyFill="1" applyAlignment="1">
      <alignment horizontal="center"/>
    </xf>
    <xf numFmtId="0" fontId="66" fillId="8" borderId="23" xfId="0" applyFont="1" applyFill="1" applyBorder="1" applyAlignment="1">
      <alignment horizontal="center"/>
    </xf>
    <xf numFmtId="0" fontId="66" fillId="8" borderId="0" xfId="0" applyFont="1" applyFill="1" applyAlignment="1">
      <alignment horizontal="right"/>
    </xf>
    <xf numFmtId="0" fontId="0" fillId="6" borderId="0" xfId="0" applyFill="1" applyAlignment="1">
      <alignment horizontal="right" vertical="center"/>
    </xf>
    <xf numFmtId="1" fontId="11" fillId="6" borderId="0" xfId="0" applyNumberFormat="1" applyFont="1" applyFill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right"/>
    </xf>
    <xf numFmtId="0" fontId="0" fillId="8" borderId="28" xfId="0" applyFill="1" applyBorder="1" applyAlignment="1">
      <alignment horizontal="left"/>
    </xf>
    <xf numFmtId="0" fontId="8" fillId="8" borderId="0" xfId="0" applyFont="1" applyFill="1" applyAlignment="1">
      <alignment horizontal="center"/>
    </xf>
    <xf numFmtId="0" fontId="13" fillId="8" borderId="0" xfId="0" applyFont="1" applyFill="1"/>
    <xf numFmtId="0" fontId="4" fillId="8" borderId="58" xfId="0" applyFont="1" applyFill="1" applyBorder="1" applyAlignment="1">
      <alignment horizontal="center"/>
    </xf>
    <xf numFmtId="0" fontId="81" fillId="8" borderId="58" xfId="0" applyFont="1" applyFill="1" applyBorder="1" applyAlignment="1">
      <alignment horizontal="center"/>
    </xf>
    <xf numFmtId="0" fontId="8" fillId="8" borderId="0" xfId="0" applyFont="1" applyFill="1" applyAlignment="1">
      <alignment horizontal="left"/>
    </xf>
    <xf numFmtId="0" fontId="0" fillId="8" borderId="27" xfId="0" applyFill="1" applyBorder="1"/>
    <xf numFmtId="0" fontId="0" fillId="8" borderId="3" xfId="0" applyFill="1" applyBorder="1"/>
    <xf numFmtId="0" fontId="0" fillId="8" borderId="28" xfId="0" applyFill="1" applyBorder="1"/>
    <xf numFmtId="0" fontId="4" fillId="6" borderId="0" xfId="0" quotePrefix="1" applyFont="1" applyFill="1" applyAlignment="1">
      <alignment horizontal="center"/>
    </xf>
    <xf numFmtId="0" fontId="34" fillId="6" borderId="0" xfId="4" applyFill="1" applyAlignment="1">
      <alignment horizontal="left"/>
    </xf>
    <xf numFmtId="0" fontId="18" fillId="6" borderId="0" xfId="0" quotePrefix="1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36" fillId="8" borderId="0" xfId="0" applyFont="1" applyFill="1" applyAlignment="1">
      <alignment horizontal="left"/>
    </xf>
    <xf numFmtId="0" fontId="18" fillId="8" borderId="0" xfId="0" applyFont="1" applyFill="1" applyAlignment="1">
      <alignment horizontal="left"/>
    </xf>
    <xf numFmtId="2" fontId="0" fillId="8" borderId="30" xfId="0" applyNumberFormat="1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0" fontId="11" fillId="8" borderId="0" xfId="0" applyFont="1" applyFill="1" applyAlignment="1">
      <alignment horizontal="right"/>
    </xf>
    <xf numFmtId="2" fontId="0" fillId="8" borderId="0" xfId="0" quotePrefix="1" applyNumberFormat="1" applyFill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left"/>
    </xf>
    <xf numFmtId="0" fontId="4" fillId="8" borderId="25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4" fillId="8" borderId="32" xfId="0" applyFont="1" applyFill="1" applyBorder="1" applyAlignment="1">
      <alignment horizontal="left"/>
    </xf>
    <xf numFmtId="0" fontId="0" fillId="8" borderId="31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11" fillId="6" borderId="0" xfId="0" applyFont="1" applyFill="1"/>
    <xf numFmtId="0" fontId="4" fillId="8" borderId="0" xfId="0" applyFont="1" applyFill="1" applyAlignment="1">
      <alignment horizontal="left"/>
    </xf>
    <xf numFmtId="0" fontId="8" fillId="8" borderId="0" xfId="0" applyFont="1" applyFill="1" applyAlignment="1">
      <alignment horizontal="right" vertical="center"/>
    </xf>
    <xf numFmtId="2" fontId="11" fillId="8" borderId="33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left"/>
    </xf>
    <xf numFmtId="0" fontId="41" fillId="6" borderId="0" xfId="0" applyFont="1" applyFill="1" applyAlignment="1">
      <alignment horizontal="center"/>
    </xf>
    <xf numFmtId="0" fontId="0" fillId="8" borderId="25" xfId="0" applyFill="1" applyBorder="1" applyAlignment="1">
      <alignment horizontal="left"/>
    </xf>
    <xf numFmtId="0" fontId="0" fillId="6" borderId="28" xfId="0" applyFill="1" applyBorder="1" applyAlignment="1">
      <alignment horizontal="left"/>
    </xf>
    <xf numFmtId="0" fontId="9" fillId="8" borderId="23" xfId="0" applyFont="1" applyFill="1" applyBorder="1" applyAlignment="1">
      <alignment horizontal="left"/>
    </xf>
    <xf numFmtId="0" fontId="9" fillId="8" borderId="23" xfId="0" applyFont="1" applyFill="1" applyBorder="1" applyAlignment="1">
      <alignment horizontal="right"/>
    </xf>
    <xf numFmtId="0" fontId="10" fillId="8" borderId="0" xfId="0" applyFont="1" applyFill="1" applyAlignment="1">
      <alignment horizontal="left"/>
    </xf>
    <xf numFmtId="0" fontId="10" fillId="8" borderId="0" xfId="0" applyFont="1" applyFill="1" applyAlignment="1">
      <alignment horizontal="center"/>
    </xf>
    <xf numFmtId="10" fontId="0" fillId="8" borderId="0" xfId="0" applyNumberFormat="1" applyFill="1" applyAlignment="1">
      <alignment horizontal="center"/>
    </xf>
    <xf numFmtId="0" fontId="0" fillId="6" borderId="0" xfId="0" quotePrefix="1" applyFill="1" applyAlignment="1">
      <alignment horizontal="center"/>
    </xf>
    <xf numFmtId="0" fontId="0" fillId="6" borderId="0" xfId="0" quotePrefix="1" applyFill="1" applyAlignment="1">
      <alignment horizontal="left"/>
    </xf>
    <xf numFmtId="0" fontId="66" fillId="6" borderId="0" xfId="0" applyFont="1" applyFill="1" applyAlignment="1">
      <alignment horizontal="left"/>
    </xf>
    <xf numFmtId="0" fontId="0" fillId="8" borderId="22" xfId="0" applyFill="1" applyBorder="1" applyAlignment="1">
      <alignment horizontal="center"/>
    </xf>
    <xf numFmtId="38" fontId="63" fillId="8" borderId="0" xfId="1" applyNumberFormat="1" applyFont="1" applyFill="1" applyBorder="1" applyAlignment="1" applyProtection="1">
      <alignment horizontal="center"/>
    </xf>
    <xf numFmtId="2" fontId="0" fillId="8" borderId="0" xfId="0" applyNumberFormat="1" applyFill="1" applyAlignment="1">
      <alignment horizontal="center"/>
    </xf>
    <xf numFmtId="0" fontId="0" fillId="8" borderId="0" xfId="0" quotePrefix="1" applyFill="1" applyAlignment="1">
      <alignment horizontal="left"/>
    </xf>
    <xf numFmtId="2" fontId="0" fillId="8" borderId="3" xfId="0" applyNumberFormat="1" applyFill="1" applyBorder="1" applyAlignment="1">
      <alignment horizontal="center"/>
    </xf>
    <xf numFmtId="0" fontId="82" fillId="8" borderId="25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left"/>
    </xf>
    <xf numFmtId="0" fontId="0" fillId="6" borderId="34" xfId="0" applyFill="1" applyBorder="1"/>
    <xf numFmtId="0" fontId="36" fillId="8" borderId="25" xfId="0" applyFont="1" applyFill="1" applyBorder="1" applyAlignment="1">
      <alignment horizontal="left"/>
    </xf>
    <xf numFmtId="0" fontId="0" fillId="8" borderId="26" xfId="0" applyFill="1" applyBorder="1"/>
    <xf numFmtId="0" fontId="0" fillId="8" borderId="22" xfId="0" applyFill="1" applyBorder="1"/>
    <xf numFmtId="0" fontId="4" fillId="8" borderId="0" xfId="0" applyFont="1" applyFill="1" applyAlignment="1">
      <alignment horizontal="right" vertical="center"/>
    </xf>
    <xf numFmtId="2" fontId="11" fillId="8" borderId="0" xfId="0" applyNumberFormat="1" applyFont="1" applyFill="1" applyAlignment="1">
      <alignment horizontal="center" vertical="center"/>
    </xf>
    <xf numFmtId="0" fontId="20" fillId="8" borderId="0" xfId="0" applyFont="1" applyFill="1" applyAlignment="1">
      <alignment horizontal="left"/>
    </xf>
    <xf numFmtId="0" fontId="8" fillId="8" borderId="0" xfId="0" applyFont="1" applyFill="1" applyAlignment="1">
      <alignment horizontal="left" vertical="center"/>
    </xf>
    <xf numFmtId="0" fontId="21" fillId="8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3" fillId="6" borderId="16" xfId="2" applyFill="1" applyBorder="1" applyAlignment="1" applyProtection="1">
      <alignment horizontal="center"/>
    </xf>
    <xf numFmtId="0" fontId="3" fillId="6" borderId="16" xfId="2" applyFill="1" applyBorder="1" applyAlignment="1" applyProtection="1"/>
    <xf numFmtId="2" fontId="0" fillId="0" borderId="35" xfId="0" applyNumberFormat="1" applyBorder="1" applyAlignment="1">
      <alignment horizontal="center"/>
    </xf>
    <xf numFmtId="0" fontId="3" fillId="0" borderId="0" xfId="2" applyBorder="1" applyAlignment="1" applyProtection="1">
      <alignment horizontal="left"/>
      <protection locked="0"/>
    </xf>
    <xf numFmtId="0" fontId="33" fillId="0" borderId="0" xfId="5" applyFont="1" applyAlignment="1">
      <alignment horizontal="center"/>
    </xf>
    <xf numFmtId="0" fontId="66" fillId="0" borderId="0" xfId="0" applyFont="1" applyAlignment="1">
      <alignment horizontal="center" wrapText="1"/>
    </xf>
    <xf numFmtId="9" fontId="32" fillId="0" borderId="0" xfId="7" applyFont="1" applyBorder="1" applyAlignment="1" applyProtection="1">
      <alignment horizontal="left"/>
    </xf>
    <xf numFmtId="0" fontId="8" fillId="0" borderId="59" xfId="0" applyFont="1" applyBorder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2" fontId="0" fillId="9" borderId="60" xfId="0" applyNumberFormat="1" applyFill="1" applyBorder="1" applyAlignment="1" applyProtection="1">
      <alignment horizontal="center"/>
      <protection locked="0"/>
    </xf>
    <xf numFmtId="0" fontId="1" fillId="7" borderId="4" xfId="0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10" borderId="0" xfId="0" applyFill="1"/>
    <xf numFmtId="0" fontId="9" fillId="0" borderId="0" xfId="0" applyFont="1" applyAlignment="1">
      <alignment horizontal="center"/>
    </xf>
    <xf numFmtId="0" fontId="0" fillId="4" borderId="0" xfId="0" applyFill="1" applyAlignment="1">
      <alignment horizontal="left" vertical="center"/>
    </xf>
    <xf numFmtId="0" fontId="79" fillId="4" borderId="55" xfId="0" applyFont="1" applyFill="1" applyBorder="1" applyAlignment="1">
      <alignment vertical="center" wrapText="1"/>
    </xf>
    <xf numFmtId="2" fontId="9" fillId="4" borderId="0" xfId="0" applyNumberFormat="1" applyFont="1" applyFill="1"/>
    <xf numFmtId="0" fontId="4" fillId="0" borderId="50" xfId="0" applyFont="1" applyBorder="1"/>
    <xf numFmtId="0" fontId="0" fillId="0" borderId="51" xfId="0" applyBorder="1" applyAlignment="1">
      <alignment horizontal="left" vertical="center"/>
    </xf>
    <xf numFmtId="0" fontId="3" fillId="0" borderId="51" xfId="2" applyBorder="1" applyAlignment="1" applyProtection="1"/>
    <xf numFmtId="0" fontId="68" fillId="0" borderId="51" xfId="0" applyFont="1" applyBorder="1" applyAlignment="1">
      <alignment horizontal="center"/>
    </xf>
    <xf numFmtId="0" fontId="0" fillId="4" borderId="49" xfId="0" applyFill="1" applyBorder="1" applyAlignment="1">
      <alignment vertical="center"/>
    </xf>
    <xf numFmtId="0" fontId="4" fillId="0" borderId="49" xfId="0" applyFont="1" applyBorder="1"/>
    <xf numFmtId="0" fontId="1" fillId="0" borderId="0" xfId="0" applyFont="1" applyAlignment="1">
      <alignment vertical="top" wrapText="1"/>
    </xf>
    <xf numFmtId="0" fontId="1" fillId="0" borderId="53" xfId="0" applyFont="1" applyBorder="1" applyAlignment="1">
      <alignment vertical="top" wrapText="1"/>
    </xf>
    <xf numFmtId="0" fontId="1" fillId="4" borderId="49" xfId="0" applyFont="1" applyFill="1" applyBorder="1" applyAlignment="1">
      <alignment vertical="top" wrapText="1"/>
    </xf>
    <xf numFmtId="0" fontId="13" fillId="0" borderId="0" xfId="0" applyFont="1"/>
    <xf numFmtId="167" fontId="23" fillId="0" borderId="0" xfId="0" quotePrefix="1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9" fontId="8" fillId="0" borderId="0" xfId="7" applyFont="1" applyBorder="1" applyAlignment="1" applyProtection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4" borderId="49" xfId="0" applyFill="1" applyBorder="1"/>
    <xf numFmtId="164" fontId="8" fillId="3" borderId="4" xfId="0" applyNumberFormat="1" applyFont="1" applyFill="1" applyBorder="1" applyAlignment="1" applyProtection="1">
      <alignment horizontal="center"/>
      <protection locked="0"/>
    </xf>
    <xf numFmtId="0" fontId="23" fillId="0" borderId="23" xfId="0" applyFont="1" applyBorder="1"/>
    <xf numFmtId="0" fontId="4" fillId="0" borderId="55" xfId="0" applyFont="1" applyBorder="1" applyAlignment="1">
      <alignment horizontal="right"/>
    </xf>
    <xf numFmtId="0" fontId="0" fillId="4" borderId="0" xfId="0" applyFill="1" applyAlignment="1">
      <alignment horizontal="center" vertical="center"/>
    </xf>
    <xf numFmtId="0" fontId="0" fillId="11" borderId="0" xfId="0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11" borderId="0" xfId="0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8" fillId="11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0" fillId="11" borderId="0" xfId="0" applyFill="1" applyAlignment="1">
      <alignment horizontal="right" vertical="center"/>
    </xf>
    <xf numFmtId="0" fontId="0" fillId="11" borderId="4" xfId="0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0" fillId="11" borderId="33" xfId="0" applyFill="1" applyBorder="1" applyAlignment="1">
      <alignment horizontal="center" vertical="center"/>
    </xf>
    <xf numFmtId="0" fontId="7" fillId="11" borderId="0" xfId="0" applyFont="1" applyFill="1" applyAlignment="1">
      <alignment horizontal="left" vertical="center"/>
    </xf>
    <xf numFmtId="0" fontId="0" fillId="11" borderId="25" xfId="0" applyFill="1" applyBorder="1" applyAlignment="1">
      <alignment horizontal="left" vertical="center"/>
    </xf>
    <xf numFmtId="0" fontId="0" fillId="11" borderId="1" xfId="0" applyFill="1" applyBorder="1" applyAlignment="1">
      <alignment vertical="center"/>
    </xf>
    <xf numFmtId="0" fontId="0" fillId="11" borderId="26" xfId="0" applyFill="1" applyBorder="1" applyAlignment="1">
      <alignment horizontal="left" vertical="center"/>
    </xf>
    <xf numFmtId="0" fontId="0" fillId="11" borderId="23" xfId="0" applyFill="1" applyBorder="1" applyAlignment="1">
      <alignment horizontal="left" vertical="center"/>
    </xf>
    <xf numFmtId="0" fontId="7" fillId="11" borderId="0" xfId="0" applyFont="1" applyFill="1" applyAlignment="1">
      <alignment vertical="center"/>
    </xf>
    <xf numFmtId="0" fontId="0" fillId="11" borderId="22" xfId="0" applyFill="1" applyBorder="1" applyAlignment="1">
      <alignment horizontal="left" vertical="center"/>
    </xf>
    <xf numFmtId="0" fontId="0" fillId="11" borderId="23" xfId="0" applyFill="1" applyBorder="1" applyAlignment="1">
      <alignment vertical="center"/>
    </xf>
    <xf numFmtId="0" fontId="0" fillId="11" borderId="27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center" vertical="center"/>
    </xf>
    <xf numFmtId="0" fontId="0" fillId="11" borderId="28" xfId="0" applyFill="1" applyBorder="1" applyAlignment="1">
      <alignment horizontal="left" vertical="center"/>
    </xf>
    <xf numFmtId="0" fontId="4" fillId="11" borderId="3" xfId="0" applyFont="1" applyFill="1" applyBorder="1" applyAlignment="1">
      <alignment horizontal="center" vertical="center"/>
    </xf>
    <xf numFmtId="2" fontId="0" fillId="11" borderId="33" xfId="0" applyNumberFormat="1" applyFill="1" applyBorder="1" applyAlignment="1">
      <alignment horizontal="center" vertical="center"/>
    </xf>
    <xf numFmtId="0" fontId="0" fillId="11" borderId="0" xfId="0" quotePrefix="1" applyFill="1" applyAlignment="1">
      <alignment horizontal="center" vertical="center"/>
    </xf>
    <xf numFmtId="1" fontId="0" fillId="11" borderId="3" xfId="0" applyNumberForma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38" fontId="15" fillId="11" borderId="3" xfId="1" applyNumberFormat="1" applyFont="1" applyFill="1" applyBorder="1" applyAlignment="1" applyProtection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45" fillId="11" borderId="0" xfId="0" applyFont="1" applyFill="1" applyAlignment="1">
      <alignment horizontal="left" vertical="center"/>
    </xf>
    <xf numFmtId="3" fontId="0" fillId="12" borderId="0" xfId="0" applyNumberFormat="1" applyFill="1" applyAlignment="1">
      <alignment horizontal="center" vertical="center"/>
    </xf>
    <xf numFmtId="0" fontId="0" fillId="12" borderId="0" xfId="0" quotePrefix="1" applyFill="1" applyAlignment="1">
      <alignment horizontal="center" vertical="center"/>
    </xf>
    <xf numFmtId="16" fontId="0" fillId="11" borderId="0" xfId="0" quotePrefix="1" applyNumberFormat="1" applyFill="1" applyAlignment="1">
      <alignment horizontal="center" vertical="center"/>
    </xf>
    <xf numFmtId="0" fontId="0" fillId="0" borderId="19" xfId="0" applyBorder="1"/>
    <xf numFmtId="0" fontId="0" fillId="0" borderId="13" xfId="0" applyBorder="1"/>
    <xf numFmtId="0" fontId="11" fillId="0" borderId="13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20" xfId="0" applyBorder="1"/>
    <xf numFmtId="0" fontId="36" fillId="0" borderId="14" xfId="0" applyFont="1" applyBorder="1"/>
    <xf numFmtId="0" fontId="36" fillId="0" borderId="0" xfId="0" applyFont="1"/>
    <xf numFmtId="0" fontId="11" fillId="0" borderId="0" xfId="0" applyFont="1" applyAlignment="1">
      <alignment horizontal="right"/>
    </xf>
    <xf numFmtId="0" fontId="11" fillId="0" borderId="14" xfId="0" quotePrefix="1" applyFont="1" applyBorder="1" applyAlignment="1">
      <alignment horizontal="right"/>
    </xf>
    <xf numFmtId="0" fontId="68" fillId="0" borderId="0" xfId="0" applyFont="1"/>
    <xf numFmtId="0" fontId="32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67" fillId="0" borderId="3" xfId="0" applyFont="1" applyBorder="1" applyAlignment="1">
      <alignment horizontal="left"/>
    </xf>
    <xf numFmtId="0" fontId="68" fillId="0" borderId="3" xfId="0" applyFont="1" applyBorder="1" applyAlignment="1">
      <alignment horizontal="center"/>
    </xf>
    <xf numFmtId="0" fontId="68" fillId="0" borderId="3" xfId="0" applyFont="1" applyBorder="1"/>
    <xf numFmtId="0" fontId="0" fillId="0" borderId="3" xfId="0" applyBorder="1"/>
    <xf numFmtId="0" fontId="32" fillId="0" borderId="0" xfId="0" applyFont="1"/>
    <xf numFmtId="0" fontId="3" fillId="0" borderId="0" xfId="2" applyFill="1" applyBorder="1" applyAlignment="1" applyProtection="1"/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14" xfId="0" applyBorder="1" applyAlignment="1">
      <alignment horizontal="left"/>
    </xf>
    <xf numFmtId="0" fontId="59" fillId="0" borderId="0" xfId="0" applyFont="1"/>
    <xf numFmtId="0" fontId="38" fillId="0" borderId="14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15" xfId="0" applyFont="1" applyBorder="1" applyAlignment="1">
      <alignment horizontal="left"/>
    </xf>
    <xf numFmtId="0" fontId="38" fillId="0" borderId="21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22" fillId="0" borderId="16" xfId="0" applyFont="1" applyBorder="1"/>
    <xf numFmtId="0" fontId="38" fillId="0" borderId="17" xfId="0" applyFont="1" applyBorder="1" applyAlignment="1">
      <alignment horizontal="left"/>
    </xf>
    <xf numFmtId="0" fontId="6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0" xfId="0" applyFont="1" applyAlignment="1">
      <alignment horizontal="left"/>
    </xf>
    <xf numFmtId="0" fontId="26" fillId="0" borderId="0" xfId="0" applyFont="1"/>
    <xf numFmtId="0" fontId="12" fillId="0" borderId="0" xfId="0" applyFont="1" applyAlignment="1">
      <alignment horizontal="right"/>
    </xf>
    <xf numFmtId="0" fontId="12" fillId="0" borderId="4" xfId="0" applyFont="1" applyBorder="1" applyAlignment="1">
      <alignment horizontal="center"/>
    </xf>
    <xf numFmtId="0" fontId="35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4" fillId="0" borderId="0" xfId="0" applyFont="1"/>
    <xf numFmtId="0" fontId="24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0" fillId="0" borderId="0" xfId="0"/>
    <xf numFmtId="0" fontId="64" fillId="0" borderId="0" xfId="2" applyFont="1" applyBorder="1" applyAlignment="1" applyProtection="1">
      <alignment horizontal="left"/>
      <protection locked="0"/>
    </xf>
    <xf numFmtId="0" fontId="77" fillId="0" borderId="0" xfId="0" applyFont="1" applyAlignment="1">
      <alignment horizontal="center" vertical="center" wrapText="1"/>
    </xf>
    <xf numFmtId="0" fontId="80" fillId="0" borderId="0" xfId="0" applyFont="1" applyAlignment="1">
      <alignment horizontal="left" wrapText="1"/>
    </xf>
    <xf numFmtId="2" fontId="20" fillId="0" borderId="30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83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center"/>
    </xf>
    <xf numFmtId="0" fontId="71" fillId="0" borderId="0" xfId="0" applyFont="1" applyAlignment="1">
      <alignment horizontal="center"/>
    </xf>
    <xf numFmtId="0" fontId="20" fillId="0" borderId="30" xfId="0" quotePrefix="1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0" fillId="5" borderId="61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62" xfId="0" applyFill="1" applyBorder="1" applyAlignment="1" applyProtection="1">
      <alignment horizontal="center"/>
      <protection locked="0"/>
    </xf>
    <xf numFmtId="0" fontId="80" fillId="0" borderId="0" xfId="0" applyFont="1" applyAlignment="1">
      <alignment horizontal="left"/>
    </xf>
    <xf numFmtId="0" fontId="80" fillId="5" borderId="61" xfId="0" applyFont="1" applyFill="1" applyBorder="1" applyAlignment="1" applyProtection="1">
      <alignment horizontal="center"/>
      <protection locked="0"/>
    </xf>
    <xf numFmtId="0" fontId="80" fillId="5" borderId="36" xfId="0" applyFont="1" applyFill="1" applyBorder="1" applyAlignment="1" applyProtection="1">
      <alignment horizontal="center"/>
      <protection locked="0"/>
    </xf>
    <xf numFmtId="0" fontId="80" fillId="5" borderId="62" xfId="0" applyFont="1" applyFill="1" applyBorder="1" applyAlignment="1" applyProtection="1">
      <alignment horizontal="center"/>
      <protection locked="0"/>
    </xf>
    <xf numFmtId="0" fontId="8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0" fillId="4" borderId="0" xfId="0" applyFill="1" applyAlignment="1">
      <alignment horizontal="center" vertical="center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0" fontId="34" fillId="7" borderId="29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/>
    </xf>
    <xf numFmtId="0" fontId="58" fillId="0" borderId="0" xfId="0" applyFont="1" applyAlignment="1">
      <alignment horizontal="center"/>
    </xf>
    <xf numFmtId="0" fontId="3" fillId="0" borderId="0" xfId="2" applyFill="1" applyBorder="1" applyAlignment="1" applyProtection="1">
      <alignment horizontal="left"/>
      <protection locked="0"/>
    </xf>
    <xf numFmtId="0" fontId="17" fillId="6" borderId="3" xfId="0" applyFont="1" applyFill="1" applyBorder="1" applyAlignment="1">
      <alignment horizontal="center"/>
    </xf>
    <xf numFmtId="0" fontId="68" fillId="6" borderId="1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0" fillId="6" borderId="0" xfId="0" applyFill="1" applyAlignment="1">
      <alignment horizontal="left" wrapText="1"/>
    </xf>
    <xf numFmtId="0" fontId="0" fillId="6" borderId="22" xfId="0" applyFill="1" applyBorder="1" applyAlignment="1">
      <alignment horizontal="left" wrapText="1"/>
    </xf>
    <xf numFmtId="0" fontId="11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33" fillId="0" borderId="0" xfId="5" applyFont="1" applyAlignment="1">
      <alignment horizontal="center"/>
    </xf>
    <xf numFmtId="0" fontId="76" fillId="0" borderId="0" xfId="2" applyFont="1" applyBorder="1" applyAlignment="1" applyProtection="1">
      <alignment horizontal="right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3" fillId="0" borderId="0" xfId="2" applyBorder="1" applyAlignment="1" applyProtection="1">
      <alignment horizontal="left"/>
      <protection locked="0"/>
    </xf>
    <xf numFmtId="0" fontId="76" fillId="0" borderId="0" xfId="2" applyFont="1" applyBorder="1" applyAlignment="1" applyProtection="1">
      <alignment horizontal="center"/>
      <protection locked="0"/>
    </xf>
    <xf numFmtId="0" fontId="13" fillId="8" borderId="0" xfId="0" applyFont="1" applyFill="1" applyAlignment="1">
      <alignment horizontal="center"/>
    </xf>
    <xf numFmtId="0" fontId="22" fillId="0" borderId="14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9" fillId="0" borderId="0" xfId="0" applyFont="1" applyAlignment="1">
      <alignment horizontal="center"/>
    </xf>
    <xf numFmtId="0" fontId="66" fillId="0" borderId="0" xfId="0" applyFont="1" applyAlignment="1">
      <alignment horizontal="center" wrapText="1"/>
    </xf>
    <xf numFmtId="0" fontId="54" fillId="0" borderId="1" xfId="3" applyFont="1" applyBorder="1" applyAlignment="1">
      <alignment horizontal="center"/>
    </xf>
    <xf numFmtId="0" fontId="54" fillId="0" borderId="3" xfId="3" applyFont="1" applyBorder="1" applyAlignment="1">
      <alignment horizontal="left"/>
    </xf>
    <xf numFmtId="0" fontId="54" fillId="0" borderId="31" xfId="3" applyFont="1" applyBorder="1" applyAlignment="1">
      <alignment horizontal="left"/>
    </xf>
    <xf numFmtId="0" fontId="42" fillId="0" borderId="3" xfId="3" applyFont="1" applyBorder="1" applyAlignment="1">
      <alignment horizontal="center"/>
    </xf>
    <xf numFmtId="0" fontId="47" fillId="0" borderId="0" xfId="6" applyFont="1" applyAlignment="1">
      <alignment horizontal="center" vertical="center"/>
    </xf>
    <xf numFmtId="0" fontId="45" fillId="0" borderId="0" xfId="6" applyFont="1" applyAlignment="1">
      <alignment horizontal="center" vertical="center"/>
    </xf>
    <xf numFmtId="0" fontId="46" fillId="0" borderId="46" xfId="6" applyFont="1" applyBorder="1" applyAlignment="1">
      <alignment horizontal="center" vertical="center" wrapText="1"/>
    </xf>
    <xf numFmtId="0" fontId="46" fillId="0" borderId="47" xfId="6" applyFont="1" applyBorder="1" applyAlignment="1">
      <alignment horizontal="center" vertical="center" wrapText="1"/>
    </xf>
    <xf numFmtId="0" fontId="46" fillId="0" borderId="48" xfId="6" applyFont="1" applyBorder="1" applyAlignment="1">
      <alignment horizontal="center" vertical="center" wrapText="1"/>
    </xf>
    <xf numFmtId="0" fontId="48" fillId="0" borderId="40" xfId="6" applyFont="1" applyBorder="1" applyAlignment="1">
      <alignment horizontal="center" vertical="center" wrapText="1"/>
    </xf>
    <xf numFmtId="0" fontId="48" fillId="0" borderId="42" xfId="6" applyFont="1" applyBorder="1" applyAlignment="1">
      <alignment horizontal="center" vertical="center" wrapText="1"/>
    </xf>
    <xf numFmtId="0" fontId="48" fillId="0" borderId="37" xfId="6" applyFont="1" applyBorder="1" applyAlignment="1">
      <alignment horizontal="center" vertical="center" wrapText="1"/>
    </xf>
    <xf numFmtId="0" fontId="48" fillId="0" borderId="38" xfId="6" applyFont="1" applyBorder="1" applyAlignment="1">
      <alignment horizontal="center" vertical="center" wrapText="1"/>
    </xf>
    <xf numFmtId="0" fontId="48" fillId="0" borderId="39" xfId="6" applyFont="1" applyBorder="1" applyAlignment="1">
      <alignment horizontal="center" vertical="center" wrapText="1"/>
    </xf>
    <xf numFmtId="0" fontId="48" fillId="0" borderId="41" xfId="6" applyFont="1" applyBorder="1" applyAlignment="1">
      <alignment horizontal="center" vertical="center" wrapText="1"/>
    </xf>
    <xf numFmtId="0" fontId="48" fillId="0" borderId="43" xfId="6" applyFont="1" applyBorder="1" applyAlignment="1">
      <alignment horizontal="center" vertical="center" wrapText="1"/>
    </xf>
    <xf numFmtId="0" fontId="48" fillId="0" borderId="44" xfId="6" applyFont="1" applyBorder="1" applyAlignment="1">
      <alignment horizontal="center" vertical="center" wrapText="1"/>
    </xf>
    <xf numFmtId="0" fontId="48" fillId="0" borderId="45" xfId="6" applyFont="1" applyBorder="1" applyAlignment="1">
      <alignment horizontal="center" vertical="center" wrapText="1"/>
    </xf>
  </cellXfs>
  <cellStyles count="8">
    <cellStyle name="Comma" xfId="1" builtinId="3"/>
    <cellStyle name="Hyperlink" xfId="2" builtinId="8"/>
    <cellStyle name="Normal" xfId="0" builtinId="0"/>
    <cellStyle name="Normal_DEVIATIONFORM" xfId="3" xr:uid="{00000000-0005-0000-0000-000003000000}"/>
    <cellStyle name="Normal_SWRWKSHT" xfId="4" xr:uid="{00000000-0005-0000-0000-000004000000}"/>
    <cellStyle name="Normal_SWRWKSHT - 3R" xfId="5" xr:uid="{00000000-0005-0000-0000-000005000000}"/>
    <cellStyle name="Normal_USCS - SE" xfId="6" xr:uid="{00000000-0005-0000-0000-000006000000}"/>
    <cellStyle name="Percent" xfId="7" builtinId="5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32</xdr:row>
      <xdr:rowOff>66675</xdr:rowOff>
    </xdr:from>
    <xdr:to>
      <xdr:col>9</xdr:col>
      <xdr:colOff>361950</xdr:colOff>
      <xdr:row>32</xdr:row>
      <xdr:rowOff>66675</xdr:rowOff>
    </xdr:to>
    <xdr:sp macro="" textlink="">
      <xdr:nvSpPr>
        <xdr:cNvPr id="2608" name="Line 19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>
          <a:spLocks noChangeShapeType="1"/>
        </xdr:cNvSpPr>
      </xdr:nvSpPr>
      <xdr:spPr bwMode="auto">
        <a:xfrm>
          <a:off x="3552825" y="57912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31</xdr:row>
      <xdr:rowOff>85725</xdr:rowOff>
    </xdr:from>
    <xdr:to>
      <xdr:col>9</xdr:col>
      <xdr:colOff>381000</xdr:colOff>
      <xdr:row>31</xdr:row>
      <xdr:rowOff>85725</xdr:rowOff>
    </xdr:to>
    <xdr:sp macro="" textlink="">
      <xdr:nvSpPr>
        <xdr:cNvPr id="2609" name="Line 22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>
          <a:spLocks noChangeShapeType="1"/>
        </xdr:cNvSpPr>
      </xdr:nvSpPr>
      <xdr:spPr bwMode="auto">
        <a:xfrm>
          <a:off x="4276725" y="56483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28</xdr:row>
      <xdr:rowOff>28575</xdr:rowOff>
    </xdr:from>
    <xdr:to>
      <xdr:col>4</xdr:col>
      <xdr:colOff>0</xdr:colOff>
      <xdr:row>30</xdr:row>
      <xdr:rowOff>142875</xdr:rowOff>
    </xdr:to>
    <xdr:sp macro="" textlink="">
      <xdr:nvSpPr>
        <xdr:cNvPr id="2610" name="Left Brace 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>
          <a:spLocks/>
        </xdr:cNvSpPr>
      </xdr:nvSpPr>
      <xdr:spPr bwMode="auto">
        <a:xfrm>
          <a:off x="1552575" y="5105400"/>
          <a:ext cx="276225" cy="438150"/>
        </a:xfrm>
        <a:prstGeom prst="leftBrace">
          <a:avLst>
            <a:gd name="adj1" fmla="val 830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352425</xdr:colOff>
      <xdr:row>31</xdr:row>
      <xdr:rowOff>47625</xdr:rowOff>
    </xdr:from>
    <xdr:to>
      <xdr:col>3</xdr:col>
      <xdr:colOff>600075</xdr:colOff>
      <xdr:row>32</xdr:row>
      <xdr:rowOff>123825</xdr:rowOff>
    </xdr:to>
    <xdr:sp macro="" textlink="">
      <xdr:nvSpPr>
        <xdr:cNvPr id="2611" name="Left Brace 2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>
          <a:spLocks/>
        </xdr:cNvSpPr>
      </xdr:nvSpPr>
      <xdr:spPr bwMode="auto">
        <a:xfrm>
          <a:off x="1571625" y="5610225"/>
          <a:ext cx="247650" cy="238125"/>
        </a:xfrm>
        <a:prstGeom prst="leftBrace">
          <a:avLst>
            <a:gd name="adj1" fmla="val 833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418170</xdr:colOff>
      <xdr:row>23</xdr:row>
      <xdr:rowOff>65049</xdr:rowOff>
    </xdr:from>
    <xdr:to>
      <xdr:col>8</xdr:col>
      <xdr:colOff>199561</xdr:colOff>
      <xdr:row>23</xdr:row>
      <xdr:rowOff>67139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047195" y="3675024"/>
          <a:ext cx="400516" cy="209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31750</xdr:rowOff>
        </xdr:from>
        <xdr:to>
          <xdr:col>3</xdr:col>
          <xdr:colOff>146050</xdr:colOff>
          <xdr:row>54</xdr:row>
          <xdr:rowOff>6350</xdr:rowOff>
        </xdr:to>
        <xdr:sp macro="" textlink="">
          <xdr:nvSpPr>
            <xdr:cNvPr id="2049" name="Picture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53</xdr:row>
          <xdr:rowOff>31750</xdr:rowOff>
        </xdr:from>
        <xdr:to>
          <xdr:col>4</xdr:col>
          <xdr:colOff>69850</xdr:colOff>
          <xdr:row>54</xdr:row>
          <xdr:rowOff>6350</xdr:rowOff>
        </xdr:to>
        <xdr:sp macro="" textlink="">
          <xdr:nvSpPr>
            <xdr:cNvPr id="2050" name="Picture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65</xdr:row>
      <xdr:rowOff>0</xdr:rowOff>
    </xdr:from>
    <xdr:to>
      <xdr:col>3</xdr:col>
      <xdr:colOff>304800</xdr:colOff>
      <xdr:row>74</xdr:row>
      <xdr:rowOff>0</xdr:rowOff>
    </xdr:to>
    <xdr:sp macro="" textlink="">
      <xdr:nvSpPr>
        <xdr:cNvPr id="16096" name="Line 4">
          <a:extLst>
            <a:ext uri="{FF2B5EF4-FFF2-40B4-BE49-F238E27FC236}">
              <a16:creationId xmlns:a16="http://schemas.microsoft.com/office/drawing/2014/main" id="{00000000-0008-0000-0200-0000E03E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12573000"/>
          <a:ext cx="0" cy="128587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33</xdr:row>
      <xdr:rowOff>9525</xdr:rowOff>
    </xdr:from>
    <xdr:to>
      <xdr:col>3</xdr:col>
      <xdr:colOff>304800</xdr:colOff>
      <xdr:row>49</xdr:row>
      <xdr:rowOff>9525</xdr:rowOff>
    </xdr:to>
    <xdr:sp macro="" textlink="">
      <xdr:nvSpPr>
        <xdr:cNvPr id="16097" name="Line 1">
          <a:extLst>
            <a:ext uri="{FF2B5EF4-FFF2-40B4-BE49-F238E27FC236}">
              <a16:creationId xmlns:a16="http://schemas.microsoft.com/office/drawing/2014/main" id="{00000000-0008-0000-0200-0000E13E0000}"/>
            </a:ext>
          </a:extLst>
        </xdr:cNvPr>
        <xdr:cNvSpPr>
          <a:spLocks noChangeShapeType="1"/>
        </xdr:cNvSpPr>
      </xdr:nvSpPr>
      <xdr:spPr bwMode="auto">
        <a:xfrm>
          <a:off x="1590675" y="8010525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33</xdr:row>
      <xdr:rowOff>0</xdr:rowOff>
    </xdr:from>
    <xdr:to>
      <xdr:col>3</xdr:col>
      <xdr:colOff>304800</xdr:colOff>
      <xdr:row>49</xdr:row>
      <xdr:rowOff>0</xdr:rowOff>
    </xdr:to>
    <xdr:sp macro="" textlink="">
      <xdr:nvSpPr>
        <xdr:cNvPr id="16098" name="Line 2">
          <a:extLst>
            <a:ext uri="{FF2B5EF4-FFF2-40B4-BE49-F238E27FC236}">
              <a16:creationId xmlns:a16="http://schemas.microsoft.com/office/drawing/2014/main" id="{00000000-0008-0000-0200-0000E23E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8001000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65</xdr:row>
      <xdr:rowOff>9525</xdr:rowOff>
    </xdr:from>
    <xdr:to>
      <xdr:col>3</xdr:col>
      <xdr:colOff>304800</xdr:colOff>
      <xdr:row>74</xdr:row>
      <xdr:rowOff>0</xdr:rowOff>
    </xdr:to>
    <xdr:sp macro="" textlink="">
      <xdr:nvSpPr>
        <xdr:cNvPr id="16099" name="Line 3">
          <a:extLst>
            <a:ext uri="{FF2B5EF4-FFF2-40B4-BE49-F238E27FC236}">
              <a16:creationId xmlns:a16="http://schemas.microsoft.com/office/drawing/2014/main" id="{00000000-0008-0000-0200-0000E33E0000}"/>
            </a:ext>
          </a:extLst>
        </xdr:cNvPr>
        <xdr:cNvSpPr>
          <a:spLocks noChangeShapeType="1"/>
        </xdr:cNvSpPr>
      </xdr:nvSpPr>
      <xdr:spPr bwMode="auto">
        <a:xfrm>
          <a:off x="1590675" y="12582525"/>
          <a:ext cx="0" cy="12763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131</xdr:row>
      <xdr:rowOff>0</xdr:rowOff>
    </xdr:from>
    <xdr:to>
      <xdr:col>6</xdr:col>
      <xdr:colOff>266700</xdr:colOff>
      <xdr:row>131</xdr:row>
      <xdr:rowOff>0</xdr:rowOff>
    </xdr:to>
    <xdr:sp macro="" textlink="">
      <xdr:nvSpPr>
        <xdr:cNvPr id="16100" name="Line 73">
          <a:extLst>
            <a:ext uri="{FF2B5EF4-FFF2-40B4-BE49-F238E27FC236}">
              <a16:creationId xmlns:a16="http://schemas.microsoft.com/office/drawing/2014/main" id="{00000000-0008-0000-0200-0000E43E0000}"/>
            </a:ext>
          </a:extLst>
        </xdr:cNvPr>
        <xdr:cNvSpPr>
          <a:spLocks noChangeShapeType="1"/>
        </xdr:cNvSpPr>
      </xdr:nvSpPr>
      <xdr:spPr bwMode="auto">
        <a:xfrm flipV="1">
          <a:off x="30956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131</xdr:row>
      <xdr:rowOff>0</xdr:rowOff>
    </xdr:from>
    <xdr:to>
      <xdr:col>8</xdr:col>
      <xdr:colOff>304800</xdr:colOff>
      <xdr:row>131</xdr:row>
      <xdr:rowOff>0</xdr:rowOff>
    </xdr:to>
    <xdr:sp macro="" textlink="">
      <xdr:nvSpPr>
        <xdr:cNvPr id="16101" name="Line 74">
          <a:extLst>
            <a:ext uri="{FF2B5EF4-FFF2-40B4-BE49-F238E27FC236}">
              <a16:creationId xmlns:a16="http://schemas.microsoft.com/office/drawing/2014/main" id="{00000000-0008-0000-0200-0000E53E0000}"/>
            </a:ext>
          </a:extLst>
        </xdr:cNvPr>
        <xdr:cNvSpPr>
          <a:spLocks noChangeShapeType="1"/>
        </xdr:cNvSpPr>
      </xdr:nvSpPr>
      <xdr:spPr bwMode="auto">
        <a:xfrm flipV="1">
          <a:off x="41624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131</xdr:row>
      <xdr:rowOff>0</xdr:rowOff>
    </xdr:from>
    <xdr:to>
      <xdr:col>9</xdr:col>
      <xdr:colOff>304800</xdr:colOff>
      <xdr:row>131</xdr:row>
      <xdr:rowOff>0</xdr:rowOff>
    </xdr:to>
    <xdr:sp macro="" textlink="">
      <xdr:nvSpPr>
        <xdr:cNvPr id="16102" name="Line 75">
          <a:extLst>
            <a:ext uri="{FF2B5EF4-FFF2-40B4-BE49-F238E27FC236}">
              <a16:creationId xmlns:a16="http://schemas.microsoft.com/office/drawing/2014/main" id="{00000000-0008-0000-0200-0000E63E0000}"/>
            </a:ext>
          </a:extLst>
        </xdr:cNvPr>
        <xdr:cNvSpPr>
          <a:spLocks noChangeShapeType="1"/>
        </xdr:cNvSpPr>
      </xdr:nvSpPr>
      <xdr:spPr bwMode="auto">
        <a:xfrm flipV="1">
          <a:off x="467677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131</xdr:row>
      <xdr:rowOff>0</xdr:rowOff>
    </xdr:from>
    <xdr:to>
      <xdr:col>9</xdr:col>
      <xdr:colOff>304800</xdr:colOff>
      <xdr:row>131</xdr:row>
      <xdr:rowOff>0</xdr:rowOff>
    </xdr:to>
    <xdr:sp macro="" textlink="">
      <xdr:nvSpPr>
        <xdr:cNvPr id="16103" name="Line 76">
          <a:extLst>
            <a:ext uri="{FF2B5EF4-FFF2-40B4-BE49-F238E27FC236}">
              <a16:creationId xmlns:a16="http://schemas.microsoft.com/office/drawing/2014/main" id="{00000000-0008-0000-0200-0000E73E0000}"/>
            </a:ext>
          </a:extLst>
        </xdr:cNvPr>
        <xdr:cNvSpPr>
          <a:spLocks noChangeShapeType="1"/>
        </xdr:cNvSpPr>
      </xdr:nvSpPr>
      <xdr:spPr bwMode="auto">
        <a:xfrm>
          <a:off x="467677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131</xdr:row>
      <xdr:rowOff>0</xdr:rowOff>
    </xdr:from>
    <xdr:to>
      <xdr:col>9</xdr:col>
      <xdr:colOff>304800</xdr:colOff>
      <xdr:row>131</xdr:row>
      <xdr:rowOff>0</xdr:rowOff>
    </xdr:to>
    <xdr:sp macro="" textlink="">
      <xdr:nvSpPr>
        <xdr:cNvPr id="16104" name="Line 77">
          <a:extLst>
            <a:ext uri="{FF2B5EF4-FFF2-40B4-BE49-F238E27FC236}">
              <a16:creationId xmlns:a16="http://schemas.microsoft.com/office/drawing/2014/main" id="{00000000-0008-0000-0200-0000E83E0000}"/>
            </a:ext>
          </a:extLst>
        </xdr:cNvPr>
        <xdr:cNvSpPr>
          <a:spLocks noChangeShapeType="1"/>
        </xdr:cNvSpPr>
      </xdr:nvSpPr>
      <xdr:spPr bwMode="auto">
        <a:xfrm flipV="1">
          <a:off x="467677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131</xdr:row>
      <xdr:rowOff>0</xdr:rowOff>
    </xdr:from>
    <xdr:to>
      <xdr:col>8</xdr:col>
      <xdr:colOff>304800</xdr:colOff>
      <xdr:row>131</xdr:row>
      <xdr:rowOff>0</xdr:rowOff>
    </xdr:to>
    <xdr:sp macro="" textlink="">
      <xdr:nvSpPr>
        <xdr:cNvPr id="16105" name="Line 78">
          <a:extLst>
            <a:ext uri="{FF2B5EF4-FFF2-40B4-BE49-F238E27FC236}">
              <a16:creationId xmlns:a16="http://schemas.microsoft.com/office/drawing/2014/main" id="{00000000-0008-0000-0200-0000E93E0000}"/>
            </a:ext>
          </a:extLst>
        </xdr:cNvPr>
        <xdr:cNvSpPr>
          <a:spLocks noChangeShapeType="1"/>
        </xdr:cNvSpPr>
      </xdr:nvSpPr>
      <xdr:spPr bwMode="auto">
        <a:xfrm>
          <a:off x="41624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131</xdr:row>
      <xdr:rowOff>0</xdr:rowOff>
    </xdr:from>
    <xdr:to>
      <xdr:col>8</xdr:col>
      <xdr:colOff>304800</xdr:colOff>
      <xdr:row>131</xdr:row>
      <xdr:rowOff>0</xdr:rowOff>
    </xdr:to>
    <xdr:sp macro="" textlink="">
      <xdr:nvSpPr>
        <xdr:cNvPr id="16106" name="Line 79">
          <a:extLst>
            <a:ext uri="{FF2B5EF4-FFF2-40B4-BE49-F238E27FC236}">
              <a16:creationId xmlns:a16="http://schemas.microsoft.com/office/drawing/2014/main" id="{00000000-0008-0000-0200-0000EA3E0000}"/>
            </a:ext>
          </a:extLst>
        </xdr:cNvPr>
        <xdr:cNvSpPr>
          <a:spLocks noChangeShapeType="1"/>
        </xdr:cNvSpPr>
      </xdr:nvSpPr>
      <xdr:spPr bwMode="auto">
        <a:xfrm flipV="1">
          <a:off x="41624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131</xdr:row>
      <xdr:rowOff>0</xdr:rowOff>
    </xdr:from>
    <xdr:to>
      <xdr:col>6</xdr:col>
      <xdr:colOff>304800</xdr:colOff>
      <xdr:row>131</xdr:row>
      <xdr:rowOff>0</xdr:rowOff>
    </xdr:to>
    <xdr:sp macro="" textlink="">
      <xdr:nvSpPr>
        <xdr:cNvPr id="16107" name="Line 80">
          <a:extLst>
            <a:ext uri="{FF2B5EF4-FFF2-40B4-BE49-F238E27FC236}">
              <a16:creationId xmlns:a16="http://schemas.microsoft.com/office/drawing/2014/main" id="{00000000-0008-0000-0200-0000EB3E0000}"/>
            </a:ext>
          </a:extLst>
        </xdr:cNvPr>
        <xdr:cNvSpPr>
          <a:spLocks noChangeShapeType="1"/>
        </xdr:cNvSpPr>
      </xdr:nvSpPr>
      <xdr:spPr bwMode="auto">
        <a:xfrm>
          <a:off x="31337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131</xdr:row>
      <xdr:rowOff>0</xdr:rowOff>
    </xdr:from>
    <xdr:to>
      <xdr:col>6</xdr:col>
      <xdr:colOff>304800</xdr:colOff>
      <xdr:row>131</xdr:row>
      <xdr:rowOff>0</xdr:rowOff>
    </xdr:to>
    <xdr:sp macro="" textlink="">
      <xdr:nvSpPr>
        <xdr:cNvPr id="16108" name="Line 81">
          <a:extLst>
            <a:ext uri="{FF2B5EF4-FFF2-40B4-BE49-F238E27FC236}">
              <a16:creationId xmlns:a16="http://schemas.microsoft.com/office/drawing/2014/main" id="{00000000-0008-0000-0200-0000EC3E0000}"/>
            </a:ext>
          </a:extLst>
        </xdr:cNvPr>
        <xdr:cNvSpPr>
          <a:spLocks noChangeShapeType="1"/>
        </xdr:cNvSpPr>
      </xdr:nvSpPr>
      <xdr:spPr bwMode="auto">
        <a:xfrm flipV="1">
          <a:off x="31337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99</xdr:row>
      <xdr:rowOff>9525</xdr:rowOff>
    </xdr:from>
    <xdr:to>
      <xdr:col>3</xdr:col>
      <xdr:colOff>304800</xdr:colOff>
      <xdr:row>105</xdr:row>
      <xdr:rowOff>123825</xdr:rowOff>
    </xdr:to>
    <xdr:sp macro="" textlink="">
      <xdr:nvSpPr>
        <xdr:cNvPr id="16109" name="Line 82">
          <a:extLst>
            <a:ext uri="{FF2B5EF4-FFF2-40B4-BE49-F238E27FC236}">
              <a16:creationId xmlns:a16="http://schemas.microsoft.com/office/drawing/2014/main" id="{00000000-0008-0000-0200-0000ED3E0000}"/>
            </a:ext>
          </a:extLst>
        </xdr:cNvPr>
        <xdr:cNvSpPr>
          <a:spLocks noChangeShapeType="1"/>
        </xdr:cNvSpPr>
      </xdr:nvSpPr>
      <xdr:spPr bwMode="auto">
        <a:xfrm>
          <a:off x="1590675" y="17440275"/>
          <a:ext cx="0" cy="9715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99</xdr:row>
      <xdr:rowOff>0</xdr:rowOff>
    </xdr:from>
    <xdr:to>
      <xdr:col>3</xdr:col>
      <xdr:colOff>304800</xdr:colOff>
      <xdr:row>106</xdr:row>
      <xdr:rowOff>0</xdr:rowOff>
    </xdr:to>
    <xdr:sp macro="" textlink="">
      <xdr:nvSpPr>
        <xdr:cNvPr id="16110" name="Line 83">
          <a:extLst>
            <a:ext uri="{FF2B5EF4-FFF2-40B4-BE49-F238E27FC236}">
              <a16:creationId xmlns:a16="http://schemas.microsoft.com/office/drawing/2014/main" id="{00000000-0008-0000-0200-0000EE3E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17430750"/>
          <a:ext cx="0" cy="100012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142</xdr:row>
      <xdr:rowOff>19050</xdr:rowOff>
    </xdr:from>
    <xdr:to>
      <xdr:col>6</xdr:col>
      <xdr:colOff>428625</xdr:colOff>
      <xdr:row>142</xdr:row>
      <xdr:rowOff>19050</xdr:rowOff>
    </xdr:to>
    <xdr:sp macro="" textlink="">
      <xdr:nvSpPr>
        <xdr:cNvPr id="16581" name="Line 170">
          <a:extLst>
            <a:ext uri="{FF2B5EF4-FFF2-40B4-BE49-F238E27FC236}">
              <a16:creationId xmlns:a16="http://schemas.microsoft.com/office/drawing/2014/main" id="{00000000-0008-0000-0300-0000C5400000}"/>
            </a:ext>
          </a:extLst>
        </xdr:cNvPr>
        <xdr:cNvSpPr>
          <a:spLocks noChangeShapeType="1"/>
        </xdr:cNvSpPr>
      </xdr:nvSpPr>
      <xdr:spPr bwMode="auto">
        <a:xfrm flipH="1">
          <a:off x="3219450" y="2177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142</xdr:row>
      <xdr:rowOff>104775</xdr:rowOff>
    </xdr:from>
    <xdr:to>
      <xdr:col>6</xdr:col>
      <xdr:colOff>428625</xdr:colOff>
      <xdr:row>142</xdr:row>
      <xdr:rowOff>104775</xdr:rowOff>
    </xdr:to>
    <xdr:sp macro="" textlink="">
      <xdr:nvSpPr>
        <xdr:cNvPr id="16582" name="Line 173">
          <a:extLst>
            <a:ext uri="{FF2B5EF4-FFF2-40B4-BE49-F238E27FC236}">
              <a16:creationId xmlns:a16="http://schemas.microsoft.com/office/drawing/2014/main" id="{00000000-0008-0000-0300-0000C6400000}"/>
            </a:ext>
          </a:extLst>
        </xdr:cNvPr>
        <xdr:cNvSpPr>
          <a:spLocks noChangeShapeType="1"/>
        </xdr:cNvSpPr>
      </xdr:nvSpPr>
      <xdr:spPr bwMode="auto">
        <a:xfrm>
          <a:off x="3219450" y="2185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38100</xdr:rowOff>
    </xdr:from>
    <xdr:to>
      <xdr:col>5</xdr:col>
      <xdr:colOff>600075</xdr:colOff>
      <xdr:row>6</xdr:row>
      <xdr:rowOff>400050</xdr:rowOff>
    </xdr:to>
    <xdr:sp macro="" textlink="">
      <xdr:nvSpPr>
        <xdr:cNvPr id="3526" name="AutoShape 1">
          <a:extLst>
            <a:ext uri="{FF2B5EF4-FFF2-40B4-BE49-F238E27FC236}">
              <a16:creationId xmlns:a16="http://schemas.microsoft.com/office/drawing/2014/main" id="{00000000-0008-0000-0500-0000C60D0000}"/>
            </a:ext>
          </a:extLst>
        </xdr:cNvPr>
        <xdr:cNvSpPr>
          <a:spLocks/>
        </xdr:cNvSpPr>
      </xdr:nvSpPr>
      <xdr:spPr bwMode="auto">
        <a:xfrm>
          <a:off x="5915025" y="666750"/>
          <a:ext cx="457200" cy="2114550"/>
        </a:xfrm>
        <a:prstGeom prst="rightBrace">
          <a:avLst>
            <a:gd name="adj1" fmla="val 38542"/>
            <a:gd name="adj2" fmla="val 567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</xdr:row>
      <xdr:rowOff>9525</xdr:rowOff>
    </xdr:from>
    <xdr:to>
      <xdr:col>5</xdr:col>
      <xdr:colOff>581025</xdr:colOff>
      <xdr:row>10</xdr:row>
      <xdr:rowOff>419100</xdr:rowOff>
    </xdr:to>
    <xdr:sp macro="" textlink="">
      <xdr:nvSpPr>
        <xdr:cNvPr id="3527" name="AutoShape 2">
          <a:extLst>
            <a:ext uri="{FF2B5EF4-FFF2-40B4-BE49-F238E27FC236}">
              <a16:creationId xmlns:a16="http://schemas.microsoft.com/office/drawing/2014/main" id="{00000000-0008-0000-0500-0000C70D0000}"/>
            </a:ext>
          </a:extLst>
        </xdr:cNvPr>
        <xdr:cNvSpPr>
          <a:spLocks/>
        </xdr:cNvSpPr>
      </xdr:nvSpPr>
      <xdr:spPr bwMode="auto">
        <a:xfrm>
          <a:off x="5895975" y="2828925"/>
          <a:ext cx="476250" cy="1724025"/>
        </a:xfrm>
        <a:prstGeom prst="rightBrace">
          <a:avLst>
            <a:gd name="adj1" fmla="val 30167"/>
            <a:gd name="adj2" fmla="val 47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0</xdr:row>
      <xdr:rowOff>276225</xdr:rowOff>
    </xdr:from>
    <xdr:to>
      <xdr:col>6</xdr:col>
      <xdr:colOff>219075</xdr:colOff>
      <xdr:row>4</xdr:row>
      <xdr:rowOff>190500</xdr:rowOff>
    </xdr:to>
    <xdr:sp macro="" textlink="">
      <xdr:nvSpPr>
        <xdr:cNvPr id="3528" name="Line 3">
          <a:extLst>
            <a:ext uri="{FF2B5EF4-FFF2-40B4-BE49-F238E27FC236}">
              <a16:creationId xmlns:a16="http://schemas.microsoft.com/office/drawing/2014/main" id="{00000000-0008-0000-0500-0000C80D0000}"/>
            </a:ext>
          </a:extLst>
        </xdr:cNvPr>
        <xdr:cNvSpPr>
          <a:spLocks noChangeShapeType="1"/>
        </xdr:cNvSpPr>
      </xdr:nvSpPr>
      <xdr:spPr bwMode="auto">
        <a:xfrm flipH="1">
          <a:off x="6553200" y="276225"/>
          <a:ext cx="3810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B2:R71"/>
  <sheetViews>
    <sheetView showGridLines="0" tabSelected="1" zoomScale="110" zoomScaleNormal="110" workbookViewId="0">
      <selection activeCell="F6" sqref="F6"/>
    </sheetView>
  </sheetViews>
  <sheetFormatPr defaultColWidth="9.1796875" defaultRowHeight="13" x14ac:dyDescent="0.3"/>
  <cols>
    <col min="1" max="1" width="4.453125" style="109" customWidth="1"/>
    <col min="2" max="2" width="4.7265625" style="109" customWidth="1"/>
    <col min="3" max="8" width="9.1796875" style="109"/>
    <col min="9" max="9" width="10.26953125" style="109" bestFit="1" customWidth="1"/>
    <col min="10" max="11" width="9.1796875" style="109"/>
    <col min="12" max="12" width="5.81640625" style="109" customWidth="1"/>
    <col min="13" max="15" width="3" style="109" customWidth="1"/>
    <col min="16" max="16384" width="9.1796875" style="109"/>
  </cols>
  <sheetData>
    <row r="2" spans="2:15" ht="13.5" thickBot="1" x14ac:dyDescent="0.35"/>
    <row r="3" spans="2:15" ht="16.5" customHeight="1" x14ac:dyDescent="0.3">
      <c r="B3" s="83"/>
      <c r="C3" s="128"/>
      <c r="D3" s="128"/>
      <c r="E3" s="84"/>
      <c r="F3" s="84"/>
      <c r="G3" s="84"/>
      <c r="H3" s="84"/>
      <c r="I3" s="84"/>
      <c r="J3" s="128"/>
      <c r="K3" s="84"/>
      <c r="L3" s="84"/>
      <c r="M3" s="84"/>
      <c r="N3" s="85"/>
    </row>
    <row r="4" spans="2:15" ht="12.75" customHeight="1" x14ac:dyDescent="0.35">
      <c r="B4" s="129"/>
      <c r="C4" s="461" t="s">
        <v>159</v>
      </c>
      <c r="D4" s="461"/>
      <c r="E4" s="462"/>
      <c r="F4" s="463"/>
      <c r="G4" s="464"/>
      <c r="H4" s="321"/>
      <c r="I4" s="321"/>
      <c r="J4" s="453" t="s">
        <v>338</v>
      </c>
      <c r="K4" s="453"/>
      <c r="L4" s="453"/>
      <c r="M4" s="453"/>
      <c r="N4" s="130"/>
      <c r="O4" s="125"/>
    </row>
    <row r="5" spans="2:15" ht="12.75" customHeight="1" x14ac:dyDescent="0.3">
      <c r="B5" s="129"/>
      <c r="C5" s="2" t="s">
        <v>160</v>
      </c>
      <c r="D5" s="2"/>
      <c r="E5" s="458"/>
      <c r="F5" s="459"/>
      <c r="G5" s="459"/>
      <c r="H5" s="459"/>
      <c r="I5" s="460"/>
      <c r="J5" s="453"/>
      <c r="K5" s="453"/>
      <c r="L5" s="453"/>
      <c r="M5" s="453"/>
      <c r="N5" s="130"/>
      <c r="O5" s="125"/>
    </row>
    <row r="6" spans="2:15" ht="12.75" customHeight="1" x14ac:dyDescent="0.3">
      <c r="B6" s="131"/>
      <c r="C6" s="175" t="s">
        <v>84</v>
      </c>
      <c r="D6" s="2"/>
      <c r="E6" s="2"/>
      <c r="F6" s="319"/>
      <c r="G6" s="99" t="s">
        <v>322</v>
      </c>
      <c r="H6"/>
      <c r="I6"/>
      <c r="J6" s="454" t="s">
        <v>443</v>
      </c>
      <c r="K6" s="454"/>
      <c r="L6" s="454"/>
      <c r="M6" s="454"/>
      <c r="N6" s="132"/>
      <c r="O6" s="126"/>
    </row>
    <row r="7" spans="2:15" ht="12.75" customHeight="1" x14ac:dyDescent="0.3">
      <c r="B7" s="131"/>
      <c r="C7" s="2"/>
      <c r="D7" s="2"/>
      <c r="E7" s="2"/>
      <c r="F7" s="316"/>
      <c r="G7" s="95"/>
      <c r="H7" s="96"/>
      <c r="I7" s="96"/>
      <c r="J7" s="454"/>
      <c r="K7" s="454"/>
      <c r="L7" s="454"/>
      <c r="M7" s="454"/>
      <c r="N7" s="132"/>
      <c r="O7" s="126"/>
    </row>
    <row r="8" spans="2:15" ht="12.75" customHeight="1" x14ac:dyDescent="0.3">
      <c r="B8" s="131"/>
      <c r="C8" s="2"/>
      <c r="D8" s="2"/>
      <c r="E8" s="2"/>
      <c r="F8" s="317"/>
      <c r="G8"/>
      <c r="H8" s="1"/>
      <c r="I8" s="2"/>
      <c r="J8" s="97"/>
      <c r="K8" s="97"/>
      <c r="L8" s="97"/>
      <c r="M8" s="97"/>
      <c r="N8" s="98"/>
      <c r="O8" s="127"/>
    </row>
    <row r="9" spans="2:15" ht="12.75" customHeight="1" x14ac:dyDescent="0.3">
      <c r="B9" s="131"/>
      <c r="C9" s="2"/>
      <c r="D9" s="2"/>
      <c r="E9" s="2"/>
      <c r="F9" s="318"/>
      <c r="G9"/>
      <c r="H9" s="1"/>
      <c r="I9" s="2"/>
      <c r="J9" s="97"/>
      <c r="K9" s="97"/>
      <c r="L9" s="97"/>
      <c r="M9" s="97"/>
      <c r="N9" s="98"/>
      <c r="O9" s="127"/>
    </row>
    <row r="10" spans="2:15" ht="12.75" customHeight="1" x14ac:dyDescent="0.35">
      <c r="B10" s="131"/>
      <c r="C10" s="133"/>
      <c r="D10" s="2"/>
      <c r="E10"/>
      <c r="F10" s="455" t="s">
        <v>323</v>
      </c>
      <c r="G10" s="455"/>
      <c r="H10" s="455"/>
      <c r="I10" s="455"/>
      <c r="J10" s="2"/>
      <c r="K10" s="2"/>
      <c r="L10" s="2"/>
      <c r="M10"/>
      <c r="N10" s="87"/>
    </row>
    <row r="11" spans="2:15" ht="12.75" customHeight="1" x14ac:dyDescent="0.35">
      <c r="B11" s="131"/>
      <c r="C11" s="133"/>
      <c r="D11" s="2"/>
      <c r="E11"/>
      <c r="F11" s="455"/>
      <c r="G11" s="455"/>
      <c r="H11" s="455"/>
      <c r="I11" s="455"/>
      <c r="J11" s="2"/>
      <c r="K11" s="2"/>
      <c r="L11" s="2"/>
      <c r="M11"/>
      <c r="N11" s="87"/>
    </row>
    <row r="12" spans="2:15" ht="12.75" customHeight="1" x14ac:dyDescent="0.3">
      <c r="B12" s="131"/>
      <c r="C12"/>
      <c r="D12" s="2"/>
      <c r="E12" s="134"/>
      <c r="F12" s="100"/>
      <c r="G12" s="100"/>
      <c r="H12" s="2"/>
      <c r="I12" s="1"/>
      <c r="J12" s="2"/>
      <c r="K12" s="2"/>
      <c r="L12" s="2"/>
      <c r="M12"/>
      <c r="N12" s="87"/>
    </row>
    <row r="13" spans="2:15" ht="12.75" customHeight="1" thickBot="1" x14ac:dyDescent="0.35">
      <c r="B13" s="131"/>
      <c r="C13"/>
      <c r="D13" s="2"/>
      <c r="E13" s="134"/>
      <c r="F13" s="100"/>
      <c r="G13" s="100"/>
      <c r="H13" s="2"/>
      <c r="I13" s="1"/>
      <c r="J13" s="2"/>
      <c r="K13" s="2"/>
      <c r="L13" s="2"/>
      <c r="M13"/>
      <c r="N13" s="87"/>
    </row>
    <row r="14" spans="2:15" ht="12.75" customHeight="1" thickTop="1" x14ac:dyDescent="0.3">
      <c r="B14" s="131"/>
      <c r="C14" s="106"/>
      <c r="D14" s="107"/>
      <c r="E14" s="167"/>
      <c r="F14" s="168"/>
      <c r="G14" s="168"/>
      <c r="H14" s="107"/>
      <c r="I14" s="108"/>
      <c r="J14" s="107"/>
      <c r="K14" s="107"/>
      <c r="L14" s="107"/>
      <c r="M14"/>
      <c r="N14" s="87"/>
    </row>
    <row r="15" spans="2:15" ht="12.75" customHeight="1" x14ac:dyDescent="0.3">
      <c r="B15" s="131" t="s">
        <v>4</v>
      </c>
      <c r="C15" s="2"/>
      <c r="D15" s="2"/>
      <c r="E15" s="2"/>
      <c r="F15"/>
      <c r="G15"/>
      <c r="H15" s="2"/>
      <c r="I15" s="1" t="s">
        <v>0</v>
      </c>
      <c r="J15" s="2"/>
      <c r="K15" s="1" t="s">
        <v>1</v>
      </c>
      <c r="L15" s="2"/>
      <c r="M15"/>
      <c r="N15" s="87"/>
    </row>
    <row r="16" spans="2:15" ht="12.75" customHeight="1" x14ac:dyDescent="0.3">
      <c r="B16" s="131" t="s">
        <v>4</v>
      </c>
      <c r="C16"/>
      <c r="D16" s="2"/>
      <c r="E16" s="2"/>
      <c r="F16"/>
      <c r="G16"/>
      <c r="H16" s="2"/>
      <c r="I16" s="71" t="s">
        <v>3</v>
      </c>
      <c r="J16" s="2"/>
      <c r="K16" s="71" t="s">
        <v>3</v>
      </c>
      <c r="L16" s="2"/>
      <c r="M16"/>
      <c r="N16" s="87"/>
    </row>
    <row r="17" spans="2:16" ht="12.75" customHeight="1" x14ac:dyDescent="0.3">
      <c r="B17" s="131"/>
      <c r="C17"/>
      <c r="D17" s="447" t="s">
        <v>353</v>
      </c>
      <c r="E17" s="447"/>
      <c r="F17" s="2"/>
      <c r="G17"/>
      <c r="H17" s="2"/>
      <c r="I17" s="1"/>
      <c r="J17" s="2"/>
      <c r="K17" s="1"/>
      <c r="L17" s="2"/>
      <c r="M17"/>
      <c r="N17" s="87"/>
    </row>
    <row r="18" spans="2:16" ht="12.75" customHeight="1" x14ac:dyDescent="0.3">
      <c r="B18" s="131"/>
      <c r="C18"/>
      <c r="D18" s="2"/>
      <c r="E18" s="446" t="s">
        <v>325</v>
      </c>
      <c r="F18" s="446"/>
      <c r="G18"/>
      <c r="H18" s="2"/>
      <c r="I18" s="1">
        <v>10</v>
      </c>
      <c r="J18" s="2"/>
      <c r="K18" s="70">
        <f>'TRAFFIC &amp; ACCIDENTS'!J37</f>
        <v>10</v>
      </c>
      <c r="L18"/>
      <c r="M18"/>
      <c r="N18" s="87"/>
    </row>
    <row r="19" spans="2:16" ht="12.75" customHeight="1" x14ac:dyDescent="0.3">
      <c r="B19" s="131"/>
      <c r="C19"/>
      <c r="D19"/>
      <c r="E19" s="446" t="s">
        <v>326</v>
      </c>
      <c r="F19" s="446"/>
      <c r="G19"/>
      <c r="H19" s="2"/>
      <c r="I19" s="69">
        <v>10</v>
      </c>
      <c r="J19" s="2"/>
      <c r="K19" s="311">
        <f>'TRAFFIC &amp; ACCIDENTS'!K58</f>
        <v>0</v>
      </c>
      <c r="L19" s="2"/>
      <c r="M19"/>
      <c r="N19" s="87"/>
    </row>
    <row r="20" spans="2:16" ht="12.75" customHeight="1" x14ac:dyDescent="0.3">
      <c r="B20" s="131" t="s">
        <v>4</v>
      </c>
      <c r="C20"/>
      <c r="D20" s="2"/>
      <c r="E20" s="2"/>
      <c r="F20" s="2"/>
      <c r="G20"/>
      <c r="H20" s="2" t="s">
        <v>5</v>
      </c>
      <c r="I20" s="5">
        <f>SUM(I18:I19)</f>
        <v>20</v>
      </c>
      <c r="J20" s="2"/>
      <c r="K20" s="13">
        <f>SUM(K18:K19)</f>
        <v>10</v>
      </c>
      <c r="L20"/>
      <c r="M20"/>
      <c r="N20" s="87"/>
    </row>
    <row r="21" spans="2:16" ht="12.75" customHeight="1" thickBot="1" x14ac:dyDescent="0.35">
      <c r="B21" s="131" t="s">
        <v>4</v>
      </c>
      <c r="C21"/>
      <c r="D21" s="2"/>
      <c r="E21" s="2"/>
      <c r="F21" s="2"/>
      <c r="G21"/>
      <c r="H21" s="2"/>
      <c r="I21" s="1"/>
      <c r="J21" s="2"/>
      <c r="K21" s="1"/>
      <c r="L21" s="2"/>
      <c r="M21"/>
      <c r="N21" s="87"/>
    </row>
    <row r="22" spans="2:16" ht="12.75" customHeight="1" thickTop="1" x14ac:dyDescent="0.3">
      <c r="B22" s="131"/>
      <c r="C22" s="106"/>
      <c r="D22" s="107"/>
      <c r="E22" s="107"/>
      <c r="F22" s="107"/>
      <c r="G22" s="106"/>
      <c r="H22" s="107"/>
      <c r="I22" s="108"/>
      <c r="J22" s="107"/>
      <c r="K22" s="108"/>
      <c r="L22" s="107"/>
      <c r="M22"/>
      <c r="N22" s="87"/>
    </row>
    <row r="23" spans="2:16" ht="12.75" customHeight="1" x14ac:dyDescent="0.3">
      <c r="B23" s="131"/>
      <c r="C23"/>
      <c r="D23" s="2"/>
      <c r="E23" s="2"/>
      <c r="F23" s="2"/>
      <c r="G23"/>
      <c r="H23" s="2"/>
      <c r="I23" s="1"/>
      <c r="J23" s="2"/>
      <c r="K23" s="1"/>
      <c r="L23" s="2"/>
      <c r="M23"/>
      <c r="N23" s="87"/>
    </row>
    <row r="24" spans="2:16" ht="12.75" customHeight="1" x14ac:dyDescent="0.3">
      <c r="B24" s="131"/>
      <c r="C24"/>
      <c r="D24" s="447" t="s">
        <v>324</v>
      </c>
      <c r="E24" s="447"/>
      <c r="F24" s="447"/>
      <c r="G24" s="449" t="s">
        <v>362</v>
      </c>
      <c r="H24" s="449"/>
      <c r="I24" s="5">
        <v>15</v>
      </c>
      <c r="J24" s="2"/>
      <c r="K24" s="173">
        <f>IF('TRAFFIC &amp; ACCIDENTS'!G13&lt;&gt;"",15,0)</f>
        <v>15</v>
      </c>
      <c r="L24" s="2"/>
      <c r="M24"/>
      <c r="N24" s="87"/>
    </row>
    <row r="25" spans="2:16" ht="12.75" customHeight="1" x14ac:dyDescent="0.3">
      <c r="B25" s="131"/>
      <c r="C25"/>
      <c r="D25" s="101"/>
      <c r="E25" s="2"/>
      <c r="F25" s="2"/>
      <c r="G25"/>
      <c r="H25"/>
      <c r="I25" s="5"/>
      <c r="J25" s="2"/>
      <c r="K25" s="15"/>
      <c r="L25" s="2"/>
      <c r="M25"/>
      <c r="N25" s="87"/>
    </row>
    <row r="26" spans="2:16" ht="12.75" customHeight="1" thickBot="1" x14ac:dyDescent="0.35">
      <c r="B26" s="131"/>
      <c r="C26"/>
      <c r="D26" s="2"/>
      <c r="E26" s="2"/>
      <c r="F26" s="2"/>
      <c r="G26"/>
      <c r="H26" s="2"/>
      <c r="I26" s="5"/>
      <c r="J26" s="2"/>
      <c r="K26" s="14"/>
      <c r="L26" s="2"/>
      <c r="M26"/>
      <c r="N26" s="87"/>
    </row>
    <row r="27" spans="2:16" ht="12.75" customHeight="1" thickTop="1" x14ac:dyDescent="0.3">
      <c r="B27" s="131"/>
      <c r="C27" s="106"/>
      <c r="D27" s="106"/>
      <c r="E27" s="106"/>
      <c r="F27" s="106"/>
      <c r="G27" s="106"/>
      <c r="H27" s="106"/>
      <c r="I27" s="106"/>
      <c r="J27" s="106"/>
      <c r="K27" s="106"/>
      <c r="L27" s="107"/>
      <c r="M27"/>
      <c r="N27" s="87"/>
    </row>
    <row r="28" spans="2:16" ht="12.75" customHeight="1" x14ac:dyDescent="0.3">
      <c r="B28" s="131"/>
      <c r="C28"/>
      <c r="D28" s="447" t="s">
        <v>145</v>
      </c>
      <c r="E28" s="447"/>
      <c r="F28" s="447"/>
      <c r="G28" s="447"/>
      <c r="H28" s="2"/>
      <c r="I28" s="1" t="s">
        <v>7</v>
      </c>
      <c r="J28" s="2"/>
      <c r="K28" s="1" t="s">
        <v>6</v>
      </c>
      <c r="L28"/>
      <c r="M28"/>
      <c r="N28" s="87"/>
    </row>
    <row r="29" spans="2:16" ht="12.75" customHeight="1" x14ac:dyDescent="0.3">
      <c r="B29" s="131"/>
      <c r="C29" s="448" t="s">
        <v>329</v>
      </c>
      <c r="D29" s="448"/>
      <c r="E29" s="2" t="s">
        <v>8</v>
      </c>
      <c r="F29" s="2"/>
      <c r="G29"/>
      <c r="H29" s="6">
        <v>15</v>
      </c>
      <c r="I29" s="450">
        <f>IF(STRUCTURE!D8&gt;55,55,STRUCTURE!D8)</f>
        <v>0</v>
      </c>
      <c r="J29" s="6">
        <v>10</v>
      </c>
      <c r="K29" s="456">
        <f>IF(I29&lt;&gt;0,0,P32)</f>
        <v>0</v>
      </c>
      <c r="L29" s="105" t="s">
        <v>150</v>
      </c>
      <c r="M29"/>
      <c r="N29" s="87"/>
    </row>
    <row r="30" spans="2:16" ht="12.75" customHeight="1" x14ac:dyDescent="0.3">
      <c r="B30" s="131" t="s">
        <v>4</v>
      </c>
      <c r="C30" s="448"/>
      <c r="D30" s="448"/>
      <c r="E30" s="2" t="s">
        <v>9</v>
      </c>
      <c r="F30" s="2"/>
      <c r="G30"/>
      <c r="H30" s="7">
        <v>15</v>
      </c>
      <c r="I30" s="451"/>
      <c r="J30" s="6">
        <v>10</v>
      </c>
      <c r="K30" s="457"/>
      <c r="L30" s="105"/>
      <c r="M30"/>
      <c r="N30" s="87"/>
    </row>
    <row r="31" spans="2:16" ht="12.75" customHeight="1" x14ac:dyDescent="0.3">
      <c r="B31" s="131" t="s">
        <v>4</v>
      </c>
      <c r="C31" s="448"/>
      <c r="D31" s="448"/>
      <c r="E31" s="2" t="s">
        <v>146</v>
      </c>
      <c r="F31" s="2"/>
      <c r="G31"/>
      <c r="H31" s="8">
        <v>25</v>
      </c>
      <c r="I31" s="452"/>
      <c r="J31" s="6">
        <v>15</v>
      </c>
      <c r="K31" s="18">
        <f>IF(I29&lt;&gt;0,"",P34)</f>
        <v>0</v>
      </c>
      <c r="L31" t="s">
        <v>151</v>
      </c>
      <c r="M31"/>
      <c r="N31" s="87"/>
    </row>
    <row r="32" spans="2:16" ht="12.75" customHeight="1" x14ac:dyDescent="0.3">
      <c r="B32" s="131" t="s">
        <v>4</v>
      </c>
      <c r="C32" s="448" t="s">
        <v>330</v>
      </c>
      <c r="D32" s="448"/>
      <c r="E32" s="2" t="s">
        <v>240</v>
      </c>
      <c r="F32" s="2"/>
      <c r="G32"/>
      <c r="H32" s="8"/>
      <c r="I32" s="1"/>
      <c r="J32" s="6">
        <v>5</v>
      </c>
      <c r="K32" s="18" t="str">
        <f>IF(AND('TRAFFIC &amp; ACCIDENTS'!E10=7,STRUCTURE!D8=""),5,"")</f>
        <v/>
      </c>
      <c r="L32" t="s">
        <v>153</v>
      </c>
      <c r="M32"/>
      <c r="N32" s="87"/>
      <c r="P32" s="110">
        <f>IF(STRUCTURE!F8&gt;20,20,STRUCTURE!F8)</f>
        <v>0</v>
      </c>
    </row>
    <row r="33" spans="2:18" ht="12.75" customHeight="1" x14ac:dyDescent="0.3">
      <c r="B33" s="131" t="s">
        <v>4</v>
      </c>
      <c r="C33" s="448" t="s">
        <v>331</v>
      </c>
      <c r="D33" s="448"/>
      <c r="E33" s="2" t="s">
        <v>147</v>
      </c>
      <c r="F33" s="2"/>
      <c r="G33"/>
      <c r="H33" s="2"/>
      <c r="I33" s="2"/>
      <c r="J33" s="6">
        <v>15</v>
      </c>
      <c r="K33" s="18">
        <f>IF(I29&lt;&gt;0,"",P36)</f>
        <v>0</v>
      </c>
      <c r="L33" t="s">
        <v>152</v>
      </c>
      <c r="M33"/>
      <c r="N33" s="87"/>
      <c r="P33" s="110"/>
    </row>
    <row r="34" spans="2:18" ht="12.75" customHeight="1" x14ac:dyDescent="0.3">
      <c r="B34" s="131"/>
      <c r="C34"/>
      <c r="D34" s="2"/>
      <c r="E34" s="2"/>
      <c r="F34" s="2"/>
      <c r="G34"/>
      <c r="H34"/>
      <c r="I34" s="5" t="str">
        <f>IF(STRUCTURE!D8=0,"",I29)</f>
        <v/>
      </c>
      <c r="J34"/>
      <c r="K34" s="5" t="str">
        <f>IF(SUM(K29:K33)=0,"",SUM(K29:K33))</f>
        <v/>
      </c>
      <c r="L34"/>
      <c r="M34"/>
      <c r="N34" s="87"/>
      <c r="P34" s="110">
        <f>STRUCTURE!C20</f>
        <v>0</v>
      </c>
    </row>
    <row r="35" spans="2:18" ht="12.75" customHeight="1" x14ac:dyDescent="0.3">
      <c r="B35" s="131" t="s">
        <v>4</v>
      </c>
      <c r="C35"/>
      <c r="D35" s="2"/>
      <c r="E35" s="2"/>
      <c r="F35" s="2" t="s">
        <v>5</v>
      </c>
      <c r="G35"/>
      <c r="H35" s="9"/>
      <c r="I35" s="10">
        <v>55</v>
      </c>
      <c r="J35" s="9"/>
      <c r="K35" s="17" t="str">
        <f>IF(SUM(K29:K33)=0,I34,K34)</f>
        <v/>
      </c>
      <c r="L35"/>
      <c r="M35"/>
      <c r="N35" s="87"/>
      <c r="P35" s="111"/>
    </row>
    <row r="36" spans="2:18" ht="12.75" customHeight="1" x14ac:dyDescent="0.3">
      <c r="B36" s="131" t="s">
        <v>4</v>
      </c>
      <c r="C36"/>
      <c r="D36" s="2"/>
      <c r="E36" s="2"/>
      <c r="F36" s="2"/>
      <c r="G36"/>
      <c r="H36" s="9"/>
      <c r="I36" s="11" t="s">
        <v>157</v>
      </c>
      <c r="J36" s="9"/>
      <c r="K36" s="11" t="s">
        <v>158</v>
      </c>
      <c r="L36"/>
      <c r="M36"/>
      <c r="N36" s="87"/>
      <c r="P36" s="110">
        <f>STRUCTURE!K20</f>
        <v>0</v>
      </c>
    </row>
    <row r="37" spans="2:18" ht="12.75" customHeight="1" thickBot="1" x14ac:dyDescent="0.35">
      <c r="B37" s="131" t="s">
        <v>4</v>
      </c>
      <c r="C37"/>
      <c r="D37"/>
      <c r="E37"/>
      <c r="F37"/>
      <c r="G37"/>
      <c r="H37"/>
      <c r="I37"/>
      <c r="J37"/>
      <c r="K37"/>
      <c r="L37"/>
      <c r="M37"/>
      <c r="N37" s="87"/>
    </row>
    <row r="38" spans="2:18" ht="12.75" customHeight="1" thickTop="1" x14ac:dyDescent="0.3">
      <c r="B38" s="131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/>
      <c r="N38" s="87"/>
    </row>
    <row r="39" spans="2:18" ht="12.75" customHeight="1" x14ac:dyDescent="0.3">
      <c r="B39" s="131"/>
      <c r="C39"/>
      <c r="D39" s="447" t="s">
        <v>354</v>
      </c>
      <c r="E39" s="447"/>
      <c r="F39" s="2"/>
      <c r="G39"/>
      <c r="H39" s="2"/>
      <c r="I39" s="2"/>
      <c r="J39" s="2"/>
      <c r="K39" s="1"/>
      <c r="L39" s="2"/>
      <c r="M39"/>
      <c r="N39" s="87"/>
      <c r="P39" s="112"/>
      <c r="Q39" s="113"/>
      <c r="R39" s="114"/>
    </row>
    <row r="40" spans="2:18" ht="12.75" customHeight="1" x14ac:dyDescent="0.3">
      <c r="B40" s="131"/>
      <c r="C40"/>
      <c r="D40" s="2"/>
      <c r="E40" s="446" t="s">
        <v>332</v>
      </c>
      <c r="F40" s="446"/>
      <c r="G40"/>
      <c r="H40" s="2"/>
      <c r="I40" s="1">
        <v>10</v>
      </c>
      <c r="J40" s="56" t="str">
        <f>IF(GEOMETRY!L6&lt;GEOMETRY!N6,"Reduced","")</f>
        <v>Reduced</v>
      </c>
      <c r="K40" s="16">
        <f>IF(P42&lt;0,0,P42)</f>
        <v>3.333333333333333</v>
      </c>
      <c r="L40"/>
      <c r="M40"/>
      <c r="N40" s="87"/>
      <c r="P40" s="115"/>
      <c r="Q40" s="116" t="s">
        <v>168</v>
      </c>
      <c r="R40" s="117"/>
    </row>
    <row r="41" spans="2:18" ht="12.75" customHeight="1" x14ac:dyDescent="0.3">
      <c r="B41" s="131"/>
      <c r="C41"/>
      <c r="D41" s="2"/>
      <c r="E41" s="446" t="s">
        <v>335</v>
      </c>
      <c r="F41" s="446"/>
      <c r="G41"/>
      <c r="H41" s="2"/>
      <c r="I41" s="1">
        <v>10</v>
      </c>
      <c r="J41" s="56" t="str">
        <f>IF(GEOMETRY!L7&lt;GEOMETRY!N7,"Reduced","")</f>
        <v>Reduced</v>
      </c>
      <c r="K41" s="16">
        <f>P43</f>
        <v>2</v>
      </c>
      <c r="L41"/>
      <c r="M41"/>
      <c r="N41" s="87"/>
      <c r="P41" s="115"/>
      <c r="Q41" s="116"/>
      <c r="R41" s="117"/>
    </row>
    <row r="42" spans="2:18" ht="12.75" customHeight="1" x14ac:dyDescent="0.3">
      <c r="B42" s="131" t="s">
        <v>4</v>
      </c>
      <c r="C42"/>
      <c r="D42" s="2"/>
      <c r="E42" s="446" t="s">
        <v>333</v>
      </c>
      <c r="F42" s="446"/>
      <c r="G42" s="446"/>
      <c r="H42" s="2"/>
      <c r="I42" s="1">
        <v>10</v>
      </c>
      <c r="J42" s="56" t="str">
        <f>IF(AND(GEOMETRY!F36&lt;&gt;0,GEOMETRY!F36&lt;1),"Reduced","")</f>
        <v/>
      </c>
      <c r="K42" s="16">
        <f>IF(SUM(GEOMETRY!F22:F35)=0,0,GEOMETRY!D18)</f>
        <v>0</v>
      </c>
      <c r="L42" s="2"/>
      <c r="M42"/>
      <c r="N42" s="87"/>
      <c r="P42" s="118">
        <f>IF(GEOMETRY!L6&lt;GEOMETRY!N6,Q42,GEOMETRY!F62)</f>
        <v>3.333333333333333</v>
      </c>
      <c r="Q42" s="119">
        <f>GEOMETRY!F62*((GEOMETRY!L6-GEOMETRY!K6)/(GEOMETRY!N6-GEOMETRY!K6))</f>
        <v>3.333333333333333</v>
      </c>
      <c r="R42" s="117"/>
    </row>
    <row r="43" spans="2:18" ht="12.75" customHeight="1" x14ac:dyDescent="0.3">
      <c r="B43" s="131"/>
      <c r="C43"/>
      <c r="D43" s="2"/>
      <c r="E43" s="446" t="s">
        <v>334</v>
      </c>
      <c r="F43" s="446"/>
      <c r="G43" s="446"/>
      <c r="H43" s="2"/>
      <c r="I43" s="4">
        <v>10</v>
      </c>
      <c r="J43" s="56" t="str">
        <f>IF(GEOMETRY!M33&lt;1,"Reduced","")</f>
        <v>Reduced</v>
      </c>
      <c r="K43" s="81">
        <f>IF(SUM(GEOMETRY!L22:L35)=0,0,GEOMETRY!J19)</f>
        <v>0</v>
      </c>
      <c r="L43" s="2"/>
      <c r="M43"/>
      <c r="N43" s="87"/>
      <c r="P43" s="120">
        <f>IF(GEOMETRY!L7&lt;GEOMETRY!N7,Q43,GEOMETRY!M62)</f>
        <v>2</v>
      </c>
      <c r="Q43" s="121">
        <f>GEOMETRY!M63*((GEOMETRY!L7-GEOMETRY!K7)/(GEOMETRY!N7-GEOMETRY!K7))</f>
        <v>2</v>
      </c>
      <c r="R43" s="117"/>
    </row>
    <row r="44" spans="2:18" ht="12.75" customHeight="1" x14ac:dyDescent="0.3">
      <c r="B44" s="131"/>
      <c r="C44"/>
      <c r="D44" s="2"/>
      <c r="E44" s="2"/>
      <c r="F44" s="2"/>
      <c r="G44"/>
      <c r="H44" s="2" t="s">
        <v>5</v>
      </c>
      <c r="I44" s="5">
        <v>40</v>
      </c>
      <c r="J44" s="2"/>
      <c r="K44" s="13">
        <f>SUM(K40:K43)</f>
        <v>5.333333333333333</v>
      </c>
      <c r="L44" s="2"/>
      <c r="M44"/>
      <c r="N44" s="87"/>
      <c r="P44" s="122"/>
      <c r="Q44" s="123"/>
      <c r="R44" s="124"/>
    </row>
    <row r="45" spans="2:18" ht="12.75" customHeight="1" x14ac:dyDescent="0.3">
      <c r="B45" s="131"/>
      <c r="C45"/>
      <c r="D45" s="2"/>
      <c r="E45" s="2"/>
      <c r="F45" s="2"/>
      <c r="G45"/>
      <c r="H45" s="2"/>
      <c r="I45" s="1"/>
      <c r="J45" s="2"/>
      <c r="K45" s="1"/>
      <c r="L45" s="2"/>
      <c r="M45"/>
      <c r="N45" s="87"/>
      <c r="P45" s="119"/>
      <c r="Q45" s="119"/>
    </row>
    <row r="46" spans="2:18" x14ac:dyDescent="0.3">
      <c r="B46" s="129"/>
      <c r="C46"/>
      <c r="D46" s="2"/>
      <c r="E46" s="2"/>
      <c r="F46" s="2"/>
      <c r="G46"/>
      <c r="H46" s="2"/>
      <c r="I46" s="1"/>
      <c r="J46" s="2"/>
      <c r="K46" s="1"/>
      <c r="L46" s="2"/>
      <c r="M46"/>
      <c r="N46" s="87"/>
    </row>
    <row r="47" spans="2:18" x14ac:dyDescent="0.3">
      <c r="B47" s="129"/>
      <c r="C47"/>
      <c r="D47" s="67" t="s">
        <v>444</v>
      </c>
      <c r="E47" s="2"/>
      <c r="F47" s="2"/>
      <c r="G47"/>
      <c r="H47" s="2"/>
      <c r="I47" s="103">
        <f>SUM(I20,I24,I35,I44)</f>
        <v>130</v>
      </c>
      <c r="J47" s="102"/>
      <c r="K47" s="104">
        <f>SUM(K20,K24,K35,K44)</f>
        <v>30.333333333333332</v>
      </c>
      <c r="L47" s="2"/>
      <c r="M47"/>
      <c r="N47" s="87"/>
    </row>
    <row r="48" spans="2:18" x14ac:dyDescent="0.3">
      <c r="B48" s="129"/>
      <c r="C48"/>
      <c r="D48"/>
      <c r="E48" s="2"/>
      <c r="F48" s="2"/>
      <c r="G48" s="2"/>
      <c r="H48" s="2"/>
      <c r="I48" s="2"/>
      <c r="J48" s="2"/>
      <c r="K48"/>
      <c r="L48"/>
      <c r="M48"/>
      <c r="N48" s="87"/>
    </row>
    <row r="49" spans="2:14" x14ac:dyDescent="0.3">
      <c r="B49" s="129"/>
      <c r="C49" s="6" t="s">
        <v>11</v>
      </c>
      <c r="D49" s="2" t="s">
        <v>110</v>
      </c>
      <c r="E49" s="2"/>
      <c r="F49" s="2"/>
      <c r="G49" s="2"/>
      <c r="H49" s="2"/>
      <c r="I49" s="2"/>
      <c r="J49" s="2"/>
      <c r="K49"/>
      <c r="L49"/>
      <c r="M49"/>
      <c r="N49" s="87"/>
    </row>
    <row r="50" spans="2:14" ht="12.75" customHeight="1" x14ac:dyDescent="0.3">
      <c r="B50" s="129"/>
      <c r="C50" s="2"/>
      <c r="D50" s="2" t="s">
        <v>111</v>
      </c>
      <c r="E50" s="2"/>
      <c r="F50" s="2"/>
      <c r="G50" s="2"/>
      <c r="H50" s="2"/>
      <c r="I50" s="2"/>
      <c r="J50" s="2"/>
      <c r="K50"/>
      <c r="L50"/>
      <c r="M50"/>
      <c r="N50" s="87"/>
    </row>
    <row r="51" spans="2:14" x14ac:dyDescent="0.3">
      <c r="B51" s="135"/>
      <c r="C51" s="2"/>
      <c r="D51" s="67" t="s">
        <v>12</v>
      </c>
      <c r="E51" s="2"/>
      <c r="F51" s="2"/>
      <c r="G51" s="2"/>
      <c r="H51" s="2"/>
      <c r="I51" s="2"/>
      <c r="J51" s="2"/>
      <c r="K51"/>
      <c r="L51"/>
      <c r="M51"/>
      <c r="N51" s="87"/>
    </row>
    <row r="52" spans="2:14" ht="13.5" thickBot="1" x14ac:dyDescent="0.35">
      <c r="B52" s="136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137"/>
    </row>
    <row r="53" spans="2:14" ht="12.75" customHeight="1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ht="12.75" customHeight="1" x14ac:dyDescent="0.3"/>
    <row r="55" spans="2:14" ht="12.75" customHeight="1" x14ac:dyDescent="0.3"/>
    <row r="56" spans="2:14" ht="12.75" customHeight="1" x14ac:dyDescent="0.3"/>
    <row r="57" spans="2:14" ht="12.75" customHeight="1" x14ac:dyDescent="0.3"/>
    <row r="58" spans="2:14" ht="12.75" customHeight="1" x14ac:dyDescent="0.3"/>
    <row r="59" spans="2:14" ht="12.75" customHeight="1" x14ac:dyDescent="0.3"/>
    <row r="60" spans="2:14" ht="12.75" customHeight="1" x14ac:dyDescent="0.3"/>
    <row r="61" spans="2:14" ht="12.75" customHeight="1" x14ac:dyDescent="0.3"/>
    <row r="62" spans="2:14" ht="12.75" customHeight="1" x14ac:dyDescent="0.3"/>
    <row r="63" spans="2:14" ht="12.75" customHeight="1" x14ac:dyDescent="0.3"/>
    <row r="64" spans="2:1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</sheetData>
  <sheetProtection algorithmName="SHA-512" hashValue="Mz7BWNm6FUoAKaK+o4QVkE32576Bk7UjddoyiRhTIhYrDKe+7kFAf/RpvyZ7H27Ljtm6RdIKsHeu4NZc3ZyzBA==" saltValue="6F5EZsLjDWwyaaYPrs1Dng==" spinCount="100000" sheet="1" selectLockedCells="1"/>
  <mergeCells count="22">
    <mergeCell ref="G24:H24"/>
    <mergeCell ref="I29:I31"/>
    <mergeCell ref="J4:M5"/>
    <mergeCell ref="J6:M7"/>
    <mergeCell ref="F10:I11"/>
    <mergeCell ref="K29:K30"/>
    <mergeCell ref="D24:F24"/>
    <mergeCell ref="D17:E17"/>
    <mergeCell ref="E18:F18"/>
    <mergeCell ref="E19:F19"/>
    <mergeCell ref="E5:I5"/>
    <mergeCell ref="C4:D4"/>
    <mergeCell ref="E4:G4"/>
    <mergeCell ref="E43:G43"/>
    <mergeCell ref="E42:G42"/>
    <mergeCell ref="D28:G28"/>
    <mergeCell ref="E40:F40"/>
    <mergeCell ref="C29:D31"/>
    <mergeCell ref="C32:D32"/>
    <mergeCell ref="E41:F41"/>
    <mergeCell ref="C33:D33"/>
    <mergeCell ref="D39:E39"/>
  </mergeCells>
  <phoneticPr fontId="22" type="noConversion"/>
  <conditionalFormatting sqref="I29 K29 K31:K33">
    <cfRule type="cellIs" dxfId="21" priority="15" stopIfTrue="1" operator="equal">
      <formula>0</formula>
    </cfRule>
  </conditionalFormatting>
  <conditionalFormatting sqref="J42">
    <cfRule type="expression" dxfId="20" priority="18" stopIfTrue="1">
      <formula>ISERROR($J$42)</formula>
    </cfRule>
  </conditionalFormatting>
  <conditionalFormatting sqref="J43">
    <cfRule type="expression" dxfId="19" priority="17" stopIfTrue="1">
      <formula>ISERROR($J$43)</formula>
    </cfRule>
  </conditionalFormatting>
  <conditionalFormatting sqref="K18:K20">
    <cfRule type="containsErrors" dxfId="18" priority="1" stopIfTrue="1">
      <formula>ISERROR(K18)</formula>
    </cfRule>
  </conditionalFormatting>
  <conditionalFormatting sqref="K47">
    <cfRule type="expression" dxfId="17" priority="16" stopIfTrue="1">
      <formula>ISERROR($K$43)</formula>
    </cfRule>
  </conditionalFormatting>
  <hyperlinks>
    <hyperlink ref="D28:G28" location="STRUCTURE!A1" display="STRUCTURAL CONDITION:" xr:uid="{00000000-0004-0000-0000-000000000000}"/>
    <hyperlink ref="D24:F24" location="'Local &amp; Links'!A1" display="LOCAL SIGNIFICANCE " xr:uid="{00000000-0004-0000-0000-000002000000}"/>
    <hyperlink ref="D39" location="GEOMETRY!A1" display="GEOMETRY                                          " xr:uid="{00000000-0004-0000-0000-000003000000}"/>
    <hyperlink ref="D17" location="'TRAFFIC &amp; ACCIDENTS'!A1" display="TRAFFIC                                                 " xr:uid="{00000000-0004-0000-0000-000004000000}"/>
  </hyperlinks>
  <pageMargins left="0.5" right="0.5" top="0.4" bottom="0.4" header="0.25" footer="0.24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showGridLines="0" topLeftCell="A3" workbookViewId="0">
      <selection activeCell="C7" sqref="C7"/>
    </sheetView>
  </sheetViews>
  <sheetFormatPr defaultColWidth="0" defaultRowHeight="13" customHeight="1" zeroHeight="1" x14ac:dyDescent="0.3"/>
  <cols>
    <col min="1" max="1" width="9.1796875" style="109" customWidth="1"/>
    <col min="2" max="15" width="7.7265625" style="109" customWidth="1"/>
    <col min="16" max="16384" width="0" style="109" hidden="1"/>
  </cols>
  <sheetData>
    <row r="1" spans="2:13" x14ac:dyDescent="0.3"/>
    <row r="2" spans="2:13" x14ac:dyDescent="0.3"/>
    <row r="3" spans="2:13" ht="13.5" thickBot="1" x14ac:dyDescent="0.35">
      <c r="B3" s="324"/>
      <c r="C3" s="325"/>
      <c r="D3" s="325"/>
      <c r="E3" s="325"/>
      <c r="F3" s="325"/>
      <c r="G3" s="325"/>
      <c r="H3" s="325"/>
      <c r="L3" s="326"/>
    </row>
    <row r="4" spans="2:13" x14ac:dyDescent="0.3">
      <c r="B4" s="327" t="s">
        <v>353</v>
      </c>
      <c r="C4" s="328"/>
      <c r="D4" s="329"/>
      <c r="E4" s="329"/>
      <c r="F4" s="84"/>
      <c r="G4" s="84"/>
      <c r="H4" s="84"/>
      <c r="I4" s="330" t="s">
        <v>155</v>
      </c>
      <c r="J4" s="84"/>
      <c r="K4" s="84"/>
      <c r="L4" s="85"/>
      <c r="M4" s="331"/>
    </row>
    <row r="5" spans="2:13" x14ac:dyDescent="0.3">
      <c r="B5" s="332"/>
      <c r="C5" s="102"/>
      <c r="D5" s="100"/>
      <c r="E5" s="100"/>
      <c r="F5"/>
      <c r="G5"/>
      <c r="H5" s="465" t="s">
        <v>359</v>
      </c>
      <c r="I5" s="465"/>
      <c r="J5" s="465"/>
      <c r="K5"/>
      <c r="L5" s="87"/>
      <c r="M5" s="331"/>
    </row>
    <row r="6" spans="2:13" x14ac:dyDescent="0.3">
      <c r="B6" s="129"/>
      <c r="C6"/>
      <c r="D6"/>
      <c r="E6"/>
      <c r="F6"/>
      <c r="G6" s="1"/>
      <c r="H6" s="465"/>
      <c r="I6" s="465"/>
      <c r="J6" s="465"/>
      <c r="K6" s="333"/>
      <c r="L6" s="334"/>
      <c r="M6" s="335"/>
    </row>
    <row r="7" spans="2:13" x14ac:dyDescent="0.3">
      <c r="B7" s="129"/>
      <c r="C7" s="174">
        <v>2500</v>
      </c>
      <c r="D7" s="336" t="s">
        <v>15</v>
      </c>
      <c r="E7"/>
      <c r="F7"/>
      <c r="G7" s="337"/>
      <c r="H7"/>
      <c r="I7" s="76">
        <v>0</v>
      </c>
      <c r="J7" s="336" t="s">
        <v>363</v>
      </c>
      <c r="K7"/>
      <c r="L7" s="87"/>
      <c r="M7" s="335"/>
    </row>
    <row r="8" spans="2:13" x14ac:dyDescent="0.3">
      <c r="B8" s="129"/>
      <c r="C8" s="174">
        <v>500</v>
      </c>
      <c r="D8" s="336" t="s">
        <v>92</v>
      </c>
      <c r="E8"/>
      <c r="F8"/>
      <c r="G8" s="338"/>
      <c r="H8" s="339"/>
      <c r="I8" s="76">
        <v>0</v>
      </c>
      <c r="J8" s="336" t="s">
        <v>364</v>
      </c>
      <c r="K8"/>
      <c r="L8" s="87"/>
      <c r="M8" s="335"/>
    </row>
    <row r="9" spans="2:13" x14ac:dyDescent="0.3">
      <c r="B9" s="129"/>
      <c r="C9" s="340">
        <v>7</v>
      </c>
      <c r="D9" s="68" t="s">
        <v>154</v>
      </c>
      <c r="E9"/>
      <c r="F9" s="336"/>
      <c r="G9" s="337"/>
      <c r="H9"/>
      <c r="I9" s="76"/>
      <c r="J9" s="336" t="s">
        <v>365</v>
      </c>
      <c r="K9"/>
      <c r="L9" s="87"/>
      <c r="M9" s="335"/>
    </row>
    <row r="10" spans="2:13" x14ac:dyDescent="0.3">
      <c r="B10" s="129"/>
      <c r="C10"/>
      <c r="D10"/>
      <c r="E10"/>
      <c r="F10"/>
      <c r="G10"/>
      <c r="H10"/>
      <c r="I10" s="322"/>
      <c r="J10" s="322"/>
      <c r="K10"/>
      <c r="L10" s="87"/>
      <c r="M10" s="341"/>
    </row>
    <row r="11" spans="2:13" x14ac:dyDescent="0.3">
      <c r="B11" s="129"/>
      <c r="C11"/>
      <c r="D11"/>
      <c r="E11"/>
      <c r="F11"/>
      <c r="G11"/>
      <c r="H11"/>
      <c r="I11"/>
      <c r="J11"/>
      <c r="K11"/>
      <c r="L11" s="87"/>
      <c r="M11" s="341"/>
    </row>
    <row r="12" spans="2:13" x14ac:dyDescent="0.3">
      <c r="B12" s="129"/>
      <c r="C12"/>
      <c r="D12"/>
      <c r="E12"/>
      <c r="F12"/>
      <c r="G12"/>
      <c r="H12"/>
      <c r="I12"/>
      <c r="J12"/>
      <c r="K12"/>
      <c r="L12" s="87"/>
      <c r="M12" s="341"/>
    </row>
    <row r="13" spans="2:13" x14ac:dyDescent="0.3">
      <c r="B13" s="332" t="s">
        <v>366</v>
      </c>
      <c r="C13"/>
      <c r="D13"/>
      <c r="E13"/>
      <c r="F13"/>
      <c r="G13" s="342" t="s">
        <v>446</v>
      </c>
      <c r="H13" s="343" t="s">
        <v>367</v>
      </c>
      <c r="I13"/>
      <c r="J13"/>
      <c r="K13"/>
      <c r="L13" s="87"/>
      <c r="M13" s="341"/>
    </row>
    <row r="14" spans="2:13" x14ac:dyDescent="0.3">
      <c r="B14" s="129"/>
      <c r="C14"/>
      <c r="D14"/>
      <c r="E14"/>
      <c r="F14" s="466" t="s">
        <v>368</v>
      </c>
      <c r="G14" s="466"/>
      <c r="H14" s="466"/>
      <c r="I14"/>
      <c r="J14" s="9"/>
      <c r="K14"/>
      <c r="L14" s="87"/>
      <c r="M14" s="341"/>
    </row>
    <row r="15" spans="2:13" x14ac:dyDescent="0.3">
      <c r="B15" s="129"/>
      <c r="C15"/>
      <c r="D15"/>
      <c r="E15"/>
      <c r="F15" s="466"/>
      <c r="G15" s="466"/>
      <c r="H15" s="466"/>
      <c r="I15"/>
      <c r="J15" s="9"/>
      <c r="K15"/>
      <c r="L15" s="87"/>
      <c r="M15" s="341"/>
    </row>
    <row r="16" spans="2:13" ht="13.5" thickBot="1" x14ac:dyDescent="0.35">
      <c r="B16" s="136"/>
      <c r="C16" s="94"/>
      <c r="D16" s="164"/>
      <c r="E16" s="164"/>
      <c r="F16" s="467"/>
      <c r="G16" s="467"/>
      <c r="H16" s="467"/>
      <c r="I16" s="94"/>
      <c r="J16" s="344"/>
      <c r="K16" s="94"/>
      <c r="L16" s="137"/>
      <c r="M16" s="341"/>
    </row>
    <row r="17" spans="1:14" x14ac:dyDescent="0.3"/>
    <row r="18" spans="1:14" x14ac:dyDescent="0.3"/>
    <row r="19" spans="1:14" x14ac:dyDescent="0.3"/>
    <row r="20" spans="1:14" x14ac:dyDescent="0.3"/>
    <row r="21" spans="1:14" x14ac:dyDescent="0.3"/>
    <row r="22" spans="1:14" x14ac:dyDescent="0.3"/>
    <row r="23" spans="1:14" x14ac:dyDescent="0.3"/>
    <row r="24" spans="1:14" x14ac:dyDescent="0.3"/>
    <row r="25" spans="1:14" x14ac:dyDescent="0.3"/>
    <row r="26" spans="1:14" ht="11.25" customHeight="1" x14ac:dyDescent="0.3"/>
    <row r="27" spans="1:14" ht="11.25" customHeight="1" x14ac:dyDescent="0.3"/>
    <row r="28" spans="1:14" s="347" customFormat="1" ht="11.25" customHeight="1" x14ac:dyDescent="0.3">
      <c r="A28" s="468"/>
      <c r="B28" s="346" t="s">
        <v>369</v>
      </c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24" t="s">
        <v>370</v>
      </c>
      <c r="N28" s="324"/>
    </row>
    <row r="29" spans="1:14" s="347" customFormat="1" ht="11.25" customHeight="1" x14ac:dyDescent="0.3">
      <c r="A29" s="468"/>
      <c r="B29" s="346"/>
      <c r="C29" s="346"/>
      <c r="D29" s="346"/>
      <c r="E29" s="346"/>
      <c r="F29" s="346"/>
      <c r="G29" s="346"/>
      <c r="H29" s="346"/>
      <c r="I29" s="346"/>
      <c r="J29" s="348"/>
      <c r="K29" s="346"/>
      <c r="L29" s="346"/>
      <c r="M29" s="349" t="s">
        <v>13</v>
      </c>
      <c r="N29" s="349"/>
    </row>
    <row r="30" spans="1:14" s="347" customFormat="1" ht="11.25" customHeight="1" x14ac:dyDescent="0.3">
      <c r="A30" s="468"/>
      <c r="B30" s="346"/>
      <c r="C30" s="346"/>
      <c r="D30" s="346"/>
      <c r="E30" s="346"/>
      <c r="F30" s="346"/>
      <c r="G30" s="346"/>
      <c r="H30" s="346"/>
      <c r="I30" s="346"/>
      <c r="J30" s="348"/>
      <c r="K30" s="346"/>
      <c r="L30" s="350"/>
      <c r="M30" s="324"/>
      <c r="N30" s="324"/>
    </row>
    <row r="31" spans="1:14" s="347" customFormat="1" ht="11.25" customHeight="1" x14ac:dyDescent="0.3">
      <c r="A31" s="468"/>
      <c r="B31" s="346"/>
      <c r="C31" s="346"/>
      <c r="D31" s="346"/>
      <c r="E31" s="346"/>
      <c r="F31" s="346"/>
      <c r="G31" s="346"/>
      <c r="H31" s="348"/>
      <c r="I31" s="346"/>
      <c r="J31" s="348"/>
      <c r="K31" s="346"/>
      <c r="L31" s="346"/>
      <c r="M31" s="351" t="s">
        <v>14</v>
      </c>
      <c r="N31" s="351" t="s">
        <v>14</v>
      </c>
    </row>
    <row r="32" spans="1:14" s="347" customFormat="1" ht="11.25" customHeight="1" x14ac:dyDescent="0.3">
      <c r="A32" s="468"/>
      <c r="B32" s="346"/>
      <c r="C32" s="346"/>
      <c r="D32" s="346"/>
      <c r="E32" s="346"/>
      <c r="F32" s="346"/>
      <c r="G32" s="346"/>
      <c r="H32" s="348"/>
      <c r="I32" s="346"/>
      <c r="J32" s="348"/>
      <c r="K32" s="346"/>
      <c r="L32" s="346"/>
      <c r="M32" s="351" t="s">
        <v>15</v>
      </c>
      <c r="N32" s="351" t="s">
        <v>16</v>
      </c>
    </row>
    <row r="33" spans="1:14" s="347" customFormat="1" ht="11.25" customHeight="1" x14ac:dyDescent="0.3">
      <c r="A33" s="468"/>
      <c r="B33" s="346"/>
      <c r="C33" s="346"/>
      <c r="D33" s="352" t="s">
        <v>371</v>
      </c>
      <c r="E33" s="353">
        <f>C7</f>
        <v>2500</v>
      </c>
      <c r="F33" s="346"/>
      <c r="G33" s="346"/>
      <c r="H33" s="346"/>
      <c r="I33" s="352" t="s">
        <v>372</v>
      </c>
      <c r="J33" s="353">
        <f>C8</f>
        <v>500</v>
      </c>
      <c r="K33" s="346"/>
      <c r="L33" s="346"/>
      <c r="M33" s="354" t="s">
        <v>17</v>
      </c>
      <c r="N33" s="354" t="s">
        <v>17</v>
      </c>
    </row>
    <row r="34" spans="1:14" s="347" customFormat="1" ht="11.25" customHeight="1" x14ac:dyDescent="0.3">
      <c r="A34" s="468"/>
      <c r="B34" s="346"/>
      <c r="C34" s="346"/>
      <c r="D34" s="346"/>
      <c r="E34" s="346"/>
      <c r="F34" s="346"/>
      <c r="G34" s="346"/>
      <c r="H34" s="348"/>
      <c r="I34" s="346"/>
      <c r="J34" s="348"/>
      <c r="K34" s="346"/>
      <c r="L34" s="346"/>
      <c r="M34" s="351"/>
      <c r="N34" s="351"/>
    </row>
    <row r="35" spans="1:14" s="347" customFormat="1" ht="11.25" customHeight="1" x14ac:dyDescent="0.3">
      <c r="A35" s="468"/>
      <c r="B35" s="346"/>
      <c r="C35" s="346" t="s">
        <v>373</v>
      </c>
      <c r="D35" s="346"/>
      <c r="E35" s="346"/>
      <c r="F35" s="346"/>
      <c r="G35" s="346"/>
      <c r="H35" s="348"/>
      <c r="I35" s="346"/>
      <c r="J35" s="348"/>
      <c r="K35" s="346"/>
      <c r="L35" s="346"/>
      <c r="M35" s="351">
        <f>IF(AND(E33&lt;50,E33&gt;0),I65,M36)</f>
        <v>9</v>
      </c>
      <c r="N35" s="351">
        <f>IF(AND(J33&lt;5,J33&gt;0),I65,N36)</f>
        <v>10</v>
      </c>
    </row>
    <row r="36" spans="1:14" s="347" customFormat="1" ht="11.25" customHeight="1" thickBot="1" x14ac:dyDescent="0.35">
      <c r="A36" s="468"/>
      <c r="B36" s="346"/>
      <c r="C36" s="346" t="s">
        <v>374</v>
      </c>
      <c r="D36" s="346"/>
      <c r="E36" s="346"/>
      <c r="F36" s="346"/>
      <c r="G36" s="346"/>
      <c r="H36" s="348"/>
      <c r="I36" s="346"/>
      <c r="J36" s="348"/>
      <c r="K36" s="346"/>
      <c r="L36" s="346"/>
      <c r="M36" s="351">
        <f>IF(AND(E33&lt;100,E33&gt;49),I66,M37)</f>
        <v>9</v>
      </c>
      <c r="N36" s="351">
        <f>IF(AND(J33&lt;10,J33&gt;4),I66,N37)</f>
        <v>10</v>
      </c>
    </row>
    <row r="37" spans="1:14" s="347" customFormat="1" ht="11.25" customHeight="1" thickBot="1" x14ac:dyDescent="0.35">
      <c r="A37" s="468"/>
      <c r="B37" s="346"/>
      <c r="C37" s="355"/>
      <c r="D37" s="346"/>
      <c r="E37" s="346"/>
      <c r="F37" s="346"/>
      <c r="G37" s="346"/>
      <c r="H37" s="346"/>
      <c r="I37" s="352" t="s">
        <v>375</v>
      </c>
      <c r="J37" s="356">
        <f>IF(E33&gt;J33*10,M35,N35)</f>
        <v>10</v>
      </c>
      <c r="K37" s="346"/>
      <c r="L37" s="346"/>
      <c r="M37" s="351">
        <f>IF(AND(E33&lt;250,E33&gt;99),I67,M38)</f>
        <v>9</v>
      </c>
      <c r="N37" s="351">
        <f>IF(AND(J33&lt;25,J33&gt;9),I67,N38)</f>
        <v>10</v>
      </c>
    </row>
    <row r="38" spans="1:14" s="347" customFormat="1" ht="11.25" customHeight="1" x14ac:dyDescent="0.3">
      <c r="A38" s="468"/>
      <c r="B38" s="346"/>
      <c r="C38" s="346"/>
      <c r="D38" s="346"/>
      <c r="E38" s="346"/>
      <c r="F38" s="346"/>
      <c r="G38" s="346"/>
      <c r="H38" s="348"/>
      <c r="I38" s="346"/>
      <c r="J38" s="348"/>
      <c r="K38" s="346"/>
      <c r="L38" s="346"/>
      <c r="M38" s="351">
        <f>IF(AND(E33&lt;500,E33&gt;249),I68,M39)</f>
        <v>9</v>
      </c>
      <c r="N38" s="351">
        <f>IF(AND(J33&lt;50,J33&gt;24),I68,N39)</f>
        <v>10</v>
      </c>
    </row>
    <row r="39" spans="1:14" s="347" customFormat="1" ht="11.25" customHeight="1" x14ac:dyDescent="0.3">
      <c r="A39" s="468"/>
      <c r="B39" s="346"/>
      <c r="C39" s="346"/>
      <c r="D39" s="346"/>
      <c r="E39" s="346"/>
      <c r="F39" s="346"/>
      <c r="G39" s="346"/>
      <c r="H39" s="348"/>
      <c r="I39" s="346"/>
      <c r="J39" s="348"/>
      <c r="K39" s="346"/>
      <c r="L39" s="346"/>
      <c r="M39" s="351">
        <f>IF(AND(E33&lt;750,E33&gt;499),I69,M40)</f>
        <v>9</v>
      </c>
      <c r="N39" s="351">
        <f>IF(AND(J33&lt;75,J33&gt;49),I69,N40)</f>
        <v>10</v>
      </c>
    </row>
    <row r="40" spans="1:14" s="347" customFormat="1" ht="11.25" customHeight="1" x14ac:dyDescent="0.3">
      <c r="A40" s="468"/>
      <c r="B40" s="357" t="s">
        <v>376</v>
      </c>
      <c r="C40" s="357"/>
      <c r="D40" s="357"/>
      <c r="E40" s="357"/>
      <c r="F40" s="357"/>
      <c r="G40" s="346"/>
      <c r="H40" s="348"/>
      <c r="I40" s="346"/>
      <c r="J40" s="348"/>
      <c r="K40" s="346"/>
      <c r="L40" s="346"/>
      <c r="M40" s="351">
        <f>IF(AND(E33&lt;1000,E33&gt;749),I70,M41)</f>
        <v>9</v>
      </c>
      <c r="N40" s="351">
        <f>IF(AND(J33&lt;100,J33&gt;74),I70,N41)</f>
        <v>10</v>
      </c>
    </row>
    <row r="41" spans="1:14" s="347" customFormat="1" ht="11.25" customHeight="1" x14ac:dyDescent="0.3">
      <c r="A41" s="468"/>
      <c r="B41" s="346"/>
      <c r="C41" s="346"/>
      <c r="D41" s="346"/>
      <c r="E41" s="346"/>
      <c r="F41" s="346"/>
      <c r="G41" s="346"/>
      <c r="H41" s="348"/>
      <c r="I41" s="346"/>
      <c r="J41" s="348"/>
      <c r="K41" s="346"/>
      <c r="L41" s="346"/>
      <c r="M41" s="351">
        <f>IF(AND(E33&lt;1250,E33&gt;999),I71,M42)</f>
        <v>9</v>
      </c>
      <c r="N41" s="351">
        <f>IF(AND(J33&lt;125,J33&gt;99),I71,N42)</f>
        <v>10</v>
      </c>
    </row>
    <row r="42" spans="1:14" s="347" customFormat="1" ht="11.25" customHeight="1" x14ac:dyDescent="0.3">
      <c r="A42" s="468"/>
      <c r="B42" s="355"/>
      <c r="C42" s="350" t="s">
        <v>377</v>
      </c>
      <c r="D42" s="346"/>
      <c r="E42" s="346"/>
      <c r="F42" s="346"/>
      <c r="G42" s="346"/>
      <c r="H42" s="346"/>
      <c r="I42" s="346"/>
      <c r="J42" s="346"/>
      <c r="K42" s="348"/>
      <c r="L42" s="346"/>
      <c r="M42" s="351">
        <f>IF(AND(E33&lt;1500,E33&gt;1249),I72,M43)</f>
        <v>9</v>
      </c>
      <c r="N42" s="351">
        <f>IF(AND(J33&lt;150,J33&gt;124),I72,N43)</f>
        <v>10</v>
      </c>
    </row>
    <row r="43" spans="1:14" s="347" customFormat="1" ht="11.25" customHeight="1" x14ac:dyDescent="0.3">
      <c r="A43" s="468"/>
      <c r="B43" s="355"/>
      <c r="C43" s="346" t="s">
        <v>378</v>
      </c>
      <c r="D43" s="346"/>
      <c r="E43" s="346"/>
      <c r="F43" s="346"/>
      <c r="G43" s="346"/>
      <c r="H43" s="346"/>
      <c r="I43" s="346"/>
      <c r="J43" s="346"/>
      <c r="K43" s="348"/>
      <c r="L43" s="346"/>
      <c r="M43" s="351">
        <f>IF(AND(E33&lt;2000,E33&gt;1499),I73,M44)</f>
        <v>9</v>
      </c>
      <c r="N43" s="351">
        <f>IF(AND(J33&lt;200,J33&gt;149),I73,N44)</f>
        <v>10</v>
      </c>
    </row>
    <row r="44" spans="1:14" s="347" customFormat="1" ht="11.25" customHeight="1" x14ac:dyDescent="0.3">
      <c r="A44" s="468"/>
      <c r="B44" s="355"/>
      <c r="C44" s="358"/>
      <c r="D44" s="359"/>
      <c r="E44" s="359"/>
      <c r="F44" s="359"/>
      <c r="G44" s="359"/>
      <c r="H44" s="359"/>
      <c r="I44" s="359"/>
      <c r="J44" s="360"/>
      <c r="K44" s="346"/>
      <c r="L44" s="346"/>
      <c r="M44" s="351">
        <f>IF(AND(E33&lt;=2500,E33&gt;1999),I74,M45)</f>
        <v>9</v>
      </c>
      <c r="N44" s="351">
        <f>IF(AND(J33&lt;250,J33&gt;199),I74,N45)</f>
        <v>10</v>
      </c>
    </row>
    <row r="45" spans="1:14" s="347" customFormat="1" ht="11.25" customHeight="1" x14ac:dyDescent="0.3">
      <c r="A45" s="468"/>
      <c r="B45" s="355"/>
      <c r="C45" s="361"/>
      <c r="D45" s="357" t="s">
        <v>379</v>
      </c>
      <c r="E45" s="357" t="s">
        <v>380</v>
      </c>
      <c r="F45" s="357"/>
      <c r="G45" s="357" t="s">
        <v>381</v>
      </c>
      <c r="H45" s="362"/>
      <c r="I45" s="357" t="s">
        <v>382</v>
      </c>
      <c r="J45" s="363"/>
      <c r="K45" s="346"/>
      <c r="L45" s="346"/>
      <c r="M45" s="351" t="str">
        <f>IF(E33&gt;2500,I75,"")</f>
        <v/>
      </c>
      <c r="N45" s="351">
        <f>IF(J33&gt;=250,I75,"")</f>
        <v>10</v>
      </c>
    </row>
    <row r="46" spans="1:14" s="347" customFormat="1" ht="11.25" customHeight="1" x14ac:dyDescent="0.3">
      <c r="A46" s="468"/>
      <c r="B46" s="355"/>
      <c r="C46" s="361" t="s">
        <v>383</v>
      </c>
      <c r="D46" s="346"/>
      <c r="E46" s="348" t="s">
        <v>384</v>
      </c>
      <c r="F46" s="346"/>
      <c r="G46" s="348" t="s">
        <v>384</v>
      </c>
      <c r="H46" s="346"/>
      <c r="I46" s="348" t="s">
        <v>384</v>
      </c>
      <c r="J46" s="363"/>
      <c r="K46" s="346"/>
      <c r="L46" s="346"/>
      <c r="M46" s="324"/>
    </row>
    <row r="47" spans="1:14" s="347" customFormat="1" ht="11.25" customHeight="1" thickBot="1" x14ac:dyDescent="0.35">
      <c r="A47" s="468"/>
      <c r="B47" s="355"/>
      <c r="C47" s="361" t="s">
        <v>383</v>
      </c>
      <c r="D47" s="346"/>
      <c r="E47" s="346"/>
      <c r="F47" s="346"/>
      <c r="G47" s="346"/>
      <c r="H47" s="346"/>
      <c r="I47" s="346"/>
      <c r="J47" s="363"/>
      <c r="K47" s="346"/>
      <c r="L47" s="346"/>
      <c r="M47" s="324"/>
    </row>
    <row r="48" spans="1:14" s="347" customFormat="1" ht="11.25" customHeight="1" thickBot="1" x14ac:dyDescent="0.35">
      <c r="A48" s="468"/>
      <c r="B48" s="355"/>
      <c r="C48" s="364"/>
      <c r="D48" s="346" t="s">
        <v>385</v>
      </c>
      <c r="E48" s="356">
        <f>I7</f>
        <v>0</v>
      </c>
      <c r="F48" s="348"/>
      <c r="G48" s="356">
        <f>I8</f>
        <v>0</v>
      </c>
      <c r="H48" s="348"/>
      <c r="I48" s="356">
        <f>I9</f>
        <v>0</v>
      </c>
      <c r="J48" s="363"/>
      <c r="K48" s="346"/>
      <c r="L48" s="346"/>
      <c r="M48" s="324"/>
    </row>
    <row r="49" spans="1:15" s="347" customFormat="1" ht="11.25" customHeight="1" x14ac:dyDescent="0.3">
      <c r="A49" s="468"/>
      <c r="B49" s="355"/>
      <c r="C49" s="361"/>
      <c r="D49" s="346"/>
      <c r="E49" s="346"/>
      <c r="F49" s="346"/>
      <c r="G49" s="346"/>
      <c r="H49" s="346"/>
      <c r="I49" s="346"/>
      <c r="J49" s="363"/>
      <c r="K49" s="346"/>
      <c r="L49" s="346"/>
      <c r="M49" s="324"/>
    </row>
    <row r="50" spans="1:15" s="347" customFormat="1" ht="11.25" customHeight="1" x14ac:dyDescent="0.3">
      <c r="A50" s="468"/>
      <c r="B50" s="355"/>
      <c r="C50" s="365"/>
      <c r="D50" s="366" t="s">
        <v>386</v>
      </c>
      <c r="E50" s="367" t="s">
        <v>387</v>
      </c>
      <c r="F50" s="367"/>
      <c r="G50" s="367" t="s">
        <v>388</v>
      </c>
      <c r="H50" s="367"/>
      <c r="I50" s="367" t="s">
        <v>389</v>
      </c>
      <c r="J50" s="368"/>
      <c r="K50" s="346"/>
      <c r="L50" s="346"/>
      <c r="M50" s="324"/>
    </row>
    <row r="51" spans="1:15" s="347" customFormat="1" ht="11.25" customHeight="1" x14ac:dyDescent="0.3">
      <c r="A51" s="468"/>
      <c r="B51" s="355"/>
      <c r="C51" s="346" t="s">
        <v>390</v>
      </c>
      <c r="D51" s="346"/>
      <c r="E51" s="346"/>
      <c r="F51" s="346"/>
      <c r="G51" s="346"/>
      <c r="H51" s="346"/>
      <c r="I51" s="346"/>
      <c r="J51" s="346"/>
      <c r="K51" s="346"/>
      <c r="L51" s="346"/>
      <c r="M51" s="324"/>
    </row>
    <row r="52" spans="1:15" s="347" customFormat="1" ht="11.25" customHeight="1" x14ac:dyDescent="0.3">
      <c r="A52" s="468"/>
      <c r="B52" s="355"/>
      <c r="C52" s="346"/>
      <c r="D52" s="348" t="s">
        <v>18</v>
      </c>
      <c r="E52" s="367">
        <f>E48*3</f>
        <v>0</v>
      </c>
      <c r="F52" s="348" t="s">
        <v>391</v>
      </c>
      <c r="G52" s="367">
        <f>G48*10</f>
        <v>0</v>
      </c>
      <c r="H52" s="348" t="s">
        <v>391</v>
      </c>
      <c r="I52" s="367">
        <f>I48*25</f>
        <v>0</v>
      </c>
      <c r="J52" s="348" t="s">
        <v>18</v>
      </c>
      <c r="K52" s="369">
        <f>SUM(E52,G52,I52)</f>
        <v>0</v>
      </c>
      <c r="L52" s="346"/>
      <c r="M52" s="324"/>
    </row>
    <row r="53" spans="1:15" s="347" customFormat="1" ht="11.25" customHeight="1" thickBot="1" x14ac:dyDescent="0.35">
      <c r="A53" s="468"/>
      <c r="B53" s="355"/>
      <c r="C53" s="346"/>
      <c r="D53" s="346"/>
      <c r="E53" s="346"/>
      <c r="F53" s="346"/>
      <c r="G53" s="346"/>
      <c r="H53" s="346"/>
      <c r="I53" s="346"/>
      <c r="J53" s="346"/>
      <c r="K53" s="348" t="s">
        <v>19</v>
      </c>
      <c r="L53" s="346"/>
      <c r="M53" s="324"/>
    </row>
    <row r="54" spans="1:15" s="347" customFormat="1" ht="11.25" customHeight="1" thickBot="1" x14ac:dyDescent="0.35">
      <c r="A54" s="468"/>
      <c r="B54" s="355"/>
      <c r="C54" s="367">
        <f>K52</f>
        <v>0</v>
      </c>
      <c r="D54" s="348">
        <v>3</v>
      </c>
      <c r="E54" s="370">
        <f>'RC RATING SUMMARY'!F6</f>
        <v>0</v>
      </c>
      <c r="F54" s="371" t="s">
        <v>18</v>
      </c>
      <c r="G54" s="372" t="e">
        <f>C54/3/E54</f>
        <v>#DIV/0!</v>
      </c>
      <c r="H54" s="355"/>
      <c r="I54" s="346" t="s">
        <v>392</v>
      </c>
      <c r="J54" s="346"/>
      <c r="K54" s="346"/>
      <c r="L54" s="346"/>
      <c r="M54" s="324"/>
    </row>
    <row r="55" spans="1:15" s="347" customFormat="1" ht="11.25" customHeight="1" x14ac:dyDescent="0.3">
      <c r="A55" s="468"/>
      <c r="B55" s="355"/>
      <c r="C55" s="348" t="s">
        <v>19</v>
      </c>
      <c r="D55" s="346"/>
      <c r="E55" s="346" t="s">
        <v>393</v>
      </c>
      <c r="F55" s="346"/>
      <c r="G55" s="373" t="s">
        <v>394</v>
      </c>
      <c r="H55" s="355"/>
      <c r="I55" s="346"/>
      <c r="J55" s="348" t="s">
        <v>395</v>
      </c>
      <c r="K55" s="348"/>
      <c r="L55" s="346"/>
      <c r="M55" s="324"/>
    </row>
    <row r="56" spans="1:15" s="347" customFormat="1" ht="11.25" customHeight="1" x14ac:dyDescent="0.3">
      <c r="A56" s="468"/>
      <c r="B56" s="355"/>
      <c r="C56" s="346"/>
      <c r="D56" s="346"/>
      <c r="E56" s="348" t="s">
        <v>396</v>
      </c>
      <c r="F56" s="346"/>
      <c r="G56" s="346" t="s">
        <v>397</v>
      </c>
      <c r="H56" s="346"/>
      <c r="I56" s="346"/>
      <c r="J56" s="346"/>
      <c r="K56" s="348"/>
      <c r="L56" s="346"/>
      <c r="M56" s="324"/>
    </row>
    <row r="57" spans="1:15" s="324" customFormat="1" ht="11.25" customHeight="1" x14ac:dyDescent="0.3">
      <c r="A57" s="468"/>
      <c r="B57" s="355"/>
      <c r="C57" s="346"/>
      <c r="D57" s="346"/>
      <c r="E57" s="346"/>
      <c r="F57" s="346"/>
      <c r="G57" s="346"/>
      <c r="H57" s="346"/>
      <c r="I57" s="348"/>
      <c r="J57" s="346"/>
      <c r="K57" s="348"/>
      <c r="L57" s="346"/>
    </row>
    <row r="58" spans="1:15" s="324" customFormat="1" ht="11.25" customHeight="1" x14ac:dyDescent="0.3">
      <c r="A58" s="468"/>
      <c r="B58" s="355"/>
      <c r="C58" s="346"/>
      <c r="D58" s="355"/>
      <c r="E58" s="346"/>
      <c r="F58" s="346"/>
      <c r="G58" s="346"/>
      <c r="H58" s="346"/>
      <c r="I58" s="346"/>
      <c r="J58" s="352" t="s">
        <v>398</v>
      </c>
      <c r="K58" s="374">
        <f>IF(K52=0,0,M65)</f>
        <v>0</v>
      </c>
      <c r="L58" s="346"/>
      <c r="M58" s="324" t="s">
        <v>399</v>
      </c>
    </row>
    <row r="59" spans="1:15" s="324" customFormat="1" ht="11.25" customHeight="1" x14ac:dyDescent="0.3">
      <c r="A59" s="468"/>
      <c r="B59" s="346"/>
      <c r="C59" s="346"/>
      <c r="D59" s="346"/>
      <c r="E59" s="346"/>
      <c r="F59" s="346"/>
      <c r="G59" s="346"/>
      <c r="H59" s="348"/>
      <c r="I59" s="346"/>
      <c r="J59" s="348"/>
      <c r="K59" s="346"/>
      <c r="L59" s="346"/>
      <c r="M59" s="349" t="s">
        <v>13</v>
      </c>
    </row>
    <row r="60" spans="1:15" s="324" customFormat="1" ht="11.25" customHeight="1" x14ac:dyDescent="0.3">
      <c r="A60" s="468"/>
      <c r="B60" s="346"/>
      <c r="C60" s="355"/>
      <c r="D60" s="355"/>
      <c r="E60" s="346"/>
      <c r="F60" s="375" t="s">
        <v>400</v>
      </c>
      <c r="G60" s="346"/>
      <c r="H60" s="348"/>
      <c r="I60" s="346"/>
      <c r="J60" s="348"/>
      <c r="K60" s="346"/>
      <c r="L60" s="346"/>
    </row>
    <row r="61" spans="1:15" s="324" customFormat="1" x14ac:dyDescent="0.3">
      <c r="A61" s="468"/>
      <c r="B61" s="346"/>
      <c r="C61" s="346"/>
      <c r="D61" s="346"/>
      <c r="E61" s="346"/>
      <c r="F61" s="346"/>
      <c r="G61" s="346"/>
      <c r="H61" s="348"/>
      <c r="I61" s="346"/>
      <c r="J61" s="348"/>
      <c r="K61" s="346"/>
      <c r="L61" s="346"/>
      <c r="M61" s="351" t="s">
        <v>14</v>
      </c>
    </row>
    <row r="62" spans="1:15" s="347" customFormat="1" x14ac:dyDescent="0.3">
      <c r="A62" s="468"/>
      <c r="B62" s="346"/>
      <c r="C62" s="348" t="s">
        <v>401</v>
      </c>
      <c r="D62" s="355"/>
      <c r="E62" s="346" t="s">
        <v>401</v>
      </c>
      <c r="F62" s="355"/>
      <c r="G62" s="373" t="s">
        <v>402</v>
      </c>
      <c r="H62" s="348"/>
      <c r="I62" s="348" t="s">
        <v>403</v>
      </c>
      <c r="J62" s="348"/>
      <c r="K62" s="346"/>
      <c r="L62" s="346"/>
      <c r="M62" s="351" t="s">
        <v>404</v>
      </c>
      <c r="O62" s="324"/>
    </row>
    <row r="63" spans="1:15" s="347" customFormat="1" x14ac:dyDescent="0.3">
      <c r="A63" s="468"/>
      <c r="B63" s="346" t="s">
        <v>4</v>
      </c>
      <c r="C63" s="376" t="s">
        <v>405</v>
      </c>
      <c r="D63" s="355"/>
      <c r="E63" s="376" t="s">
        <v>406</v>
      </c>
      <c r="F63" s="355"/>
      <c r="G63" s="357" t="s">
        <v>407</v>
      </c>
      <c r="H63" s="348"/>
      <c r="I63" s="376" t="s">
        <v>3</v>
      </c>
      <c r="J63" s="348"/>
      <c r="K63" s="346"/>
      <c r="L63" s="346"/>
      <c r="M63" s="354" t="s">
        <v>17</v>
      </c>
      <c r="O63" s="324"/>
    </row>
    <row r="64" spans="1:15" s="347" customFormat="1" x14ac:dyDescent="0.3">
      <c r="A64" s="468"/>
      <c r="B64" s="346"/>
      <c r="C64" s="346"/>
      <c r="D64" s="355"/>
      <c r="E64" s="346"/>
      <c r="F64" s="355"/>
      <c r="G64" s="355"/>
      <c r="H64" s="348"/>
      <c r="I64" s="346"/>
      <c r="J64" s="348"/>
      <c r="K64" s="346"/>
      <c r="L64" s="346"/>
      <c r="M64" s="351"/>
      <c r="O64" s="324"/>
    </row>
    <row r="65" spans="1:15" s="347" customFormat="1" ht="15.5" x14ac:dyDescent="0.3">
      <c r="A65" s="468"/>
      <c r="B65" s="346"/>
      <c r="C65" s="377" t="s">
        <v>408</v>
      </c>
      <c r="D65" s="378" t="str">
        <f>IF(AND(E33&lt;51,E33&gt;0),"*","")</f>
        <v/>
      </c>
      <c r="E65" s="379" t="s">
        <v>409</v>
      </c>
      <c r="F65" s="378" t="str">
        <f>IF(AND(J33&lt;6,J33&gt;0),"*","")</f>
        <v/>
      </c>
      <c r="G65" s="348" t="s">
        <v>410</v>
      </c>
      <c r="H65" s="378" t="e">
        <f>IF(AND(G54&lt;2.5,G54&gt;0),"*","")</f>
        <v>#DIV/0!</v>
      </c>
      <c r="I65" s="348">
        <v>0</v>
      </c>
      <c r="J65" s="348"/>
      <c r="K65" s="346"/>
      <c r="L65" s="346"/>
      <c r="M65" s="351" t="e">
        <f>IF(AND(G54&lt;2.5,G54&gt;0),I65,M66)</f>
        <v>#DIV/0!</v>
      </c>
      <c r="O65" s="324"/>
    </row>
    <row r="66" spans="1:15" s="347" customFormat="1" ht="15.5" x14ac:dyDescent="0.3">
      <c r="A66" s="468"/>
      <c r="B66" s="346"/>
      <c r="C66" s="377" t="s">
        <v>411</v>
      </c>
      <c r="D66" s="378" t="str">
        <f>IF(AND(E33&lt;101,E33&gt;50),"*","")</f>
        <v/>
      </c>
      <c r="E66" s="380" t="s">
        <v>412</v>
      </c>
      <c r="F66" s="378" t="str">
        <f>IF(AND(J33&lt;11,J33&gt;5),"*","")</f>
        <v/>
      </c>
      <c r="G66" s="381" t="s">
        <v>413</v>
      </c>
      <c r="H66" s="378" t="e">
        <f>IF(AND(G54&lt;4.5,G54&gt;=2.5),"*","")</f>
        <v>#DIV/0!</v>
      </c>
      <c r="I66" s="348">
        <v>1</v>
      </c>
      <c r="J66" s="348"/>
      <c r="K66" s="346"/>
      <c r="L66" s="346"/>
      <c r="M66" s="351" t="e">
        <f>IF(AND(G54&lt;4.5,G54&gt;=2.5),I66,M67)</f>
        <v>#DIV/0!</v>
      </c>
      <c r="O66" s="324"/>
    </row>
    <row r="67" spans="1:15" s="347" customFormat="1" ht="15.5" x14ac:dyDescent="0.3">
      <c r="A67" s="468"/>
      <c r="B67" s="346"/>
      <c r="C67" s="377" t="s">
        <v>414</v>
      </c>
      <c r="D67" s="378" t="str">
        <f>IF(AND(E33&lt;251,E33&gt;100),"*","")</f>
        <v/>
      </c>
      <c r="E67" s="380" t="s">
        <v>415</v>
      </c>
      <c r="F67" s="378" t="str">
        <f>IF(AND(J33&lt;26,J33&gt;10),"*","")</f>
        <v/>
      </c>
      <c r="G67" s="371" t="s">
        <v>416</v>
      </c>
      <c r="H67" s="378" t="e">
        <f>IF(AND(G54&lt;6.5,G54&gt;=4.5),"*","")</f>
        <v>#DIV/0!</v>
      </c>
      <c r="I67" s="348">
        <v>2</v>
      </c>
      <c r="J67" s="348"/>
      <c r="K67" s="346"/>
      <c r="L67" s="346"/>
      <c r="M67" s="351" t="e">
        <f>IF(AND(G54&lt;6.5,G54&gt;=4.5),I67,M68)</f>
        <v>#DIV/0!</v>
      </c>
      <c r="O67" s="324"/>
    </row>
    <row r="68" spans="1:15" s="347" customFormat="1" ht="15.5" x14ac:dyDescent="0.3">
      <c r="A68" s="468"/>
      <c r="B68" s="346"/>
      <c r="C68" s="377" t="s">
        <v>417</v>
      </c>
      <c r="D68" s="378" t="str">
        <f>IF(AND(E33&lt;501,E33&gt;250),"*","")</f>
        <v/>
      </c>
      <c r="E68" s="377" t="s">
        <v>418</v>
      </c>
      <c r="F68" s="378" t="str">
        <f>IF(AND(J33&lt;51,J33&gt;25),"*","")</f>
        <v/>
      </c>
      <c r="G68" s="371" t="s">
        <v>419</v>
      </c>
      <c r="H68" s="378" t="e">
        <f>IF(AND(G54&lt;8.4,G54&gt;=6.5),"*","")</f>
        <v>#DIV/0!</v>
      </c>
      <c r="I68" s="348">
        <v>3</v>
      </c>
      <c r="J68" s="348"/>
      <c r="K68" s="346"/>
      <c r="L68" s="346"/>
      <c r="M68" s="351" t="e">
        <f>IF(AND(G54&lt;8.4,G54&gt;=6.5),I68,M69)</f>
        <v>#DIV/0!</v>
      </c>
      <c r="O68" s="324"/>
    </row>
    <row r="69" spans="1:15" s="347" customFormat="1" ht="15.5" x14ac:dyDescent="0.3">
      <c r="A69" s="468"/>
      <c r="B69" s="346"/>
      <c r="C69" s="377" t="s">
        <v>420</v>
      </c>
      <c r="D69" s="378" t="str">
        <f>IF(AND(E33&lt;751,E33&gt;500),"*","")</f>
        <v/>
      </c>
      <c r="E69" s="377" t="s">
        <v>421</v>
      </c>
      <c r="F69" s="378" t="str">
        <f>IF(AND(J33&lt;76,J33&gt;50),"*","")</f>
        <v/>
      </c>
      <c r="G69" s="371" t="s">
        <v>422</v>
      </c>
      <c r="H69" s="378" t="e">
        <f>IF(AND(G54&lt;10.5,G54&gt;=8.5),"*","")</f>
        <v>#DIV/0!</v>
      </c>
      <c r="I69" s="348">
        <v>4</v>
      </c>
      <c r="J69" s="348"/>
      <c r="K69" s="346"/>
      <c r="L69" s="346"/>
      <c r="M69" s="351" t="e">
        <f>IF(AND(G54&lt;10.5,G54&gt;=8.5),I69,M70)</f>
        <v>#DIV/0!</v>
      </c>
      <c r="O69" s="324"/>
    </row>
    <row r="70" spans="1:15" s="347" customFormat="1" ht="15.5" x14ac:dyDescent="0.3">
      <c r="A70" s="468"/>
      <c r="B70" s="346"/>
      <c r="C70" s="377" t="s">
        <v>423</v>
      </c>
      <c r="D70" s="378" t="str">
        <f>IF(AND(E33&lt;1001,E33&gt;750),"*","")</f>
        <v/>
      </c>
      <c r="E70" s="377" t="s">
        <v>424</v>
      </c>
      <c r="F70" s="378" t="str">
        <f>IF(AND(J33&lt;101,J33&gt;75),"*","")</f>
        <v/>
      </c>
      <c r="G70" s="371" t="s">
        <v>425</v>
      </c>
      <c r="H70" s="378" t="e">
        <f>IF(AND(G54&lt;12.5,G54&gt;=10.5),"*","")</f>
        <v>#DIV/0!</v>
      </c>
      <c r="I70" s="348">
        <v>5</v>
      </c>
      <c r="J70" s="348"/>
      <c r="K70" s="346"/>
      <c r="L70" s="346"/>
      <c r="M70" s="351" t="e">
        <f>IF(AND(G54&lt;12.5,G54&gt;=10.5),I70,M71)</f>
        <v>#DIV/0!</v>
      </c>
      <c r="O70" s="324"/>
    </row>
    <row r="71" spans="1:15" s="347" customFormat="1" ht="15.5" x14ac:dyDescent="0.3">
      <c r="A71" s="468"/>
      <c r="B71" s="346"/>
      <c r="C71" s="377" t="s">
        <v>426</v>
      </c>
      <c r="D71" s="378" t="str">
        <f>IF(AND(E33&lt;1251,E33&gt;1000),"*","")</f>
        <v/>
      </c>
      <c r="E71" s="377" t="s">
        <v>427</v>
      </c>
      <c r="F71" s="378" t="str">
        <f>IF(AND(J33&lt;126,J33&gt;100),"*","")</f>
        <v/>
      </c>
      <c r="G71" s="371" t="s">
        <v>428</v>
      </c>
      <c r="H71" s="378" t="e">
        <f>IF(AND(G54&lt;14.5,G54&gt;=12.5),"*","")</f>
        <v>#DIV/0!</v>
      </c>
      <c r="I71" s="348">
        <v>6</v>
      </c>
      <c r="J71" s="348"/>
      <c r="K71" s="346"/>
      <c r="L71" s="346"/>
      <c r="M71" s="351" t="e">
        <f>IF(AND(G54&lt;14.5,G54&gt;=12.5),I71,M72)</f>
        <v>#DIV/0!</v>
      </c>
      <c r="O71" s="324"/>
    </row>
    <row r="72" spans="1:15" s="347" customFormat="1" ht="15.5" x14ac:dyDescent="0.3">
      <c r="A72" s="468"/>
      <c r="B72" s="346"/>
      <c r="C72" s="377" t="s">
        <v>429</v>
      </c>
      <c r="D72" s="378" t="str">
        <f>IF(AND(E33&lt;1501,E33&gt;1250),"*","")</f>
        <v/>
      </c>
      <c r="E72" s="377" t="s">
        <v>430</v>
      </c>
      <c r="F72" s="378" t="str">
        <f>IF(AND(J33&lt;151,J33&gt;125),"*","")</f>
        <v/>
      </c>
      <c r="G72" s="348" t="s">
        <v>431</v>
      </c>
      <c r="H72" s="378" t="e">
        <f>IF(AND(G54&lt;16.5,G54&gt;=14.5),"*","")</f>
        <v>#DIV/0!</v>
      </c>
      <c r="I72" s="348">
        <v>7</v>
      </c>
      <c r="J72" s="348"/>
      <c r="K72" s="346"/>
      <c r="L72" s="346"/>
      <c r="M72" s="351" t="e">
        <f>IF(AND(G54&lt;16.5,G54&gt;=14.5),I72,M73)</f>
        <v>#DIV/0!</v>
      </c>
      <c r="O72" s="324"/>
    </row>
    <row r="73" spans="1:15" s="347" customFormat="1" ht="15.5" x14ac:dyDescent="0.3">
      <c r="A73" s="468"/>
      <c r="B73" s="346"/>
      <c r="C73" s="377" t="s">
        <v>432</v>
      </c>
      <c r="D73" s="378" t="str">
        <f>IF(AND(E33&lt;2001,E33&gt;1500),"*","")</f>
        <v/>
      </c>
      <c r="E73" s="377" t="s">
        <v>433</v>
      </c>
      <c r="F73" s="378" t="str">
        <f>IF(AND(J33&lt;201,J33&gt;150),"*","")</f>
        <v/>
      </c>
      <c r="G73" s="348" t="s">
        <v>434</v>
      </c>
      <c r="H73" s="378" t="e">
        <f>IF(AND(G54&lt;18.5,G54&gt;=16.5),"*","")</f>
        <v>#DIV/0!</v>
      </c>
      <c r="I73" s="348">
        <v>8</v>
      </c>
      <c r="J73" s="348"/>
      <c r="K73" s="346"/>
      <c r="L73" s="346"/>
      <c r="M73" s="351" t="e">
        <f>IF(AND(G54&lt;18.5,G54&gt;=16.5),I73,M74)</f>
        <v>#DIV/0!</v>
      </c>
      <c r="O73" s="324"/>
    </row>
    <row r="74" spans="1:15" s="347" customFormat="1" ht="15.5" x14ac:dyDescent="0.3">
      <c r="A74" s="468"/>
      <c r="B74" s="346"/>
      <c r="C74" s="377" t="s">
        <v>435</v>
      </c>
      <c r="D74" s="378" t="str">
        <f>IF(AND(E33&lt;2501,E33&gt;2000),"*","")</f>
        <v>*</v>
      </c>
      <c r="E74" s="377" t="s">
        <v>436</v>
      </c>
      <c r="F74" s="378" t="str">
        <f>IF(AND(J33&lt;251,J33&gt;200),"*","")</f>
        <v/>
      </c>
      <c r="G74" s="348" t="s">
        <v>437</v>
      </c>
      <c r="H74" s="378" t="e">
        <f>IF(AND(G54&lt;20.5,G54&gt;=18.5),"*","")</f>
        <v>#DIV/0!</v>
      </c>
      <c r="I74" s="348">
        <v>9</v>
      </c>
      <c r="J74" s="348"/>
      <c r="K74" s="346"/>
      <c r="L74" s="346"/>
      <c r="M74" s="351" t="e">
        <f>IF(AND(G54&lt;20.5,G54&gt;=18.5),I74,M75)</f>
        <v>#DIV/0!</v>
      </c>
      <c r="O74" s="324"/>
    </row>
    <row r="75" spans="1:15" s="347" customFormat="1" ht="15.5" x14ac:dyDescent="0.3">
      <c r="A75" s="468"/>
      <c r="B75" s="346"/>
      <c r="C75" s="377" t="s">
        <v>438</v>
      </c>
      <c r="D75" s="378" t="str">
        <f>IF(E33&gt;2500,"*","")</f>
        <v/>
      </c>
      <c r="E75" s="377" t="s">
        <v>439</v>
      </c>
      <c r="F75" s="378" t="str">
        <f>IF(J33&gt;250,"*","")</f>
        <v>*</v>
      </c>
      <c r="G75" s="348" t="s">
        <v>440</v>
      </c>
      <c r="H75" s="378" t="e">
        <f>IF(G54&gt;=20.5,"*","")</f>
        <v>#DIV/0!</v>
      </c>
      <c r="I75" s="348">
        <v>10</v>
      </c>
      <c r="J75" s="348"/>
      <c r="K75" s="346"/>
      <c r="L75" s="346"/>
      <c r="M75" s="351" t="e">
        <f>IF(G54&gt;=20.5,I75,"")</f>
        <v>#DIV/0!</v>
      </c>
      <c r="O75" s="324"/>
    </row>
    <row r="76" spans="1:15" s="347" customFormat="1" x14ac:dyDescent="0.3">
      <c r="A76" s="468"/>
      <c r="B76" s="346"/>
      <c r="C76" s="346"/>
      <c r="D76" s="346"/>
      <c r="E76" s="346" t="s">
        <v>441</v>
      </c>
      <c r="F76" s="346"/>
      <c r="G76" s="346"/>
      <c r="H76" s="348"/>
      <c r="I76" s="346"/>
      <c r="J76" s="348"/>
      <c r="K76" s="346"/>
      <c r="L76" s="346"/>
    </row>
    <row r="77" spans="1:15" s="347" customFormat="1" x14ac:dyDescent="0.3">
      <c r="A77" s="468"/>
      <c r="B77" s="346"/>
      <c r="C77" s="346"/>
      <c r="D77" s="346"/>
      <c r="E77" s="346" t="s">
        <v>442</v>
      </c>
      <c r="F77" s="346"/>
      <c r="G77" s="346"/>
      <c r="H77" s="346"/>
      <c r="I77" s="346"/>
      <c r="J77" s="348"/>
      <c r="K77" s="346"/>
      <c r="L77" s="346"/>
      <c r="M77" s="324"/>
    </row>
    <row r="78" spans="1:15" s="347" customFormat="1" x14ac:dyDescent="0.3">
      <c r="A78" s="324"/>
      <c r="B78" s="346" t="s">
        <v>4</v>
      </c>
      <c r="C78" s="346"/>
      <c r="D78" s="346"/>
      <c r="E78" s="346"/>
      <c r="F78" s="346"/>
      <c r="G78" s="346"/>
      <c r="H78" s="348"/>
      <c r="I78" s="346"/>
      <c r="J78" s="348"/>
      <c r="K78" s="346"/>
      <c r="L78" s="346"/>
      <c r="M78" s="324"/>
    </row>
    <row r="79" spans="1:15" s="347" customFormat="1" x14ac:dyDescent="0.3">
      <c r="A79" s="324"/>
      <c r="B79" s="324"/>
      <c r="C79" s="324"/>
      <c r="D79" s="324"/>
      <c r="E79" s="324"/>
      <c r="F79" s="324"/>
      <c r="G79" s="324"/>
      <c r="H79" s="345"/>
      <c r="I79" s="324"/>
      <c r="J79" s="345"/>
      <c r="K79" s="324"/>
      <c r="L79" s="324"/>
      <c r="M79" s="324"/>
    </row>
  </sheetData>
  <sheetProtection algorithmName="SHA-512" hashValue="tbDgwOKlPI+SfElhA+YgC//VmufkNRW8YDSBfC3yCh4s2jSnoyHwVb5c0BkxOA3FZ3p/4QOaQxNBWq/uHoQVJA==" saltValue="KJlDi+h36yBVSmeN58jt3A==" spinCount="100000" sheet="1" selectLockedCells="1"/>
  <mergeCells count="3">
    <mergeCell ref="H5:J6"/>
    <mergeCell ref="F14:H16"/>
    <mergeCell ref="A28:A77"/>
  </mergeCells>
  <conditionalFormatting sqref="H65">
    <cfRule type="expression" dxfId="16" priority="11" stopIfTrue="1">
      <formula>ISERROR(H65)</formula>
    </cfRule>
  </conditionalFormatting>
  <conditionalFormatting sqref="H66">
    <cfRule type="expression" dxfId="15" priority="2" stopIfTrue="1">
      <formula>ISERROR(H65)</formula>
    </cfRule>
  </conditionalFormatting>
  <conditionalFormatting sqref="H67">
    <cfRule type="expression" dxfId="14" priority="1" stopIfTrue="1">
      <formula>ISERROR(H65)</formula>
    </cfRule>
  </conditionalFormatting>
  <conditionalFormatting sqref="H68">
    <cfRule type="expression" dxfId="13" priority="3" stopIfTrue="1">
      <formula>ISERROR(H65)</formula>
    </cfRule>
  </conditionalFormatting>
  <conditionalFormatting sqref="H69">
    <cfRule type="expression" dxfId="12" priority="4" stopIfTrue="1">
      <formula>ISERROR(H65)</formula>
    </cfRule>
  </conditionalFormatting>
  <conditionalFormatting sqref="H70">
    <cfRule type="expression" dxfId="11" priority="5" stopIfTrue="1">
      <formula>ISERROR(H65)</formula>
    </cfRule>
  </conditionalFormatting>
  <conditionalFormatting sqref="H71">
    <cfRule type="expression" dxfId="10" priority="6" stopIfTrue="1">
      <formula>ISERROR(H65)</formula>
    </cfRule>
  </conditionalFormatting>
  <conditionalFormatting sqref="H72">
    <cfRule type="expression" dxfId="9" priority="7" stopIfTrue="1">
      <formula>ISERROR(H65)</formula>
    </cfRule>
  </conditionalFormatting>
  <conditionalFormatting sqref="H73">
    <cfRule type="expression" dxfId="8" priority="8" stopIfTrue="1">
      <formula>ISERROR(H65)</formula>
    </cfRule>
  </conditionalFormatting>
  <conditionalFormatting sqref="H74">
    <cfRule type="expression" dxfId="7" priority="9" stopIfTrue="1">
      <formula>ISERROR(H65)</formula>
    </cfRule>
  </conditionalFormatting>
  <conditionalFormatting sqref="H75">
    <cfRule type="expression" dxfId="6" priority="10" stopIfTrue="1">
      <formula>ISERROR(H65)</formula>
    </cfRule>
  </conditionalFormatting>
  <conditionalFormatting sqref="L3">
    <cfRule type="expression" dxfId="5" priority="12" stopIfTrue="1">
      <formula>ISERROR(L3)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Line="0" autoPict="0" dde="1" r:id="rId5">
            <anchor moveWithCells="1">
              <from>
                <xdr:col>3</xdr:col>
                <xdr:colOff>19050</xdr:colOff>
                <xdr:row>53</xdr:row>
                <xdr:rowOff>31750</xdr:rowOff>
              </from>
              <to>
                <xdr:col>3</xdr:col>
                <xdr:colOff>146050</xdr:colOff>
                <xdr:row>54</xdr:row>
                <xdr:rowOff>6350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Line="0" autoPict="0" dde="1" r:id="rId7">
            <anchor moveWithCells="1">
              <from>
                <xdr:col>3</xdr:col>
                <xdr:colOff>457200</xdr:colOff>
                <xdr:row>53</xdr:row>
                <xdr:rowOff>31750</xdr:rowOff>
              </from>
              <to>
                <xdr:col>4</xdr:col>
                <xdr:colOff>69850</xdr:colOff>
                <xdr:row>54</xdr:row>
                <xdr:rowOff>6350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T152"/>
  <sheetViews>
    <sheetView showGridLines="0" workbookViewId="0">
      <selection activeCell="I5" sqref="I5:J5"/>
    </sheetView>
  </sheetViews>
  <sheetFormatPr defaultColWidth="9.1796875" defaultRowHeight="13" x14ac:dyDescent="0.3"/>
  <cols>
    <col min="1" max="1" width="3.81640625" style="88" customWidth="1"/>
    <col min="2" max="2" width="10.26953125" style="88" customWidth="1"/>
    <col min="3" max="3" width="6.453125" style="88" customWidth="1"/>
    <col min="4" max="16" width="7.7265625" style="88" customWidth="1"/>
    <col min="17" max="16384" width="9.1796875" style="88"/>
  </cols>
  <sheetData>
    <row r="3" spans="2:14" ht="13.5" thickBot="1" x14ac:dyDescent="0.35">
      <c r="B3" s="149"/>
      <c r="C3" s="149"/>
      <c r="D3" s="150"/>
      <c r="E3" s="152"/>
      <c r="F3" s="151"/>
      <c r="G3" s="152"/>
      <c r="H3" s="309"/>
      <c r="I3" s="150"/>
      <c r="J3" s="310"/>
      <c r="K3" s="152"/>
      <c r="L3" s="150"/>
    </row>
    <row r="4" spans="2:14" x14ac:dyDescent="0.3">
      <c r="B4" s="382"/>
      <c r="C4" s="383"/>
      <c r="D4" s="384"/>
      <c r="E4" s="385"/>
      <c r="F4" s="385"/>
      <c r="G4" s="385"/>
      <c r="H4" s="383"/>
      <c r="I4" s="383"/>
      <c r="J4" s="383"/>
      <c r="K4" s="383"/>
      <c r="L4" s="386"/>
    </row>
    <row r="5" spans="2:14" x14ac:dyDescent="0.3">
      <c r="B5" s="387" t="s">
        <v>281</v>
      </c>
      <c r="C5" s="388"/>
      <c r="D5" s="388"/>
      <c r="E5"/>
      <c r="F5"/>
      <c r="G5"/>
      <c r="H5" s="389" t="s">
        <v>244</v>
      </c>
      <c r="I5" s="469"/>
      <c r="J5" s="470"/>
      <c r="K5"/>
      <c r="L5" s="52"/>
    </row>
    <row r="6" spans="2:14" x14ac:dyDescent="0.3">
      <c r="B6" s="59"/>
      <c r="C6"/>
      <c r="D6"/>
      <c r="E6" s="1"/>
      <c r="F6"/>
      <c r="G6"/>
      <c r="H6" s="2"/>
      <c r="I6" s="6" t="s">
        <v>161</v>
      </c>
      <c r="J6" s="2" t="s">
        <v>162</v>
      </c>
      <c r="K6"/>
      <c r="L6" s="52"/>
    </row>
    <row r="7" spans="2:14" x14ac:dyDescent="0.3">
      <c r="B7" s="390" t="s">
        <v>245</v>
      </c>
      <c r="C7" s="391" t="s">
        <v>247</v>
      </c>
      <c r="D7" s="1" t="s">
        <v>148</v>
      </c>
      <c r="E7" s="1" t="s">
        <v>149</v>
      </c>
      <c r="F7" t="s">
        <v>165</v>
      </c>
      <c r="G7"/>
      <c r="H7" s="2"/>
      <c r="I7" s="6" t="s">
        <v>163</v>
      </c>
      <c r="J7" s="2" t="s">
        <v>164</v>
      </c>
      <c r="K7"/>
      <c r="L7" s="52"/>
    </row>
    <row r="8" spans="2:14" x14ac:dyDescent="0.3">
      <c r="B8" s="59"/>
      <c r="C8" s="392" t="s">
        <v>118</v>
      </c>
      <c r="D8" s="139"/>
      <c r="E8" s="393"/>
      <c r="F8" s="139"/>
      <c r="G8" s="1"/>
      <c r="H8"/>
      <c r="I8"/>
      <c r="J8"/>
      <c r="K8"/>
      <c r="L8" s="52"/>
    </row>
    <row r="9" spans="2:14" x14ac:dyDescent="0.3">
      <c r="B9" s="59"/>
      <c r="C9" s="392"/>
      <c r="D9" s="1"/>
      <c r="E9" s="393"/>
      <c r="F9" s="1"/>
      <c r="G9" s="1"/>
      <c r="H9"/>
      <c r="I9"/>
      <c r="J9"/>
      <c r="K9"/>
      <c r="L9" s="52"/>
    </row>
    <row r="10" spans="2:14" x14ac:dyDescent="0.3">
      <c r="B10" s="59"/>
      <c r="C10" s="392"/>
      <c r="D10" s="1"/>
      <c r="E10" s="393"/>
      <c r="F10" s="1"/>
      <c r="G10" s="1"/>
      <c r="H10"/>
      <c r="I10"/>
      <c r="J10"/>
      <c r="K10"/>
      <c r="L10" s="52"/>
    </row>
    <row r="11" spans="2:14" x14ac:dyDescent="0.3">
      <c r="B11" s="59"/>
      <c r="C11" s="392"/>
      <c r="D11" s="69"/>
      <c r="E11" s="394" t="s">
        <v>318</v>
      </c>
      <c r="F11" s="395"/>
      <c r="G11" s="395"/>
      <c r="H11" s="396"/>
      <c r="I11" s="396"/>
      <c r="J11" s="397"/>
      <c r="K11"/>
      <c r="L11" s="52"/>
    </row>
    <row r="12" spans="2:14" x14ac:dyDescent="0.3">
      <c r="B12" s="59"/>
      <c r="C12"/>
      <c r="D12" s="1"/>
      <c r="E12" s="398"/>
      <c r="F12" s="1"/>
      <c r="G12" s="1"/>
      <c r="H12"/>
      <c r="I12"/>
      <c r="J12"/>
      <c r="K12"/>
      <c r="L12" s="52"/>
    </row>
    <row r="13" spans="2:14" x14ac:dyDescent="0.3">
      <c r="B13" s="390" t="s">
        <v>246</v>
      </c>
      <c r="C13" s="67" t="s">
        <v>319</v>
      </c>
      <c r="D13" s="82"/>
      <c r="E13"/>
      <c r="F13"/>
      <c r="G13"/>
      <c r="H13" s="399"/>
      <c r="I13" s="400" t="s">
        <v>136</v>
      </c>
      <c r="J13" s="401"/>
      <c r="K13"/>
      <c r="L13" s="52"/>
    </row>
    <row r="14" spans="2:14" ht="15.5" x14ac:dyDescent="0.35">
      <c r="B14" s="402"/>
      <c r="C14" s="50" t="s">
        <v>17</v>
      </c>
      <c r="D14" s="50" t="s">
        <v>250</v>
      </c>
      <c r="E14"/>
      <c r="F14" s="473" t="s">
        <v>280</v>
      </c>
      <c r="G14" s="473"/>
      <c r="H14"/>
      <c r="I14" s="403"/>
      <c r="J14"/>
      <c r="K14"/>
      <c r="L14" s="52"/>
    </row>
    <row r="15" spans="2:14" x14ac:dyDescent="0.3">
      <c r="B15" s="404" t="str">
        <f>IF(D15="","",1)</f>
        <v/>
      </c>
      <c r="C15" s="323" t="str">
        <f>IF(D15&lt;&gt;0,3,"")</f>
        <v/>
      </c>
      <c r="D15" s="160"/>
      <c r="E15" s="19" t="s">
        <v>6</v>
      </c>
      <c r="F15" s="19" t="s">
        <v>192</v>
      </c>
      <c r="G15" s="19"/>
      <c r="H15"/>
      <c r="I15" s="50" t="s">
        <v>125</v>
      </c>
      <c r="J15" s="405" t="s">
        <v>336</v>
      </c>
      <c r="K15" s="50" t="s">
        <v>17</v>
      </c>
      <c r="L15" s="52"/>
    </row>
    <row r="16" spans="2:14" x14ac:dyDescent="0.3">
      <c r="B16" s="404" t="str">
        <f>IF(D16="","",1)</f>
        <v/>
      </c>
      <c r="C16" s="323" t="str">
        <f>IF(D16&lt;&gt;0,6,"")</f>
        <v/>
      </c>
      <c r="D16" s="320"/>
      <c r="E16" s="49" t="s">
        <v>188</v>
      </c>
      <c r="F16" s="19" t="s">
        <v>193</v>
      </c>
      <c r="G16" s="19"/>
      <c r="H16"/>
      <c r="I16" s="11" t="s">
        <v>127</v>
      </c>
      <c r="J16" s="161"/>
      <c r="K16" s="406" t="str">
        <f>IF(J16&lt;&gt;0,4,"")</f>
        <v/>
      </c>
      <c r="L16" s="407" t="str">
        <f>IF(K16="","",1)</f>
        <v/>
      </c>
      <c r="M16" s="153"/>
      <c r="N16" s="153"/>
    </row>
    <row r="17" spans="1:18" x14ac:dyDescent="0.3">
      <c r="B17" s="404" t="str">
        <f>IF(D17="","",1)</f>
        <v/>
      </c>
      <c r="C17" s="323" t="str">
        <f>IF(D17&lt;&gt;0,9,"")</f>
        <v/>
      </c>
      <c r="D17" s="161"/>
      <c r="E17" s="49" t="s">
        <v>191</v>
      </c>
      <c r="F17" s="19" t="s">
        <v>194</v>
      </c>
      <c r="G17" s="19"/>
      <c r="H17"/>
      <c r="I17" s="11" t="s">
        <v>128</v>
      </c>
      <c r="J17" s="320"/>
      <c r="K17" s="406" t="str">
        <f>IF(J17&lt;&gt;0,7,"")</f>
        <v/>
      </c>
      <c r="L17" s="407" t="str">
        <f>IF(K17="","",1)</f>
        <v/>
      </c>
      <c r="M17" s="153"/>
      <c r="N17" s="153"/>
    </row>
    <row r="18" spans="1:18" x14ac:dyDescent="0.3">
      <c r="B18" s="404" t="str">
        <f>IF(D18="","",1)</f>
        <v/>
      </c>
      <c r="C18" s="323" t="str">
        <f>IF(D18&lt;&gt;0,12,"")</f>
        <v/>
      </c>
      <c r="D18" s="160"/>
      <c r="E18" s="49" t="s">
        <v>189</v>
      </c>
      <c r="F18" s="19" t="s">
        <v>195</v>
      </c>
      <c r="G18" s="19"/>
      <c r="H18"/>
      <c r="I18" s="11" t="s">
        <v>129</v>
      </c>
      <c r="J18" s="320"/>
      <c r="K18" s="406" t="str">
        <f>IF(J18&lt;&gt;0,11,"")</f>
        <v/>
      </c>
      <c r="L18" s="407" t="str">
        <f>IF(K18="","",1)</f>
        <v/>
      </c>
      <c r="M18" s="153"/>
      <c r="N18" s="153"/>
    </row>
    <row r="19" spans="1:18" x14ac:dyDescent="0.3">
      <c r="B19" s="404" t="str">
        <f>IF(D19="","",1)</f>
        <v/>
      </c>
      <c r="C19" s="323" t="str">
        <f>IF(D19&lt;&gt;0,15,"")</f>
        <v/>
      </c>
      <c r="D19" s="161"/>
      <c r="E19" s="49" t="s">
        <v>190</v>
      </c>
      <c r="F19" s="19" t="s">
        <v>196</v>
      </c>
      <c r="G19" s="19"/>
      <c r="H19"/>
      <c r="I19" s="11" t="s">
        <v>130</v>
      </c>
      <c r="J19" s="161"/>
      <c r="K19" s="406" t="str">
        <f>IF(J19&lt;&gt;0,15,"")</f>
        <v/>
      </c>
      <c r="L19" s="407" t="str">
        <f>IF(K19="","",1)</f>
        <v/>
      </c>
      <c r="M19" s="153"/>
      <c r="N19" s="153"/>
    </row>
    <row r="20" spans="1:18" ht="13.5" thickBot="1" x14ac:dyDescent="0.35">
      <c r="B20" s="408">
        <f>SUM(B15:B19)</f>
        <v>0</v>
      </c>
      <c r="C20" s="409">
        <f>IF(B20&gt;1,0,SUM(C15:C19))</f>
        <v>0</v>
      </c>
      <c r="D20" s="54"/>
      <c r="E20" s="410"/>
      <c r="F20" s="54"/>
      <c r="G20" s="54"/>
      <c r="H20" s="54"/>
      <c r="I20" s="54"/>
      <c r="J20" s="54"/>
      <c r="K20" s="409">
        <f>IF(L20&gt;1,0,SUM(K16:K19))</f>
        <v>0</v>
      </c>
      <c r="L20" s="411">
        <f>SUM(L16:L19)</f>
        <v>0</v>
      </c>
      <c r="M20" s="153"/>
      <c r="N20" s="153"/>
    </row>
    <row r="21" spans="1:18" x14ac:dyDescent="0.3">
      <c r="B21" s="153"/>
      <c r="C21" s="154"/>
      <c r="E21" s="155"/>
    </row>
    <row r="26" spans="1:18" s="89" customFormat="1" ht="11.25" customHeight="1" x14ac:dyDescent="0.3">
      <c r="A26" s="471"/>
      <c r="B26" s="2" t="s">
        <v>361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88"/>
    </row>
    <row r="27" spans="1:18" s="89" customFormat="1" ht="11.25" customHeight="1" x14ac:dyDescent="0.3">
      <c r="A27" s="471"/>
      <c r="B27" s="2" t="s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88"/>
    </row>
    <row r="28" spans="1:18" s="89" customFormat="1" ht="11.25" customHeight="1" x14ac:dyDescent="0.3">
      <c r="A28" s="471"/>
      <c r="B28" s="2" t="s">
        <v>22</v>
      </c>
      <c r="C28" s="2"/>
      <c r="D28" s="2"/>
      <c r="E28" s="2"/>
      <c r="F28" s="2"/>
      <c r="G28" s="2"/>
      <c r="H28" s="412"/>
      <c r="I28" s="2"/>
      <c r="J28" s="2"/>
      <c r="K28" s="2"/>
      <c r="L28" s="2"/>
    </row>
    <row r="29" spans="1:18" s="89" customFormat="1" ht="11.25" customHeight="1" x14ac:dyDescent="0.3">
      <c r="A29" s="471"/>
      <c r="B29" s="2"/>
      <c r="C29" s="2"/>
      <c r="D29" s="2"/>
      <c r="E29" s="2"/>
      <c r="F29" s="2"/>
      <c r="G29" s="2"/>
      <c r="H29" s="2"/>
      <c r="I29" s="472" t="s">
        <v>445</v>
      </c>
      <c r="J29" s="472"/>
      <c r="K29" s="472"/>
      <c r="L29" s="472"/>
    </row>
    <row r="30" spans="1:18" s="89" customFormat="1" ht="11.25" customHeight="1" x14ac:dyDescent="0.3">
      <c r="A30" s="471"/>
      <c r="B30" s="2"/>
      <c r="C30" s="2"/>
      <c r="D30" s="2"/>
      <c r="E30" s="2"/>
      <c r="F30" s="2"/>
      <c r="G30" s="2"/>
      <c r="H30"/>
      <c r="I30" s="472"/>
      <c r="J30" s="472"/>
      <c r="K30" s="472"/>
      <c r="L30" s="472"/>
      <c r="R30" s="88"/>
    </row>
    <row r="31" spans="1:18" s="89" customFormat="1" ht="11.25" customHeight="1" x14ac:dyDescent="0.3">
      <c r="A31" s="471"/>
      <c r="B31" s="413" t="s">
        <v>283</v>
      </c>
      <c r="C31" s="414"/>
      <c r="D31" s="414"/>
      <c r="E31" s="414"/>
      <c r="F31" s="414"/>
      <c r="G31" s="2"/>
      <c r="H31" s="2"/>
      <c r="I31" s="472"/>
      <c r="J31" s="472"/>
      <c r="K31" s="472"/>
      <c r="L31" s="472"/>
    </row>
    <row r="32" spans="1:18" s="89" customFormat="1" ht="11.25" customHeight="1" x14ac:dyDescent="0.3">
      <c r="A32" s="471"/>
      <c r="B32" s="2"/>
      <c r="C32" s="2"/>
      <c r="D32" s="2"/>
      <c r="E32" s="2"/>
      <c r="F32" s="2"/>
      <c r="G32" s="2"/>
      <c r="H32" s="2"/>
      <c r="I32" s="472"/>
      <c r="J32" s="472"/>
      <c r="K32" s="472"/>
      <c r="L32" s="472"/>
    </row>
    <row r="33" spans="1:17" s="89" customFormat="1" ht="11.25" customHeight="1" x14ac:dyDescent="0.3">
      <c r="A33" s="47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7" s="89" customFormat="1" ht="11.25" customHeight="1" x14ac:dyDescent="0.3">
      <c r="A34" s="471"/>
      <c r="B34" s="67" t="s">
        <v>23</v>
      </c>
      <c r="C34" s="1">
        <v>0</v>
      </c>
      <c r="D34"/>
      <c r="E34" s="2" t="s">
        <v>23</v>
      </c>
      <c r="F34" s="2" t="s">
        <v>24</v>
      </c>
      <c r="G34" s="2"/>
      <c r="H34" s="2"/>
      <c r="I34" s="2"/>
      <c r="J34" s="2"/>
      <c r="K34" s="2"/>
      <c r="L34" s="67"/>
      <c r="M34" s="91"/>
      <c r="N34" s="88"/>
    </row>
    <row r="35" spans="1:17" s="89" customFormat="1" ht="11.25" customHeight="1" x14ac:dyDescent="0.3">
      <c r="A35" s="471"/>
      <c r="B35" s="67"/>
      <c r="C35" s="1"/>
      <c r="D35"/>
      <c r="E35" s="2"/>
      <c r="F35" s="2" t="s">
        <v>25</v>
      </c>
      <c r="G35" s="2"/>
      <c r="H35" s="2"/>
      <c r="I35" s="2"/>
      <c r="J35" s="2"/>
      <c r="K35" s="2"/>
      <c r="L35" s="67"/>
      <c r="M35" s="91"/>
      <c r="N35" s="88"/>
    </row>
    <row r="36" spans="1:17" s="89" customFormat="1" ht="11.25" customHeight="1" x14ac:dyDescent="0.3">
      <c r="A36" s="471"/>
      <c r="B36" s="99"/>
      <c r="C36" s="1"/>
      <c r="D36"/>
      <c r="E36"/>
      <c r="F36"/>
      <c r="G36"/>
      <c r="H36" s="2"/>
      <c r="I36" s="2"/>
      <c r="J36" s="2"/>
      <c r="K36" s="2"/>
      <c r="L36" s="2"/>
      <c r="M36" s="91"/>
      <c r="N36" s="88"/>
      <c r="O36" s="88"/>
      <c r="P36" s="88"/>
      <c r="Q36" s="88"/>
    </row>
    <row r="37" spans="1:17" s="89" customFormat="1" ht="11.25" customHeight="1" x14ac:dyDescent="0.3">
      <c r="A37" s="471"/>
      <c r="B37" s="67" t="s">
        <v>26</v>
      </c>
      <c r="C37" s="1">
        <v>3</v>
      </c>
      <c r="D37"/>
      <c r="E37" s="2" t="s">
        <v>26</v>
      </c>
      <c r="F37" s="2" t="s">
        <v>27</v>
      </c>
      <c r="G37" s="2"/>
      <c r="H37" s="2"/>
      <c r="I37" s="2"/>
      <c r="J37" s="2"/>
      <c r="K37" s="2"/>
      <c r="L37" s="67"/>
      <c r="M37" s="91"/>
      <c r="N37" s="88"/>
      <c r="Q37" s="88"/>
    </row>
    <row r="38" spans="1:17" s="89" customFormat="1" ht="11.25" customHeight="1" x14ac:dyDescent="0.3">
      <c r="A38" s="471"/>
      <c r="B38" s="67"/>
      <c r="C38" s="1"/>
      <c r="D38"/>
      <c r="E38"/>
      <c r="F38"/>
      <c r="G38" t="s">
        <v>28</v>
      </c>
      <c r="H38"/>
      <c r="I38"/>
      <c r="J38" s="2"/>
      <c r="K38" s="2"/>
      <c r="L38" s="67"/>
      <c r="M38" s="91"/>
      <c r="N38" s="88"/>
      <c r="O38" s="88"/>
      <c r="P38" s="88"/>
      <c r="Q38" s="88"/>
    </row>
    <row r="39" spans="1:17" s="89" customFormat="1" ht="11.25" customHeight="1" x14ac:dyDescent="0.3">
      <c r="A39" s="471"/>
      <c r="B39" s="99"/>
      <c r="C39" s="1"/>
      <c r="D39"/>
      <c r="E39"/>
      <c r="F39"/>
      <c r="G39"/>
      <c r="H39" s="2"/>
      <c r="I39" s="2"/>
      <c r="J39" s="2"/>
      <c r="K39" s="2"/>
      <c r="L39" s="2"/>
      <c r="M39" s="91"/>
      <c r="N39" s="88"/>
      <c r="O39" s="88"/>
      <c r="P39" s="88"/>
      <c r="Q39" s="88"/>
    </row>
    <row r="40" spans="1:17" s="89" customFormat="1" ht="11.25" customHeight="1" x14ac:dyDescent="0.3">
      <c r="A40" s="471"/>
      <c r="B40" s="67" t="s">
        <v>29</v>
      </c>
      <c r="C40" s="1">
        <v>6</v>
      </c>
      <c r="D40"/>
      <c r="E40" s="2" t="s">
        <v>29</v>
      </c>
      <c r="F40" s="2" t="s">
        <v>30</v>
      </c>
      <c r="G40" s="2"/>
      <c r="H40" s="2"/>
      <c r="I40" s="2"/>
      <c r="J40" s="2"/>
      <c r="K40" s="2"/>
      <c r="L40" s="67"/>
      <c r="M40" s="91"/>
      <c r="N40" s="88"/>
    </row>
    <row r="41" spans="1:17" s="89" customFormat="1" ht="11.25" customHeight="1" x14ac:dyDescent="0.3">
      <c r="A41" s="471"/>
      <c r="B41" s="67"/>
      <c r="C41" s="1"/>
      <c r="D41"/>
      <c r="E41"/>
      <c r="F41" s="2" t="s">
        <v>31</v>
      </c>
      <c r="G41" s="2"/>
      <c r="H41" s="2"/>
      <c r="I41" s="2"/>
      <c r="J41" s="2"/>
      <c r="K41" s="2"/>
      <c r="L41" s="67"/>
      <c r="M41" s="91"/>
      <c r="N41" s="88"/>
      <c r="O41" s="88"/>
      <c r="Q41" s="88"/>
    </row>
    <row r="42" spans="1:17" s="89" customFormat="1" ht="11.25" customHeight="1" x14ac:dyDescent="0.3">
      <c r="A42" s="471"/>
      <c r="B42" s="67"/>
      <c r="C42" s="1"/>
      <c r="D42"/>
      <c r="E42"/>
      <c r="F42" s="2" t="s">
        <v>32</v>
      </c>
      <c r="G42" s="2"/>
      <c r="H42" s="2"/>
      <c r="I42" s="2"/>
      <c r="J42" s="2"/>
      <c r="K42" s="2"/>
      <c r="L42" s="67"/>
      <c r="M42" s="91"/>
      <c r="N42" s="88"/>
      <c r="O42" s="88"/>
      <c r="Q42" s="88"/>
    </row>
    <row r="43" spans="1:17" s="89" customFormat="1" ht="11.25" customHeight="1" x14ac:dyDescent="0.3">
      <c r="A43" s="471"/>
      <c r="B43" s="67" t="s">
        <v>33</v>
      </c>
      <c r="C43" s="1">
        <v>9</v>
      </c>
      <c r="D43"/>
      <c r="E43" s="2" t="s">
        <v>33</v>
      </c>
      <c r="F43" s="2" t="s">
        <v>34</v>
      </c>
      <c r="G43" s="2"/>
      <c r="H43" s="2"/>
      <c r="I43" s="2"/>
      <c r="J43" s="2"/>
      <c r="K43" s="2"/>
      <c r="L43" s="67"/>
      <c r="M43" s="91"/>
      <c r="N43" s="88"/>
      <c r="Q43" s="88"/>
    </row>
    <row r="44" spans="1:17" s="89" customFormat="1" ht="11.25" customHeight="1" x14ac:dyDescent="0.3">
      <c r="A44" s="471"/>
      <c r="B44" s="67"/>
      <c r="C44" s="1"/>
      <c r="D44"/>
      <c r="E44"/>
      <c r="F44" s="2" t="s">
        <v>35</v>
      </c>
      <c r="G44" s="2"/>
      <c r="H44" s="2"/>
      <c r="I44" s="2"/>
      <c r="J44" s="2"/>
      <c r="K44" s="2"/>
      <c r="L44" s="67"/>
      <c r="M44" s="91"/>
      <c r="N44" s="88"/>
      <c r="O44" s="88"/>
      <c r="Q44" s="88"/>
    </row>
    <row r="45" spans="1:17" s="89" customFormat="1" ht="11.25" customHeight="1" x14ac:dyDescent="0.3">
      <c r="A45" s="471"/>
      <c r="B45" s="67"/>
      <c r="C45" s="1"/>
      <c r="D45"/>
      <c r="E45"/>
      <c r="F45" s="2" t="s">
        <v>36</v>
      </c>
      <c r="G45" s="2"/>
      <c r="H45" s="2"/>
      <c r="I45" s="2"/>
      <c r="J45" s="2"/>
      <c r="K45" s="2"/>
      <c r="L45" s="67"/>
      <c r="M45" s="91"/>
      <c r="N45" s="88"/>
      <c r="O45" s="88"/>
      <c r="Q45" s="88"/>
    </row>
    <row r="46" spans="1:17" s="89" customFormat="1" ht="11.25" customHeight="1" x14ac:dyDescent="0.3">
      <c r="A46" s="471"/>
      <c r="B46" s="67" t="s">
        <v>37</v>
      </c>
      <c r="C46" s="1">
        <v>12</v>
      </c>
      <c r="D46"/>
      <c r="E46" s="2" t="s">
        <v>37</v>
      </c>
      <c r="F46" s="2" t="s">
        <v>38</v>
      </c>
      <c r="G46" s="2"/>
      <c r="H46" s="2"/>
      <c r="I46" s="2"/>
      <c r="J46" s="2"/>
      <c r="K46" s="2"/>
      <c r="L46" s="67"/>
      <c r="M46" s="91"/>
      <c r="N46" s="88"/>
    </row>
    <row r="47" spans="1:17" s="89" customFormat="1" ht="11.25" customHeight="1" x14ac:dyDescent="0.3">
      <c r="A47" s="471"/>
      <c r="B47" s="67"/>
      <c r="C47" s="1"/>
      <c r="D47"/>
      <c r="E47"/>
      <c r="F47" s="2" t="s">
        <v>39</v>
      </c>
      <c r="G47" s="2"/>
      <c r="H47" s="2"/>
      <c r="I47" s="2"/>
      <c r="J47" s="2"/>
      <c r="K47" s="2"/>
      <c r="L47" s="67"/>
      <c r="M47" s="91"/>
      <c r="N47" s="88"/>
      <c r="O47" s="88"/>
      <c r="Q47" s="88"/>
    </row>
    <row r="48" spans="1:17" s="89" customFormat="1" ht="11.25" customHeight="1" x14ac:dyDescent="0.3">
      <c r="A48" s="471"/>
      <c r="B48" s="67"/>
      <c r="C48" s="1"/>
      <c r="D48"/>
      <c r="E48" s="2"/>
      <c r="F48" s="2" t="s">
        <v>40</v>
      </c>
      <c r="G48" s="2"/>
      <c r="H48" s="2"/>
      <c r="I48" s="2"/>
      <c r="J48" s="2"/>
      <c r="K48" s="2"/>
      <c r="L48" s="67"/>
      <c r="M48" s="91"/>
      <c r="N48" s="88"/>
    </row>
    <row r="49" spans="1:17" s="89" customFormat="1" ht="11.25" customHeight="1" x14ac:dyDescent="0.3">
      <c r="A49" s="471"/>
      <c r="B49" s="67" t="s">
        <v>41</v>
      </c>
      <c r="C49" s="1">
        <v>15</v>
      </c>
      <c r="D49"/>
      <c r="E49" s="2" t="s">
        <v>41</v>
      </c>
      <c r="F49" s="2" t="s">
        <v>42</v>
      </c>
      <c r="G49" s="2"/>
      <c r="H49" s="2"/>
      <c r="I49" s="2"/>
      <c r="J49" s="2"/>
      <c r="K49" s="2"/>
      <c r="L49" s="67"/>
      <c r="M49" s="91"/>
      <c r="N49" s="88"/>
      <c r="Q49" s="88"/>
    </row>
    <row r="50" spans="1:17" s="89" customFormat="1" ht="11.25" customHeight="1" x14ac:dyDescent="0.3">
      <c r="A50" s="471"/>
      <c r="B50" s="67"/>
      <c r="C50" s="2"/>
      <c r="D50"/>
      <c r="E50"/>
      <c r="F50" s="2" t="s">
        <v>43</v>
      </c>
      <c r="G50" s="2"/>
      <c r="H50" s="2"/>
      <c r="I50" s="2"/>
      <c r="J50" s="2"/>
      <c r="K50" s="2"/>
      <c r="L50" s="67"/>
      <c r="N50" s="88"/>
      <c r="O50" s="88"/>
      <c r="Q50" s="88"/>
    </row>
    <row r="51" spans="1:17" s="89" customFormat="1" ht="11.25" customHeight="1" x14ac:dyDescent="0.3">
      <c r="A51" s="471"/>
      <c r="B51" s="67"/>
      <c r="C51"/>
      <c r="D51"/>
      <c r="E51"/>
      <c r="F51" s="2" t="s">
        <v>44</v>
      </c>
      <c r="G51" s="2"/>
      <c r="H51" s="2"/>
      <c r="I51" s="2"/>
      <c r="J51" s="2"/>
      <c r="K51" s="2"/>
      <c r="L51" s="67"/>
      <c r="M51" s="88"/>
      <c r="N51" s="88"/>
      <c r="O51" s="88"/>
      <c r="Q51" s="88"/>
    </row>
    <row r="52" spans="1:17" s="89" customFormat="1" ht="11.25" customHeight="1" x14ac:dyDescent="0.3">
      <c r="A52" s="471"/>
      <c r="B52" s="67"/>
      <c r="C52" s="2" t="s">
        <v>45</v>
      </c>
      <c r="D52" s="2"/>
      <c r="E52" s="2"/>
      <c r="F52" s="2"/>
      <c r="G52" s="2"/>
      <c r="H52" s="2"/>
      <c r="I52" s="2"/>
      <c r="J52" s="2"/>
      <c r="K52" s="2"/>
      <c r="L52" s="67"/>
    </row>
    <row r="53" spans="1:17" s="89" customFormat="1" ht="11.25" customHeight="1" x14ac:dyDescent="0.3">
      <c r="A53" s="471"/>
      <c r="B53" s="67"/>
      <c r="C53" s="2"/>
      <c r="D53" s="2"/>
      <c r="E53" s="2"/>
      <c r="F53" s="2"/>
      <c r="G53" s="2"/>
      <c r="H53" s="2"/>
      <c r="I53" s="2"/>
      <c r="J53" s="2"/>
      <c r="K53" s="2"/>
      <c r="L53" s="67"/>
    </row>
    <row r="54" spans="1:17" s="89" customFormat="1" ht="11.25" customHeight="1" x14ac:dyDescent="0.3">
      <c r="A54" s="471"/>
      <c r="B54" s="67"/>
      <c r="C54" s="2"/>
      <c r="D54" s="2"/>
      <c r="E54" s="2"/>
      <c r="F54" s="2"/>
      <c r="G54" s="2"/>
      <c r="H54" s="2"/>
      <c r="I54" s="2"/>
      <c r="J54" s="2"/>
      <c r="K54" s="2"/>
      <c r="L54" s="67"/>
    </row>
    <row r="55" spans="1:17" s="89" customFormat="1" ht="11.25" customHeight="1" x14ac:dyDescent="0.3">
      <c r="A55" s="471"/>
      <c r="B55" s="67"/>
      <c r="C55" s="2"/>
      <c r="D55" s="2"/>
      <c r="E55" s="2"/>
      <c r="F55" s="2"/>
      <c r="G55" s="2"/>
      <c r="H55" s="2"/>
      <c r="I55" s="2"/>
      <c r="J55" s="2"/>
      <c r="K55" s="2"/>
      <c r="L55" s="67"/>
    </row>
    <row r="56" spans="1:17" s="89" customFormat="1" ht="11.25" customHeight="1" x14ac:dyDescent="0.3">
      <c r="A56" s="471"/>
      <c r="B56"/>
      <c r="C56"/>
      <c r="D56"/>
      <c r="E56" s="2"/>
      <c r="F56" s="2"/>
      <c r="G56" s="2"/>
      <c r="H56" s="2"/>
      <c r="I56" s="2"/>
      <c r="J56" s="2"/>
      <c r="K56" s="2"/>
      <c r="L56"/>
      <c r="M56" s="88"/>
      <c r="N56" s="88"/>
    </row>
    <row r="57" spans="1:17" s="89" customFormat="1" ht="11.25" customHeight="1" x14ac:dyDescent="0.3">
      <c r="A57" s="471"/>
      <c r="B57" s="414" t="s">
        <v>46</v>
      </c>
      <c r="C57" s="414"/>
      <c r="D57" s="414"/>
      <c r="E57" s="2" t="s">
        <v>47</v>
      </c>
      <c r="F57" s="2"/>
      <c r="G57"/>
      <c r="H57" s="2" t="s">
        <v>48</v>
      </c>
      <c r="I57" s="2"/>
      <c r="J57" s="2" t="s">
        <v>49</v>
      </c>
      <c r="K57" s="2"/>
      <c r="L57" s="414"/>
      <c r="Q57" s="88"/>
    </row>
    <row r="58" spans="1:17" s="89" customFormat="1" ht="11.25" customHeight="1" x14ac:dyDescent="0.3">
      <c r="A58" s="471"/>
      <c r="B58" s="414"/>
      <c r="C58" s="2"/>
      <c r="D58" s="2"/>
      <c r="E58" s="2"/>
      <c r="F58" s="2"/>
      <c r="G58" s="2"/>
      <c r="H58" s="2"/>
      <c r="I58" s="2"/>
      <c r="J58" s="2"/>
      <c r="K58" s="2"/>
      <c r="L58" s="414"/>
    </row>
    <row r="59" spans="1:17" s="89" customFormat="1" ht="11.25" customHeight="1" x14ac:dyDescent="0.3">
      <c r="B59" s="414"/>
      <c r="C59" s="2"/>
      <c r="D59" s="2"/>
      <c r="E59" s="2"/>
      <c r="F59" s="2"/>
      <c r="G59" s="2"/>
      <c r="H59" s="2"/>
      <c r="I59" s="2"/>
      <c r="J59" s="2"/>
      <c r="K59" s="2"/>
      <c r="L59" s="414"/>
    </row>
    <row r="60" spans="1:17" s="89" customFormat="1" ht="11.25" customHeight="1" x14ac:dyDescent="0.3">
      <c r="B60" s="414"/>
      <c r="C60" s="2"/>
      <c r="D60" s="2"/>
      <c r="E60" s="2"/>
      <c r="F60" s="2"/>
      <c r="G60" s="2"/>
      <c r="H60" s="2"/>
      <c r="I60" s="2"/>
      <c r="J60" s="2"/>
      <c r="K60" s="2"/>
      <c r="L60" s="414"/>
    </row>
    <row r="61" spans="1:17" s="89" customFormat="1" ht="11.25" customHeight="1" x14ac:dyDescent="0.3">
      <c r="B61" s="414"/>
      <c r="C61" s="2"/>
      <c r="D61" s="2"/>
      <c r="E61" s="2"/>
      <c r="F61" s="2"/>
      <c r="G61" s="2"/>
      <c r="H61" s="2"/>
      <c r="I61" s="2"/>
      <c r="J61" s="2"/>
      <c r="K61" s="2"/>
      <c r="L61" s="414"/>
    </row>
    <row r="62" spans="1:17" s="89" customFormat="1" ht="11.25" customHeight="1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7" s="89" customFormat="1" ht="11.25" customHeight="1" x14ac:dyDescent="0.3">
      <c r="B63" s="413" t="s">
        <v>284</v>
      </c>
      <c r="C63" s="414"/>
      <c r="D63" s="414"/>
      <c r="E63" s="414"/>
      <c r="F63" s="414"/>
      <c r="G63" s="2"/>
      <c r="H63" s="2"/>
      <c r="I63" s="2"/>
      <c r="J63" s="2"/>
      <c r="K63" s="2"/>
      <c r="L63" s="414"/>
    </row>
    <row r="64" spans="1:17" s="89" customFormat="1" ht="11.25" customHeight="1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7" s="89" customFormat="1" ht="11.25" customHeight="1" x14ac:dyDescent="0.3">
      <c r="B65" s="2" t="s">
        <v>2</v>
      </c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7" s="89" customFormat="1" ht="11.25" customHeight="1" x14ac:dyDescent="0.3">
      <c r="B66" s="67" t="s">
        <v>23</v>
      </c>
      <c r="C66" s="1">
        <v>0</v>
      </c>
      <c r="D66" s="415"/>
      <c r="E66" s="2" t="s">
        <v>23</v>
      </c>
      <c r="F66" s="2" t="s">
        <v>50</v>
      </c>
      <c r="G66" s="2"/>
      <c r="H66" s="2"/>
      <c r="I66" s="2"/>
      <c r="J66" s="2"/>
      <c r="K66" s="2"/>
      <c r="L66" s="67"/>
      <c r="M66" s="91"/>
    </row>
    <row r="67" spans="2:17" s="89" customFormat="1" ht="11.25" customHeight="1" x14ac:dyDescent="0.3">
      <c r="B67" s="67"/>
      <c r="C67" s="1"/>
      <c r="D67"/>
      <c r="E67" s="2"/>
      <c r="F67" s="2"/>
      <c r="G67" s="2"/>
      <c r="H67" s="2"/>
      <c r="I67" s="2"/>
      <c r="J67" s="2"/>
      <c r="K67" s="2"/>
      <c r="L67" s="67"/>
      <c r="M67" s="91"/>
      <c r="N67" s="88"/>
    </row>
    <row r="68" spans="2:17" s="89" customFormat="1" ht="11.25" customHeight="1" x14ac:dyDescent="0.3">
      <c r="B68" s="67" t="s">
        <v>26</v>
      </c>
      <c r="C68" s="1">
        <v>6</v>
      </c>
      <c r="D68"/>
      <c r="E68" s="2" t="s">
        <v>26</v>
      </c>
      <c r="F68" s="2" t="s">
        <v>51</v>
      </c>
      <c r="G68" s="2"/>
      <c r="H68" s="2"/>
      <c r="I68" s="2"/>
      <c r="J68" s="2"/>
      <c r="K68" s="2"/>
      <c r="L68" s="67"/>
      <c r="M68" s="91"/>
      <c r="N68" s="88"/>
      <c r="Q68" s="88"/>
    </row>
    <row r="69" spans="2:17" s="89" customFormat="1" ht="11.25" customHeight="1" x14ac:dyDescent="0.3">
      <c r="B69" s="67"/>
      <c r="C69" s="1"/>
      <c r="D69"/>
      <c r="E69" s="2"/>
      <c r="F69" s="2"/>
      <c r="G69"/>
      <c r="H69" s="2"/>
      <c r="I69" s="2"/>
      <c r="J69" s="2"/>
      <c r="K69" s="2"/>
      <c r="L69" s="67"/>
      <c r="M69" s="91"/>
      <c r="N69" s="88"/>
      <c r="Q69" s="88"/>
    </row>
    <row r="70" spans="2:17" s="89" customFormat="1" ht="11.25" customHeight="1" x14ac:dyDescent="0.3">
      <c r="B70" s="67" t="s">
        <v>33</v>
      </c>
      <c r="C70" s="1">
        <v>12</v>
      </c>
      <c r="D70"/>
      <c r="E70" s="2" t="s">
        <v>33</v>
      </c>
      <c r="F70" s="2" t="s">
        <v>52</v>
      </c>
      <c r="G70" s="2"/>
      <c r="H70" s="2"/>
      <c r="I70" s="2"/>
      <c r="J70" s="2"/>
      <c r="K70" s="2"/>
      <c r="L70" s="67"/>
      <c r="M70" s="91"/>
      <c r="N70" s="88"/>
      <c r="Q70" s="88"/>
    </row>
    <row r="71" spans="2:17" s="89" customFormat="1" ht="11.25" customHeight="1" x14ac:dyDescent="0.3">
      <c r="B71" s="134"/>
      <c r="C71" s="1"/>
      <c r="D71"/>
      <c r="E71"/>
      <c r="F71" s="2" t="s">
        <v>53</v>
      </c>
      <c r="G71" s="2"/>
      <c r="H71" s="2"/>
      <c r="I71" s="2"/>
      <c r="J71" s="2"/>
      <c r="K71" s="2"/>
      <c r="L71" s="134"/>
      <c r="M71" s="91"/>
      <c r="N71" s="88"/>
      <c r="O71" s="88"/>
      <c r="Q71" s="88"/>
    </row>
    <row r="72" spans="2:17" s="89" customFormat="1" ht="11.25" customHeight="1" x14ac:dyDescent="0.3">
      <c r="B72" s="67" t="s">
        <v>41</v>
      </c>
      <c r="C72" s="1">
        <v>18</v>
      </c>
      <c r="D72"/>
      <c r="E72" s="2" t="s">
        <v>41</v>
      </c>
      <c r="F72" s="2" t="s">
        <v>54</v>
      </c>
      <c r="G72" s="2"/>
      <c r="H72" s="2"/>
      <c r="I72" s="2"/>
      <c r="J72" s="2"/>
      <c r="K72" s="2"/>
      <c r="L72" s="67"/>
      <c r="M72" s="91"/>
      <c r="N72" s="88"/>
      <c r="Q72" s="88"/>
    </row>
    <row r="73" spans="2:17" s="89" customFormat="1" ht="11.25" customHeight="1" x14ac:dyDescent="0.3">
      <c r="B73" s="134"/>
      <c r="C73" s="1"/>
      <c r="D73"/>
      <c r="E73"/>
      <c r="F73" s="2" t="s">
        <v>55</v>
      </c>
      <c r="G73" s="2"/>
      <c r="H73" s="2"/>
      <c r="I73" s="2"/>
      <c r="J73" s="2"/>
      <c r="K73" s="2"/>
      <c r="L73" s="134"/>
      <c r="M73" s="91"/>
      <c r="N73" s="88"/>
      <c r="O73" s="88"/>
      <c r="Q73" s="88"/>
    </row>
    <row r="74" spans="2:17" s="89" customFormat="1" ht="11.25" customHeight="1" x14ac:dyDescent="0.3">
      <c r="B74" s="67" t="s">
        <v>56</v>
      </c>
      <c r="C74" s="1">
        <v>25</v>
      </c>
      <c r="D74" s="397"/>
      <c r="E74" s="2" t="s">
        <v>56</v>
      </c>
      <c r="F74" s="2" t="s">
        <v>57</v>
      </c>
      <c r="G74" s="2"/>
      <c r="H74" s="2"/>
      <c r="I74" s="2"/>
      <c r="J74" s="2"/>
      <c r="K74" s="2"/>
      <c r="L74" s="67"/>
      <c r="M74" s="91"/>
    </row>
    <row r="75" spans="2:17" s="89" customFormat="1" ht="11.25" customHeight="1" x14ac:dyDescent="0.3">
      <c r="B75"/>
      <c r="C75"/>
      <c r="D75"/>
      <c r="E75" s="2"/>
      <c r="F75" s="2" t="s">
        <v>58</v>
      </c>
      <c r="G75" s="2"/>
      <c r="H75" s="2"/>
      <c r="I75" s="2"/>
      <c r="J75" s="2"/>
      <c r="K75" s="2"/>
      <c r="L75"/>
      <c r="M75" s="88"/>
      <c r="N75" s="88"/>
      <c r="Q75" s="88"/>
    </row>
    <row r="76" spans="2:17" s="89" customFormat="1" ht="11.25" customHeight="1" x14ac:dyDescent="0.3">
      <c r="B76" s="2"/>
      <c r="C76" s="2"/>
      <c r="D76" s="2"/>
      <c r="E76" s="2"/>
      <c r="F76" s="2"/>
      <c r="G76"/>
      <c r="H76" s="2"/>
      <c r="I76" s="2"/>
      <c r="J76" s="2"/>
      <c r="K76" s="2"/>
      <c r="L76" s="2"/>
      <c r="Q76" s="88"/>
    </row>
    <row r="77" spans="2:17" s="89" customFormat="1" ht="11.25" customHeight="1" x14ac:dyDescent="0.3">
      <c r="B77" s="2"/>
      <c r="C77" s="2" t="s">
        <v>45</v>
      </c>
      <c r="D77" s="2"/>
      <c r="E77" s="2"/>
      <c r="F77" s="2"/>
      <c r="G77" s="2"/>
      <c r="H77" s="2"/>
      <c r="I77" s="2"/>
      <c r="J77" s="2"/>
      <c r="K77" s="2"/>
      <c r="L77" s="2"/>
    </row>
    <row r="78" spans="2:17" s="89" customFormat="1" ht="11.25" customHeight="1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2:17" s="89" customFormat="1" ht="11.25" customHeight="1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2:17" s="89" customFormat="1" ht="11.25" customHeight="1" x14ac:dyDescent="0.3">
      <c r="B80" s="2"/>
      <c r="C80"/>
      <c r="D80" s="2"/>
      <c r="E80" s="2"/>
      <c r="F80" s="2"/>
      <c r="G80" s="2"/>
      <c r="H80" s="2"/>
      <c r="I80" s="2"/>
      <c r="J80" s="2"/>
      <c r="K80" s="2"/>
      <c r="L80" s="2"/>
      <c r="M80" s="88"/>
    </row>
    <row r="81" spans="2:20" s="89" customFormat="1" ht="11.25" customHeight="1" x14ac:dyDescent="0.3">
      <c r="B81" s="2"/>
      <c r="C81" s="2"/>
      <c r="D81" s="2"/>
      <c r="E81" s="2"/>
      <c r="F81" s="2"/>
      <c r="G81"/>
      <c r="H81" s="2"/>
      <c r="I81" s="2"/>
      <c r="J81" s="2"/>
      <c r="K81" s="2"/>
      <c r="L81" s="2"/>
      <c r="Q81" s="88"/>
    </row>
    <row r="82" spans="2:20" s="89" customFormat="1" ht="11.25" customHeight="1" x14ac:dyDescent="0.3">
      <c r="B82" s="2" t="s">
        <v>4</v>
      </c>
      <c r="C82" s="2"/>
      <c r="D82" s="2"/>
      <c r="E82" s="2"/>
      <c r="F82" s="2"/>
      <c r="G82"/>
      <c r="H82" s="2" t="s">
        <v>8</v>
      </c>
      <c r="I82" s="2"/>
      <c r="J82" s="2"/>
      <c r="K82" s="416"/>
      <c r="L82" s="2"/>
      <c r="Q82" s="88"/>
      <c r="S82" s="88"/>
    </row>
    <row r="83" spans="2:20" s="89" customFormat="1" ht="11.25" customHeight="1" x14ac:dyDescent="0.3">
      <c r="B83" s="2"/>
      <c r="C83" s="2" t="s">
        <v>20</v>
      </c>
      <c r="D83" s="2"/>
      <c r="E83" s="2"/>
      <c r="F83" s="2"/>
      <c r="G83"/>
      <c r="H83" s="2" t="s">
        <v>9</v>
      </c>
      <c r="I83"/>
      <c r="J83" s="2"/>
      <c r="K83" s="417"/>
      <c r="L83" s="2"/>
      <c r="Q83" s="88"/>
      <c r="S83" s="88"/>
    </row>
    <row r="84" spans="2:20" s="89" customFormat="1" ht="11.25" customHeight="1" x14ac:dyDescent="0.3">
      <c r="B84" s="2"/>
      <c r="C84" s="2"/>
      <c r="D84" s="2"/>
      <c r="E84" s="2"/>
      <c r="F84" s="2"/>
      <c r="G84"/>
      <c r="H84" s="2" t="s">
        <v>10</v>
      </c>
      <c r="I84" s="2"/>
      <c r="J84" s="2"/>
      <c r="K84" s="417"/>
      <c r="L84" s="2"/>
      <c r="Q84" s="88"/>
      <c r="S84" s="88"/>
    </row>
    <row r="85" spans="2:20" s="89" customFormat="1" ht="11.25" customHeight="1" thickBot="1" x14ac:dyDescent="0.35">
      <c r="B85" s="2"/>
      <c r="C85" s="2"/>
      <c r="D85" s="2"/>
      <c r="E85" s="2"/>
      <c r="F85" s="2"/>
      <c r="G85"/>
      <c r="H85" s="2"/>
      <c r="I85" s="2"/>
      <c r="J85" s="2"/>
      <c r="K85" s="2"/>
      <c r="L85" s="2"/>
      <c r="Q85" s="88"/>
    </row>
    <row r="86" spans="2:20" s="89" customFormat="1" ht="11.25" customHeight="1" thickBot="1" x14ac:dyDescent="0.35">
      <c r="B86" s="2"/>
      <c r="C86" s="2"/>
      <c r="D86" s="2"/>
      <c r="E86" s="2"/>
      <c r="F86"/>
      <c r="G86"/>
      <c r="H86"/>
      <c r="I86" s="2"/>
      <c r="J86" s="6" t="s">
        <v>59</v>
      </c>
      <c r="K86" s="418">
        <f>STRUCTURE!D8</f>
        <v>0</v>
      </c>
      <c r="L86" s="2"/>
      <c r="P86" s="88"/>
      <c r="Q86" s="88"/>
      <c r="R86" s="88"/>
      <c r="T86" s="92"/>
    </row>
    <row r="87" spans="2:20" s="89" customFormat="1" ht="11.25" customHeight="1" x14ac:dyDescent="0.3">
      <c r="B87" s="2"/>
      <c r="C87" s="2"/>
      <c r="D87" s="2"/>
      <c r="E87" s="2"/>
      <c r="F87" s="2"/>
      <c r="G87"/>
      <c r="H87" s="68" t="s">
        <v>60</v>
      </c>
      <c r="I87" s="68"/>
      <c r="J87" s="68"/>
      <c r="K87" s="68"/>
      <c r="L87" s="2"/>
      <c r="Q87" s="88"/>
      <c r="R87" s="308"/>
    </row>
    <row r="88" spans="2:20" s="89" customFormat="1" ht="11.25" customHeight="1" x14ac:dyDescent="0.3">
      <c r="B88" s="2"/>
      <c r="C88" s="2"/>
      <c r="D88" s="2"/>
      <c r="E88" s="2"/>
      <c r="F88" s="2"/>
      <c r="G88"/>
      <c r="H88" s="68"/>
      <c r="I88" s="68"/>
      <c r="J88" s="68"/>
      <c r="K88" s="68"/>
      <c r="L88" s="2"/>
      <c r="Q88" s="88"/>
      <c r="R88" s="308"/>
    </row>
    <row r="89" spans="2:20" s="89" customFormat="1" ht="11.25" customHeight="1" x14ac:dyDescent="0.3">
      <c r="G89" s="88"/>
      <c r="H89" s="308"/>
      <c r="I89" s="308"/>
      <c r="J89" s="308"/>
      <c r="K89" s="308"/>
      <c r="Q89" s="88"/>
      <c r="R89" s="308"/>
    </row>
    <row r="90" spans="2:20" s="89" customFormat="1" ht="11.25" customHeight="1" x14ac:dyDescent="0.3"/>
    <row r="91" spans="2:20" s="89" customFormat="1" ht="11.25" customHeight="1" x14ac:dyDescent="0.3">
      <c r="B91" s="2"/>
      <c r="C91" s="2"/>
      <c r="D91" s="2"/>
      <c r="E91" s="2"/>
      <c r="F91" s="2"/>
      <c r="G91" s="2"/>
      <c r="H91" s="2"/>
      <c r="I91" s="2"/>
      <c r="J91" s="472" t="s">
        <v>445</v>
      </c>
      <c r="K91" s="472"/>
      <c r="L91" s="472"/>
    </row>
    <row r="92" spans="2:20" s="89" customFormat="1" ht="11.25" customHeight="1" x14ac:dyDescent="0.3">
      <c r="B92" s="2" t="s">
        <v>360</v>
      </c>
      <c r="C92" s="2"/>
      <c r="D92" s="2"/>
      <c r="E92" s="2"/>
      <c r="F92" s="2"/>
      <c r="G92" s="2"/>
      <c r="H92" s="412"/>
      <c r="I92" s="2"/>
      <c r="J92" s="472"/>
      <c r="K92" s="472"/>
      <c r="L92" s="472"/>
    </row>
    <row r="93" spans="2:20" s="89" customFormat="1" ht="11.25" customHeight="1" x14ac:dyDescent="0.3">
      <c r="B93" s="2"/>
      <c r="C93" s="2"/>
      <c r="D93" s="2"/>
      <c r="E93" s="2"/>
      <c r="F93" s="2"/>
      <c r="G93" s="2"/>
      <c r="H93" s="2"/>
      <c r="I93" s="2"/>
      <c r="J93" s="472"/>
      <c r="K93" s="472"/>
      <c r="L93" s="472"/>
    </row>
    <row r="94" spans="2:20" s="89" customFormat="1" ht="11.25" customHeight="1" x14ac:dyDescent="0.3">
      <c r="B94" s="2"/>
      <c r="C94" s="2"/>
      <c r="D94" s="2"/>
      <c r="E94" s="2"/>
      <c r="F94" s="2"/>
      <c r="G94" s="2"/>
      <c r="H94" s="2"/>
      <c r="I94" s="2"/>
      <c r="J94" s="472"/>
      <c r="K94" s="472"/>
      <c r="L94" s="472"/>
    </row>
    <row r="95" spans="2:20" s="89" customFormat="1" ht="11.25" customHeight="1" x14ac:dyDescent="0.3">
      <c r="B95"/>
      <c r="C95" s="2" t="s">
        <v>115</v>
      </c>
      <c r="D95" s="2"/>
      <c r="E95" s="2"/>
      <c r="F95" s="2"/>
      <c r="G95" s="2"/>
      <c r="H95" s="2"/>
      <c r="I95" s="2"/>
      <c r="J95" s="2"/>
      <c r="K95" s="2"/>
      <c r="L95"/>
    </row>
    <row r="96" spans="2:20" s="89" customFormat="1" ht="11.25" customHeight="1" x14ac:dyDescent="0.3">
      <c r="B96"/>
      <c r="C96" s="2" t="s">
        <v>22</v>
      </c>
      <c r="D96" s="2"/>
      <c r="E96" s="2"/>
      <c r="F96" s="2"/>
      <c r="G96" s="2"/>
      <c r="H96" s="2"/>
      <c r="I96" s="2"/>
      <c r="J96" s="2"/>
      <c r="K96" s="2"/>
      <c r="L96"/>
    </row>
    <row r="97" spans="2:15" s="89" customFormat="1" ht="11.25" customHeight="1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2:15" s="89" customFormat="1" ht="11.25" customHeight="1" x14ac:dyDescent="0.35">
      <c r="B98" s="413" t="s">
        <v>316</v>
      </c>
      <c r="C98" s="419"/>
      <c r="D98" s="419"/>
      <c r="E98" s="419"/>
      <c r="F98" s="2"/>
      <c r="G98" s="419"/>
      <c r="H98" s="420" t="s">
        <v>116</v>
      </c>
      <c r="I98" s="2"/>
      <c r="J98" s="2"/>
      <c r="K98" s="2"/>
      <c r="L98" s="2"/>
    </row>
    <row r="99" spans="2:15" s="89" customFormat="1" ht="11.25" customHeight="1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2:15" s="89" customFormat="1" ht="11.25" customHeight="1" x14ac:dyDescent="0.3">
      <c r="B100" s="67" t="s">
        <v>26</v>
      </c>
      <c r="C100" s="323">
        <v>0</v>
      </c>
      <c r="D100" s="415"/>
      <c r="E100" t="s">
        <v>26</v>
      </c>
      <c r="F100" s="2" t="s">
        <v>61</v>
      </c>
      <c r="G100" s="2"/>
      <c r="H100" s="2"/>
      <c r="I100" s="2"/>
      <c r="J100" s="2"/>
      <c r="K100" s="2"/>
      <c r="L100" s="2"/>
    </row>
    <row r="101" spans="2:15" s="89" customFormat="1" ht="11.25" customHeight="1" x14ac:dyDescent="0.3">
      <c r="B101" s="67"/>
      <c r="C101" s="323"/>
      <c r="D101"/>
      <c r="E101"/>
      <c r="F101" s="2"/>
      <c r="G101" s="2" t="s">
        <v>62</v>
      </c>
      <c r="H101" s="2"/>
      <c r="I101" s="2"/>
      <c r="J101" s="2"/>
      <c r="K101" s="2"/>
      <c r="L101" s="2"/>
    </row>
    <row r="102" spans="2:15" s="89" customFormat="1" ht="11.25" customHeight="1" x14ac:dyDescent="0.3">
      <c r="B102" s="67"/>
      <c r="C102" s="323"/>
      <c r="D102"/>
      <c r="E102"/>
      <c r="F102" s="2"/>
      <c r="G102" s="2"/>
      <c r="H102" s="2"/>
      <c r="I102" s="2"/>
      <c r="J102" s="2"/>
      <c r="K102" s="2"/>
      <c r="L102" s="2"/>
      <c r="M102" s="91"/>
      <c r="O102" s="88"/>
    </row>
    <row r="103" spans="2:15" s="89" customFormat="1" ht="11.25" customHeight="1" x14ac:dyDescent="0.3">
      <c r="B103" s="67" t="s">
        <v>33</v>
      </c>
      <c r="C103" s="323">
        <v>5</v>
      </c>
      <c r="D103"/>
      <c r="E103" t="s">
        <v>33</v>
      </c>
      <c r="F103" s="2" t="s">
        <v>63</v>
      </c>
      <c r="G103" s="2"/>
      <c r="H103" s="2"/>
      <c r="I103" s="2"/>
      <c r="J103" s="2"/>
      <c r="K103" s="2"/>
      <c r="L103" s="2"/>
      <c r="M103" s="91"/>
      <c r="O103" s="88"/>
    </row>
    <row r="104" spans="2:15" s="89" customFormat="1" ht="11.25" customHeight="1" x14ac:dyDescent="0.3">
      <c r="B104" s="67"/>
      <c r="C104" s="323"/>
      <c r="D104"/>
      <c r="E104"/>
      <c r="F104" s="2"/>
      <c r="G104" s="2" t="s">
        <v>64</v>
      </c>
      <c r="H104" s="2"/>
      <c r="I104" s="2"/>
      <c r="J104" s="2"/>
      <c r="K104" s="2"/>
      <c r="L104" s="2"/>
      <c r="M104" s="91"/>
      <c r="O104" s="88"/>
    </row>
    <row r="105" spans="2:15" s="89" customFormat="1" ht="11.25" customHeight="1" x14ac:dyDescent="0.3">
      <c r="B105" s="67"/>
      <c r="C105" s="323"/>
      <c r="D105"/>
      <c r="E105"/>
      <c r="F105" s="2"/>
      <c r="G105" s="2"/>
      <c r="H105" s="2"/>
      <c r="I105" s="2"/>
      <c r="J105" s="2"/>
      <c r="K105" s="2"/>
      <c r="L105" s="2"/>
      <c r="M105" s="91"/>
      <c r="O105" s="88"/>
    </row>
    <row r="106" spans="2:15" s="89" customFormat="1" ht="11.25" customHeight="1" x14ac:dyDescent="0.3">
      <c r="B106" s="67" t="s">
        <v>41</v>
      </c>
      <c r="C106" s="323">
        <v>10</v>
      </c>
      <c r="D106" s="397"/>
      <c r="E106" t="s">
        <v>41</v>
      </c>
      <c r="F106" s="2" t="s">
        <v>65</v>
      </c>
      <c r="G106" s="2"/>
      <c r="H106" s="2"/>
      <c r="I106" s="2"/>
      <c r="J106" s="2"/>
      <c r="K106" s="2"/>
      <c r="L106" s="2"/>
      <c r="M106" s="91"/>
      <c r="O106" s="88"/>
    </row>
    <row r="107" spans="2:15" s="89" customFormat="1" ht="11.25" customHeight="1" x14ac:dyDescent="0.3">
      <c r="B107" s="67"/>
      <c r="C107" s="1"/>
      <c r="D107"/>
      <c r="E107"/>
      <c r="F107" s="2"/>
      <c r="G107" s="2"/>
      <c r="H107" s="2"/>
      <c r="I107" s="2"/>
      <c r="J107" s="2"/>
      <c r="K107" s="2"/>
      <c r="L107" s="2"/>
      <c r="M107" s="91"/>
      <c r="O107" s="88"/>
    </row>
    <row r="108" spans="2:15" s="89" customFormat="1" ht="11.25" customHeight="1" x14ac:dyDescent="0.3">
      <c r="B108" s="2" t="s">
        <v>45</v>
      </c>
      <c r="C108" s="2"/>
      <c r="D108" s="2"/>
      <c r="E108" s="2"/>
      <c r="F108" s="2" t="s">
        <v>66</v>
      </c>
      <c r="G108" s="2"/>
      <c r="H108" s="2"/>
      <c r="I108" s="2"/>
      <c r="J108" s="2"/>
      <c r="K108" s="2"/>
      <c r="L108" s="2"/>
      <c r="M108" s="91"/>
      <c r="O108" s="88"/>
    </row>
    <row r="109" spans="2:15" s="89" customFormat="1" ht="11.25" customHeight="1" x14ac:dyDescent="0.3">
      <c r="B109" s="2"/>
      <c r="C109" s="2"/>
      <c r="D109" s="2"/>
      <c r="E109" s="2"/>
      <c r="F109" s="2" t="s">
        <v>67</v>
      </c>
      <c r="G109" s="2"/>
      <c r="H109" s="2"/>
      <c r="I109" s="2"/>
      <c r="J109" s="2"/>
      <c r="K109" s="2"/>
      <c r="L109" s="2"/>
      <c r="M109" s="91"/>
      <c r="N109" s="88"/>
      <c r="O109" s="88"/>
    </row>
    <row r="110" spans="2:15" s="89" customFormat="1" ht="11.25" customHeight="1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91"/>
      <c r="N110" s="88"/>
      <c r="O110" s="88"/>
    </row>
    <row r="111" spans="2:15" s="89" customFormat="1" ht="11.25" customHeight="1" x14ac:dyDescent="0.3">
      <c r="B111" s="2"/>
      <c r="C111" s="2"/>
      <c r="D111" s="2"/>
      <c r="E111" s="2"/>
      <c r="F111" s="2"/>
      <c r="G111" s="2"/>
      <c r="H111" s="2"/>
      <c r="I111" s="421" t="s">
        <v>117</v>
      </c>
      <c r="J111" s="422"/>
      <c r="K111" s="423" t="s">
        <v>118</v>
      </c>
      <c r="L111" s="2"/>
      <c r="N111" s="88"/>
      <c r="O111" s="88"/>
    </row>
    <row r="112" spans="2:15" s="89" customFormat="1" ht="11.25" customHeight="1" x14ac:dyDescent="0.3">
      <c r="B112"/>
      <c r="C112" s="2"/>
      <c r="D112" s="2"/>
      <c r="E112" s="2"/>
      <c r="F112" s="2"/>
      <c r="G112" s="2"/>
      <c r="H112"/>
      <c r="I112"/>
      <c r="J112"/>
      <c r="K112"/>
      <c r="L112" s="2"/>
    </row>
    <row r="113" spans="1:17" s="89" customFormat="1" ht="11.25" customHeight="1" x14ac:dyDescent="0.3">
      <c r="B113" s="414" t="s">
        <v>119</v>
      </c>
      <c r="C113" s="2"/>
      <c r="D113" s="49"/>
      <c r="E113" s="420" t="s">
        <v>116</v>
      </c>
      <c r="F113" s="2"/>
      <c r="G113" s="2"/>
      <c r="H113" s="2"/>
      <c r="I113" s="49"/>
      <c r="J113" s="2"/>
      <c r="K113" s="424"/>
      <c r="L113" s="49"/>
    </row>
    <row r="114" spans="1:17" s="89" customFormat="1" ht="11.25" customHeight="1" x14ac:dyDescent="0.3">
      <c r="B114" s="400"/>
      <c r="C114" s="2"/>
      <c r="D114" s="50"/>
      <c r="E114" s="2"/>
      <c r="F114" s="2"/>
      <c r="G114" s="2"/>
      <c r="H114" s="2"/>
      <c r="I114" s="47"/>
      <c r="J114" s="425"/>
      <c r="K114" s="424"/>
      <c r="L114" s="49"/>
    </row>
    <row r="115" spans="1:17" s="89" customFormat="1" ht="11.25" customHeight="1" x14ac:dyDescent="0.3">
      <c r="B115" s="67" t="s">
        <v>26</v>
      </c>
      <c r="C115" s="323">
        <v>0</v>
      </c>
      <c r="D115" s="47"/>
      <c r="E115" s="2"/>
      <c r="F115" s="2"/>
      <c r="G115" s="2"/>
      <c r="H115" s="2"/>
      <c r="I115" s="47"/>
      <c r="J115" s="401"/>
      <c r="K115"/>
      <c r="L115" s="49"/>
    </row>
    <row r="116" spans="1:17" s="89" customFormat="1" ht="11.25" customHeight="1" x14ac:dyDescent="0.3">
      <c r="B116" s="67" t="s">
        <v>33</v>
      </c>
      <c r="C116" s="323">
        <v>5</v>
      </c>
      <c r="D116" s="2" t="s">
        <v>141</v>
      </c>
      <c r="E116" s="2"/>
      <c r="F116" s="2"/>
      <c r="G116" s="2"/>
      <c r="H116" s="2"/>
      <c r="I116" s="421" t="s">
        <v>142</v>
      </c>
      <c r="J116" s="422"/>
      <c r="K116" s="423" t="s">
        <v>118</v>
      </c>
      <c r="L116" s="49"/>
    </row>
    <row r="117" spans="1:17" s="89" customFormat="1" ht="11.25" customHeight="1" x14ac:dyDescent="0.3">
      <c r="B117" s="67" t="s">
        <v>41</v>
      </c>
      <c r="C117" s="323">
        <v>10</v>
      </c>
      <c r="D117" s="47"/>
      <c r="E117" s="2"/>
      <c r="F117" s="49"/>
      <c r="G117" s="49"/>
      <c r="H117" s="49"/>
      <c r="I117" s="49"/>
      <c r="J117" s="401"/>
      <c r="K117"/>
      <c r="L117" s="49"/>
    </row>
    <row r="118" spans="1:17" s="89" customFormat="1" ht="11.25" customHeight="1" x14ac:dyDescent="0.3">
      <c r="B118" s="2"/>
      <c r="C118" s="2"/>
      <c r="D118" s="47"/>
      <c r="E118" s="2"/>
      <c r="F118" s="49"/>
      <c r="G118" s="49"/>
      <c r="H118" s="49"/>
      <c r="I118" s="49"/>
      <c r="J118" s="401"/>
      <c r="K118" s="424"/>
      <c r="L118" s="49"/>
    </row>
    <row r="119" spans="1:17" s="89" customFormat="1" ht="11.25" customHeight="1" x14ac:dyDescent="0.3">
      <c r="A119" s="471"/>
      <c r="B119" s="2"/>
      <c r="C119" s="2"/>
      <c r="D119" s="47"/>
      <c r="E119" s="2"/>
      <c r="F119" s="49"/>
      <c r="G119" s="49"/>
      <c r="H119" s="49"/>
      <c r="I119" s="426" t="s">
        <v>166</v>
      </c>
      <c r="J119" s="422">
        <f>IF(STRUCTURE!F8&gt;18,18,STRUCTURE!F8)</f>
        <v>0</v>
      </c>
      <c r="K119" s="423" t="s">
        <v>118</v>
      </c>
      <c r="L119" s="49"/>
      <c r="Q119" s="88"/>
    </row>
    <row r="120" spans="1:17" s="89" customFormat="1" ht="11.25" customHeight="1" x14ac:dyDescent="0.3">
      <c r="A120" s="471"/>
      <c r="B120" s="2"/>
      <c r="C120" s="2"/>
      <c r="D120" s="47"/>
      <c r="E120" s="2"/>
      <c r="F120" s="49"/>
      <c r="G120" s="49"/>
      <c r="H120" s="49"/>
      <c r="I120" s="426"/>
      <c r="J120" s="401"/>
      <c r="K120" s="423"/>
      <c r="L120" s="49"/>
      <c r="Q120" s="88"/>
    </row>
    <row r="121" spans="1:17" s="89" customFormat="1" ht="11.25" customHeight="1" x14ac:dyDescent="0.3">
      <c r="A121" s="471"/>
      <c r="B121" s="2"/>
      <c r="C121" s="2"/>
      <c r="D121" s="47"/>
      <c r="E121" s="2"/>
      <c r="F121" s="49"/>
      <c r="G121" s="49"/>
      <c r="H121" s="49"/>
      <c r="I121" s="49"/>
      <c r="J121" s="427"/>
      <c r="K121" s="424"/>
      <c r="L121" s="49"/>
    </row>
    <row r="122" spans="1:17" s="89" customFormat="1" ht="11.25" customHeight="1" x14ac:dyDescent="0.3">
      <c r="A122" s="471"/>
      <c r="B122" s="428" t="s">
        <v>120</v>
      </c>
      <c r="C122" s="2"/>
      <c r="D122" s="2"/>
      <c r="E122" s="2"/>
      <c r="F122" s="2"/>
      <c r="G122" s="2"/>
      <c r="H122" s="2"/>
      <c r="I122" s="429" t="s">
        <v>121</v>
      </c>
      <c r="J122" s="2"/>
      <c r="K122" s="2"/>
      <c r="L122" s="2"/>
    </row>
    <row r="123" spans="1:17" s="89" customFormat="1" ht="11.25" customHeight="1" x14ac:dyDescent="0.3">
      <c r="A123" s="47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7" s="89" customFormat="1" ht="11.25" customHeight="1" x14ac:dyDescent="0.3">
      <c r="A124" s="471"/>
      <c r="B124" s="430"/>
      <c r="C124" s="2" t="s">
        <v>122</v>
      </c>
      <c r="D124" s="2"/>
      <c r="E124" s="2"/>
      <c r="F124" s="2"/>
      <c r="G124" s="2"/>
      <c r="H124" s="2"/>
      <c r="I124" s="2"/>
      <c r="J124" s="2"/>
      <c r="K124" s="2"/>
      <c r="L124" s="2"/>
    </row>
    <row r="125" spans="1:17" s="89" customFormat="1" ht="11.25" customHeight="1" x14ac:dyDescent="0.3">
      <c r="A125" s="471"/>
      <c r="B125" s="2"/>
      <c r="C125" s="2"/>
      <c r="D125" s="2" t="s">
        <v>123</v>
      </c>
      <c r="E125" s="2"/>
      <c r="F125" s="2"/>
      <c r="G125" s="2"/>
      <c r="H125" s="2"/>
      <c r="I125" s="2"/>
      <c r="J125" s="2"/>
      <c r="K125" s="2"/>
      <c r="L125" s="2"/>
    </row>
    <row r="126" spans="1:17" s="89" customFormat="1" ht="11.25" customHeight="1" x14ac:dyDescent="0.3">
      <c r="A126" s="471"/>
      <c r="B126" s="2"/>
      <c r="C126" s="2" t="s">
        <v>3</v>
      </c>
      <c r="D126" s="2"/>
      <c r="E126" s="2"/>
      <c r="F126" s="2"/>
      <c r="G126" s="2"/>
      <c r="H126" s="2"/>
      <c r="I126" s="2"/>
      <c r="J126" s="2"/>
      <c r="K126" s="424"/>
      <c r="L126" s="2"/>
    </row>
    <row r="127" spans="1:17" s="89" customFormat="1" ht="11.25" customHeight="1" x14ac:dyDescent="0.3">
      <c r="A127" s="471"/>
      <c r="B127" s="2"/>
      <c r="C127" s="414" t="s">
        <v>0</v>
      </c>
      <c r="D127" s="2"/>
      <c r="E127" s="2"/>
      <c r="F127" s="2"/>
      <c r="G127" s="2"/>
      <c r="H127" s="2"/>
      <c r="I127" s="431" t="s">
        <v>140</v>
      </c>
      <c r="J127" s="432" t="s">
        <v>143</v>
      </c>
      <c r="K127" s="2"/>
      <c r="L127" s="2"/>
    </row>
    <row r="128" spans="1:17" s="89" customFormat="1" ht="11.25" customHeight="1" x14ac:dyDescent="0.3">
      <c r="A128" s="471"/>
      <c r="B128" s="433" t="s">
        <v>26</v>
      </c>
      <c r="C128" s="323">
        <v>3</v>
      </c>
      <c r="D128" s="2" t="s">
        <v>6</v>
      </c>
      <c r="E128" s="2"/>
      <c r="F128" s="49"/>
      <c r="G128" s="50"/>
      <c r="H128" s="47"/>
      <c r="I128" s="422" t="str">
        <f>IF(STRUCTURE!D15&lt;&gt;"","X","")</f>
        <v/>
      </c>
      <c r="J128" s="323" t="str">
        <f>IF(I128&lt;&gt;"",7,"")</f>
        <v/>
      </c>
      <c r="K128" s="434" t="str">
        <f>IF(J128="","",1)</f>
        <v/>
      </c>
      <c r="L128" s="2"/>
      <c r="O128" s="88"/>
    </row>
    <row r="129" spans="1:16" s="89" customFormat="1" ht="11.25" customHeight="1" x14ac:dyDescent="0.3">
      <c r="A129" s="471"/>
      <c r="B129" s="2"/>
      <c r="C129" s="323">
        <v>6</v>
      </c>
      <c r="D129" s="435" t="s">
        <v>188</v>
      </c>
      <c r="E129" s="2"/>
      <c r="F129" s="49"/>
      <c r="G129" s="50"/>
      <c r="H129" s="47"/>
      <c r="I129" s="422" t="str">
        <f>IF(STRUCTURE!D16&lt;&gt;"","X","")</f>
        <v/>
      </c>
      <c r="J129" s="323" t="str">
        <f>IF(I129&lt;&gt;"",9,"")</f>
        <v/>
      </c>
      <c r="K129" s="434" t="str">
        <f>IF(J129="","",1)</f>
        <v/>
      </c>
      <c r="L129" s="2"/>
      <c r="O129" s="88"/>
    </row>
    <row r="130" spans="1:16" s="89" customFormat="1" ht="11.25" customHeight="1" x14ac:dyDescent="0.3">
      <c r="A130" s="471"/>
      <c r="B130" s="67" t="s">
        <v>33</v>
      </c>
      <c r="C130" s="323">
        <v>9</v>
      </c>
      <c r="D130" s="435" t="s">
        <v>137</v>
      </c>
      <c r="E130" s="2"/>
      <c r="F130" s="49"/>
      <c r="G130" s="47"/>
      <c r="H130" s="47"/>
      <c r="I130" s="422" t="str">
        <f>IF(STRUCTURE!D17&lt;&gt;"","X","")</f>
        <v/>
      </c>
      <c r="J130" s="323" t="str">
        <f>IF(I130&lt;&gt;"",11,"")</f>
        <v/>
      </c>
      <c r="K130" s="434" t="str">
        <f>IF(J130="","",1)</f>
        <v/>
      </c>
      <c r="L130" s="2"/>
      <c r="O130" s="88"/>
      <c r="P130" s="88"/>
    </row>
    <row r="131" spans="1:16" s="89" customFormat="1" ht="11.25" customHeight="1" x14ac:dyDescent="0.3">
      <c r="A131" s="471"/>
      <c r="B131" s="49"/>
      <c r="C131" s="323">
        <v>12</v>
      </c>
      <c r="D131" s="435" t="s">
        <v>189</v>
      </c>
      <c r="E131" s="2"/>
      <c r="F131" s="436"/>
      <c r="G131" s="11"/>
      <c r="H131" s="11"/>
      <c r="I131" s="422" t="str">
        <f>IF(STRUCTURE!D18&lt;&gt;"","X","")</f>
        <v/>
      </c>
      <c r="J131" s="323" t="str">
        <f>IF(I131&lt;&gt;"",13,"")</f>
        <v/>
      </c>
      <c r="K131" s="434" t="str">
        <f>IF(J131="","",1)</f>
        <v/>
      </c>
      <c r="L131" s="2"/>
      <c r="O131" s="88"/>
    </row>
    <row r="132" spans="1:16" s="89" customFormat="1" ht="11.25" customHeight="1" x14ac:dyDescent="0.3">
      <c r="A132" s="471"/>
      <c r="B132" s="67" t="s">
        <v>41</v>
      </c>
      <c r="C132" s="323">
        <v>15</v>
      </c>
      <c r="D132" s="435" t="s">
        <v>190</v>
      </c>
      <c r="E132" s="2"/>
      <c r="F132" s="436"/>
      <c r="G132" s="11"/>
      <c r="H132" s="11"/>
      <c r="I132" s="422" t="str">
        <f>IF(STRUCTURE!D19&lt;&gt;"","X","")</f>
        <v/>
      </c>
      <c r="J132" s="323" t="str">
        <f>IF(I132&lt;&gt;"",15,"")</f>
        <v/>
      </c>
      <c r="K132" s="434" t="str">
        <f>IF(J132="","",1)</f>
        <v/>
      </c>
      <c r="L132" s="2"/>
      <c r="O132" s="88"/>
    </row>
    <row r="133" spans="1:16" s="89" customFormat="1" ht="11.25" customHeight="1" x14ac:dyDescent="0.3">
      <c r="A133" s="471"/>
      <c r="B133" s="49"/>
      <c r="C133" s="436"/>
      <c r="D133" s="49"/>
      <c r="E133" s="436"/>
      <c r="F133" s="436"/>
      <c r="G133" s="11"/>
      <c r="H133" s="11"/>
      <c r="I133" s="11"/>
      <c r="J133" s="437">
        <f>IF(K133&gt;1,0,SUM(J128:J132))</f>
        <v>0</v>
      </c>
      <c r="K133" s="434">
        <f>SUM(K128:K132)</f>
        <v>0</v>
      </c>
      <c r="L133" s="2"/>
      <c r="O133" s="88"/>
    </row>
    <row r="134" spans="1:16" s="89" customFormat="1" ht="11.25" customHeight="1" x14ac:dyDescent="0.3">
      <c r="A134" s="471"/>
      <c r="B134" s="2"/>
      <c r="C134" s="2"/>
      <c r="D134" s="2"/>
      <c r="E134" s="2"/>
      <c r="F134" s="2"/>
      <c r="G134" s="2"/>
      <c r="H134" s="2"/>
      <c r="I134" s="2"/>
      <c r="J134" s="2"/>
      <c r="K134" s="434" t="str">
        <f>IF(I132="","",1)</f>
        <v/>
      </c>
      <c r="L134" s="2"/>
      <c r="O134" s="88"/>
    </row>
    <row r="135" spans="1:16" s="89" customFormat="1" ht="11.25" customHeight="1" x14ac:dyDescent="0.3">
      <c r="A135" s="471"/>
      <c r="B135" s="2"/>
      <c r="C135" s="2"/>
      <c r="D135" s="2"/>
      <c r="E135" s="2"/>
      <c r="F135" s="2"/>
      <c r="G135" s="2"/>
      <c r="H135" s="2"/>
      <c r="I135" s="2"/>
      <c r="J135" s="2"/>
      <c r="K135" s="434">
        <f>SUM(K128:K134)</f>
        <v>0</v>
      </c>
      <c r="L135" s="2"/>
      <c r="O135" s="88"/>
    </row>
    <row r="136" spans="1:16" s="89" customFormat="1" ht="11.25" customHeight="1" x14ac:dyDescent="0.3">
      <c r="A136" s="471"/>
      <c r="B136" s="2"/>
      <c r="C136" s="2"/>
      <c r="D136" s="2"/>
      <c r="E136" s="2"/>
      <c r="F136" s="2"/>
      <c r="G136" s="2"/>
      <c r="H136" s="49"/>
      <c r="I136" s="49"/>
      <c r="J136" s="49"/>
      <c r="K136" s="49"/>
      <c r="L136" s="49"/>
    </row>
    <row r="137" spans="1:16" s="89" customFormat="1" ht="11.25" customHeight="1" x14ac:dyDescent="0.3">
      <c r="A137" s="471"/>
      <c r="B137" s="428" t="s">
        <v>315</v>
      </c>
      <c r="C137" s="438"/>
      <c r="D137" s="49"/>
      <c r="E137" s="49"/>
      <c r="F137" s="2"/>
      <c r="G137" s="439" t="s">
        <v>124</v>
      </c>
      <c r="H137" s="49"/>
      <c r="I137" s="49"/>
      <c r="J137" s="49"/>
      <c r="K137" s="49"/>
      <c r="L137" s="49"/>
    </row>
    <row r="138" spans="1:16" s="89" customFormat="1" ht="11.25" customHeight="1" x14ac:dyDescent="0.3">
      <c r="A138" s="471"/>
      <c r="B138" s="400"/>
      <c r="C138" s="438"/>
      <c r="D138" s="49"/>
      <c r="E138"/>
      <c r="F138" s="424"/>
      <c r="G138" s="49"/>
      <c r="H138" s="2"/>
      <c r="I138" s="49"/>
      <c r="J138" s="49"/>
      <c r="K138" s="49"/>
      <c r="L138" s="49"/>
    </row>
    <row r="139" spans="1:16" s="89" customFormat="1" ht="11.25" customHeight="1" x14ac:dyDescent="0.3">
      <c r="A139" s="471"/>
      <c r="B139" s="71" t="s">
        <v>125</v>
      </c>
      <c r="C139" s="431" t="s">
        <v>126</v>
      </c>
      <c r="D139" s="2"/>
      <c r="E139" s="6" t="s">
        <v>138</v>
      </c>
      <c r="F139" s="71" t="s">
        <v>139</v>
      </c>
      <c r="G139" s="49"/>
      <c r="H139" s="2"/>
      <c r="I139" s="49"/>
      <c r="J139" s="49"/>
      <c r="K139" s="49"/>
      <c r="L139" s="49"/>
    </row>
    <row r="140" spans="1:16" s="89" customFormat="1" ht="11.25" customHeight="1" x14ac:dyDescent="0.3">
      <c r="A140" s="471"/>
      <c r="B140" s="9" t="s">
        <v>127</v>
      </c>
      <c r="C140" s="422" t="str">
        <f>IF(STRUCTURE!J16&lt;&gt;"","X","")</f>
        <v/>
      </c>
      <c r="D140" s="2"/>
      <c r="E140" s="1">
        <v>4</v>
      </c>
      <c r="F140" s="15" t="str">
        <f>IF(C140&lt;&gt;"",4,"")</f>
        <v/>
      </c>
      <c r="G140" s="434" t="str">
        <f>IF(C140="","",1)</f>
        <v/>
      </c>
      <c r="H140" s="2"/>
      <c r="I140" s="47"/>
      <c r="J140" s="49"/>
      <c r="K140" s="47"/>
      <c r="L140" s="49"/>
    </row>
    <row r="141" spans="1:16" s="89" customFormat="1" ht="11.25" customHeight="1" x14ac:dyDescent="0.3">
      <c r="A141" s="471"/>
      <c r="B141" s="9" t="s">
        <v>128</v>
      </c>
      <c r="C141" s="422" t="str">
        <f>IF(STRUCTURE!J17&lt;&gt;"","X","")</f>
        <v/>
      </c>
      <c r="D141" s="2"/>
      <c r="E141" s="1">
        <v>7</v>
      </c>
      <c r="F141" s="15" t="str">
        <f>IF(C141&lt;&gt;"",7,"")</f>
        <v/>
      </c>
      <c r="G141" s="434" t="str">
        <f>IF(C141="","",1)</f>
        <v/>
      </c>
      <c r="H141" s="2"/>
      <c r="I141" s="47"/>
      <c r="J141" s="49"/>
      <c r="K141" s="49"/>
      <c r="L141" s="49"/>
    </row>
    <row r="142" spans="1:16" s="89" customFormat="1" ht="11.25" customHeight="1" x14ac:dyDescent="0.3">
      <c r="A142" s="471"/>
      <c r="B142" s="9" t="s">
        <v>129</v>
      </c>
      <c r="C142" s="422" t="str">
        <f>IF(STRUCTURE!J18&lt;&gt;"","X","")</f>
        <v/>
      </c>
      <c r="D142" s="2"/>
      <c r="E142" s="1">
        <v>11</v>
      </c>
      <c r="F142" s="15" t="str">
        <f>IF(C142&lt;&gt;"",11,"")</f>
        <v/>
      </c>
      <c r="G142" s="434" t="str">
        <f>IF(C142="","",1)</f>
        <v/>
      </c>
      <c r="H142" s="2"/>
      <c r="I142" s="2"/>
      <c r="J142" s="2"/>
      <c r="K142" s="2"/>
      <c r="L142" s="49"/>
    </row>
    <row r="143" spans="1:16" s="89" customFormat="1" ht="11.25" customHeight="1" x14ac:dyDescent="0.3">
      <c r="A143" s="471"/>
      <c r="B143" s="9" t="s">
        <v>130</v>
      </c>
      <c r="C143" s="422" t="str">
        <f>IF(STRUCTURE!J19&lt;&gt;"","X","")</f>
        <v/>
      </c>
      <c r="D143" s="2"/>
      <c r="E143" s="1">
        <v>15</v>
      </c>
      <c r="F143" s="440" t="str">
        <f>IF(C143&lt;&gt;"",15,"")</f>
        <v/>
      </c>
      <c r="G143" s="434" t="str">
        <f>IF(C143="","",1)</f>
        <v/>
      </c>
      <c r="H143" s="2"/>
      <c r="I143" s="2"/>
      <c r="J143" s="2"/>
      <c r="K143" s="2"/>
      <c r="L143" s="49"/>
    </row>
    <row r="144" spans="1:16" s="89" customFormat="1" ht="11.25" customHeight="1" x14ac:dyDescent="0.3">
      <c r="A144" s="471"/>
      <c r="B144" s="9"/>
      <c r="C144" s="441"/>
      <c r="D144" s="2"/>
      <c r="E144" s="1"/>
      <c r="F144" s="15">
        <f>IF(G144&gt;1,0,SUM(F140:F143))</f>
        <v>0</v>
      </c>
      <c r="G144" s="434">
        <f>SUM(G140:G143)</f>
        <v>0</v>
      </c>
      <c r="H144" s="2"/>
      <c r="I144" s="2"/>
      <c r="J144" s="2"/>
      <c r="K144" s="2"/>
      <c r="L144" s="49"/>
    </row>
    <row r="145" spans="1:20" s="89" customFormat="1" ht="11.25" customHeight="1" x14ac:dyDescent="0.3">
      <c r="A145" s="471"/>
      <c r="B145" s="9"/>
      <c r="C145" s="401"/>
      <c r="D145"/>
      <c r="E145" s="1"/>
      <c r="F145"/>
      <c r="G145"/>
      <c r="H145" s="2"/>
      <c r="I145" s="2"/>
      <c r="J145" s="2"/>
      <c r="K145" s="2"/>
      <c r="L145" s="2"/>
    </row>
    <row r="146" spans="1:20" s="89" customFormat="1" ht="11.25" customHeight="1" x14ac:dyDescent="0.3">
      <c r="A146" s="471"/>
      <c r="B146" s="2"/>
      <c r="C146" s="427"/>
      <c r="D146" s="2"/>
      <c r="E146" s="2"/>
      <c r="F146"/>
      <c r="G146"/>
      <c r="H146" s="2" t="s">
        <v>144</v>
      </c>
      <c r="I146" s="2"/>
      <c r="J146" s="416">
        <f>J119</f>
        <v>0</v>
      </c>
      <c r="K146" s="442" t="s">
        <v>93</v>
      </c>
      <c r="L146" s="2"/>
      <c r="Q146" s="88"/>
      <c r="T146" s="88"/>
    </row>
    <row r="147" spans="1:20" s="89" customFormat="1" ht="11.25" customHeight="1" x14ac:dyDescent="0.3">
      <c r="A147" s="471"/>
      <c r="B147" s="2"/>
      <c r="C147" s="427"/>
      <c r="D147" s="2"/>
      <c r="E147" s="2"/>
      <c r="F147"/>
      <c r="G147" s="2"/>
      <c r="H147" s="2" t="s">
        <v>131</v>
      </c>
      <c r="I147" s="2"/>
      <c r="J147" s="417">
        <f>J133</f>
        <v>0</v>
      </c>
      <c r="K147" s="2"/>
      <c r="L147"/>
      <c r="Q147" s="88"/>
      <c r="T147" s="88"/>
    </row>
    <row r="148" spans="1:20" s="89" customFormat="1" ht="11.25" customHeight="1" x14ac:dyDescent="0.3">
      <c r="B148" s="2"/>
      <c r="C148"/>
      <c r="D148" s="2"/>
      <c r="E148" s="2"/>
      <c r="F148"/>
      <c r="G148" s="6" t="s">
        <v>133</v>
      </c>
      <c r="H148" s="2" t="s">
        <v>134</v>
      </c>
      <c r="I148" s="2"/>
      <c r="J148" s="416">
        <f>IF(AND('TRAFFIC &amp; ACCIDENTS'!E10=7,STRUCTURE!F8&lt;&gt;""),2,0)</f>
        <v>0</v>
      </c>
      <c r="K148" s="443"/>
      <c r="L148"/>
      <c r="N148" s="88"/>
      <c r="Q148" s="88"/>
      <c r="T148" s="88"/>
    </row>
    <row r="149" spans="1:20" s="89" customFormat="1" ht="11.25" customHeight="1" x14ac:dyDescent="0.3">
      <c r="B149" s="2"/>
      <c r="C149" s="444"/>
      <c r="D149" s="2"/>
      <c r="E149" s="2"/>
      <c r="F149"/>
      <c r="G149"/>
      <c r="H149" s="2" t="s">
        <v>132</v>
      </c>
      <c r="I149" s="2"/>
      <c r="J149" s="417">
        <f>SUM(F140:F143)</f>
        <v>0</v>
      </c>
      <c r="K149" s="443"/>
      <c r="L149"/>
      <c r="N149" s="88"/>
      <c r="Q149" s="88"/>
      <c r="T149" s="88"/>
    </row>
    <row r="150" spans="1:20" s="89" customFormat="1" ht="11.25" customHeight="1" x14ac:dyDescent="0.3">
      <c r="B150" s="2"/>
      <c r="C150" s="2"/>
      <c r="D150" s="2"/>
      <c r="E150" s="2"/>
      <c r="F150" s="2"/>
      <c r="G150"/>
      <c r="H150"/>
      <c r="I150"/>
      <c r="J150"/>
      <c r="K150" s="2"/>
      <c r="L150"/>
      <c r="N150" s="88"/>
      <c r="Q150" s="88"/>
      <c r="R150" s="88"/>
      <c r="T150" s="88"/>
    </row>
    <row r="151" spans="1:20" s="89" customFormat="1" ht="11.25" customHeight="1" x14ac:dyDescent="0.3">
      <c r="B151" s="2"/>
      <c r="C151" s="2"/>
      <c r="D151" s="2"/>
      <c r="E151" s="2"/>
      <c r="F151" s="2"/>
      <c r="G151"/>
      <c r="H151"/>
      <c r="I151" s="6" t="s">
        <v>135</v>
      </c>
      <c r="J151" s="445">
        <f>SUM(J146:J149)</f>
        <v>0</v>
      </c>
      <c r="K151"/>
      <c r="L151"/>
      <c r="N151" s="88"/>
      <c r="Q151" s="88"/>
      <c r="R151" s="88"/>
      <c r="T151" s="88"/>
    </row>
    <row r="152" spans="1:20" x14ac:dyDescent="0.3">
      <c r="B152"/>
      <c r="C152"/>
      <c r="D152"/>
      <c r="E152"/>
      <c r="F152"/>
      <c r="G152"/>
      <c r="H152"/>
      <c r="I152"/>
      <c r="J152"/>
      <c r="K152"/>
      <c r="L152"/>
    </row>
  </sheetData>
  <sheetProtection algorithmName="SHA-512" hashValue="Kpb2BGxstWmV7nVtxgMt/DCBJCyLfAGYeVMQDImQ3v0PqjCP+NBtwRuT8lvO9rSUx36Vg6DasDOhuaipAkboDQ==" saltValue="rp+a5tvmu+/ZwxUswtA9sQ==" spinCount="100000" sheet="1" selectLockedCells="1"/>
  <mergeCells count="6">
    <mergeCell ref="I5:J5"/>
    <mergeCell ref="A119:A147"/>
    <mergeCell ref="A26:A58"/>
    <mergeCell ref="I29:L32"/>
    <mergeCell ref="J91:L94"/>
    <mergeCell ref="F14:G14"/>
  </mergeCells>
  <hyperlinks>
    <hyperlink ref="F14:G14" location="USCS!A1" display="See USCS sheet" xr:uid="{00000000-0004-0000-03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L163"/>
  <sheetViews>
    <sheetView showGridLines="0" zoomScaleNormal="100" workbookViewId="0">
      <selection activeCell="C26" sqref="C26"/>
    </sheetView>
  </sheetViews>
  <sheetFormatPr defaultColWidth="9.1796875" defaultRowHeight="13" x14ac:dyDescent="0.3"/>
  <cols>
    <col min="1" max="1" width="3.1796875" style="88" customWidth="1"/>
    <col min="2" max="13" width="7.7265625" style="88" customWidth="1"/>
    <col min="14" max="14" width="8.453125" style="88" customWidth="1"/>
    <col min="15" max="15" width="7.54296875" style="88" customWidth="1"/>
    <col min="16" max="16" width="6.26953125" style="88" customWidth="1"/>
    <col min="17" max="17" width="9.1796875" style="88" customWidth="1"/>
    <col min="18" max="16384" width="9.1796875" style="88"/>
  </cols>
  <sheetData>
    <row r="2" spans="2:16" ht="13.5" thickBot="1" x14ac:dyDescent="0.35"/>
    <row r="3" spans="2:16" x14ac:dyDescent="0.3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</row>
    <row r="4" spans="2:16" x14ac:dyDescent="0.3">
      <c r="B4" s="86" t="s">
        <v>347</v>
      </c>
      <c r="C4"/>
      <c r="D4" s="2"/>
      <c r="E4" s="2"/>
      <c r="F4" s="2"/>
      <c r="G4"/>
      <c r="H4"/>
      <c r="I4" s="484" t="s">
        <v>356</v>
      </c>
      <c r="J4" s="484"/>
      <c r="K4" s="484"/>
      <c r="L4" s="484"/>
      <c r="M4" s="32"/>
      <c r="N4" s="87"/>
    </row>
    <row r="5" spans="2:16" x14ac:dyDescent="0.3">
      <c r="B5" s="59"/>
      <c r="C5" s="58" t="s">
        <v>156</v>
      </c>
      <c r="D5" s="61" t="s">
        <v>114</v>
      </c>
      <c r="E5"/>
      <c r="F5" s="2"/>
      <c r="G5"/>
      <c r="H5"/>
      <c r="I5"/>
      <c r="J5"/>
      <c r="K5" s="56" t="s">
        <v>169</v>
      </c>
      <c r="L5" s="19" t="s">
        <v>167</v>
      </c>
      <c r="M5" s="47"/>
      <c r="N5" s="140" t="s">
        <v>186</v>
      </c>
      <c r="O5" s="92"/>
      <c r="P5" s="92"/>
    </row>
    <row r="6" spans="2:16" x14ac:dyDescent="0.3">
      <c r="B6" s="59"/>
      <c r="C6"/>
      <c r="D6" s="138" t="s">
        <v>446</v>
      </c>
      <c r="E6" s="19" t="s">
        <v>85</v>
      </c>
      <c r="F6"/>
      <c r="G6"/>
      <c r="H6"/>
      <c r="I6"/>
      <c r="J6" s="148" t="s">
        <v>328</v>
      </c>
      <c r="K6" s="139">
        <v>18</v>
      </c>
      <c r="L6" s="139">
        <v>20</v>
      </c>
      <c r="M6" s="48"/>
      <c r="N6" s="141">
        <f>GEOMETRY!C51</f>
        <v>24</v>
      </c>
      <c r="O6" s="92"/>
      <c r="P6" s="92"/>
    </row>
    <row r="7" spans="2:16" x14ac:dyDescent="0.3">
      <c r="B7" s="59"/>
      <c r="C7"/>
      <c r="D7" s="139"/>
      <c r="E7" s="19" t="s">
        <v>86</v>
      </c>
      <c r="F7"/>
      <c r="G7"/>
      <c r="H7"/>
      <c r="I7"/>
      <c r="J7" s="147" t="s">
        <v>327</v>
      </c>
      <c r="K7" s="146">
        <v>20</v>
      </c>
      <c r="L7" s="139">
        <v>24</v>
      </c>
      <c r="M7" s="48"/>
      <c r="N7" s="141">
        <f>GEOMETRY!K51</f>
        <v>40</v>
      </c>
      <c r="P7" s="93"/>
    </row>
    <row r="8" spans="2:16" x14ac:dyDescent="0.3">
      <c r="B8" s="59"/>
      <c r="C8"/>
      <c r="D8" s="139"/>
      <c r="E8" s="19" t="s">
        <v>87</v>
      </c>
      <c r="F8"/>
      <c r="G8"/>
      <c r="H8"/>
      <c r="I8"/>
      <c r="J8"/>
      <c r="K8"/>
      <c r="L8"/>
      <c r="M8"/>
      <c r="N8" s="87"/>
      <c r="P8" s="93"/>
    </row>
    <row r="9" spans="2:16" x14ac:dyDescent="0.3">
      <c r="B9" s="59"/>
      <c r="C9"/>
      <c r="D9" s="1"/>
      <c r="E9" s="19"/>
      <c r="F9"/>
      <c r="G9" s="57" t="s">
        <v>341</v>
      </c>
      <c r="H9" s="31">
        <f>GEOMETRY!V91</f>
        <v>60</v>
      </c>
      <c r="I9" t="s">
        <v>342</v>
      </c>
      <c r="J9"/>
      <c r="K9"/>
      <c r="L9"/>
      <c r="M9"/>
      <c r="N9" s="87"/>
      <c r="P9" s="93"/>
    </row>
    <row r="10" spans="2:16" x14ac:dyDescent="0.3">
      <c r="B10" s="59"/>
      <c r="C10"/>
      <c r="D10" s="1"/>
      <c r="E10" s="19"/>
      <c r="F10"/>
      <c r="G10"/>
      <c r="H10"/>
      <c r="I10"/>
      <c r="J10"/>
      <c r="K10"/>
      <c r="L10"/>
      <c r="M10"/>
      <c r="N10" s="87"/>
      <c r="P10" s="93"/>
    </row>
    <row r="11" spans="2:16" ht="15.5" x14ac:dyDescent="0.35">
      <c r="B11" s="59"/>
      <c r="C11"/>
      <c r="D11" s="1"/>
      <c r="E11" s="493" t="s">
        <v>282</v>
      </c>
      <c r="F11" s="493"/>
      <c r="G11" s="493"/>
      <c r="H11" s="493"/>
      <c r="I11" s="493"/>
      <c r="J11" s="493"/>
      <c r="K11"/>
      <c r="L11"/>
      <c r="M11"/>
      <c r="N11" s="87"/>
      <c r="P11" s="93"/>
    </row>
    <row r="12" spans="2:16" x14ac:dyDescent="0.3">
      <c r="B12" s="59"/>
      <c r="C12"/>
      <c r="D12" s="483" t="s">
        <v>355</v>
      </c>
      <c r="E12" s="483"/>
      <c r="F12" s="483"/>
      <c r="G12" s="483"/>
      <c r="H12" s="483"/>
      <c r="I12" s="483"/>
      <c r="J12" s="483"/>
      <c r="K12" s="483"/>
      <c r="L12"/>
      <c r="M12"/>
      <c r="N12" s="87"/>
      <c r="P12" s="93"/>
    </row>
    <row r="13" spans="2:16" x14ac:dyDescent="0.3">
      <c r="B13" s="59"/>
      <c r="C13"/>
      <c r="D13" s="313"/>
      <c r="E13" s="313"/>
      <c r="F13" s="313"/>
      <c r="G13" s="313"/>
      <c r="H13" s="313"/>
      <c r="I13" s="313"/>
      <c r="J13" s="313"/>
      <c r="K13" s="313"/>
      <c r="L13"/>
      <c r="M13"/>
      <c r="N13" s="87"/>
      <c r="P13" s="93"/>
    </row>
    <row r="14" spans="2:16" x14ac:dyDescent="0.3">
      <c r="B14" s="59"/>
      <c r="C14" s="489" t="s">
        <v>112</v>
      </c>
      <c r="D14" s="489"/>
      <c r="E14" s="489"/>
      <c r="F14" s="313"/>
      <c r="G14" s="313"/>
      <c r="H14" s="313"/>
      <c r="I14" s="313"/>
      <c r="J14" s="488" t="s">
        <v>308</v>
      </c>
      <c r="K14" s="488"/>
      <c r="L14" s="488"/>
      <c r="M14"/>
      <c r="N14" s="87"/>
      <c r="P14" s="93"/>
    </row>
    <row r="15" spans="2:16" ht="12.75" customHeight="1" x14ac:dyDescent="0.3">
      <c r="B15" s="59"/>
      <c r="C15" s="494" t="s">
        <v>358</v>
      </c>
      <c r="D15" s="494"/>
      <c r="E15" s="494"/>
      <c r="F15" s="313"/>
      <c r="G15" s="313"/>
      <c r="H15" s="313"/>
      <c r="I15" s="313"/>
      <c r="J15" s="494" t="s">
        <v>357</v>
      </c>
      <c r="K15" s="494"/>
      <c r="L15" s="494"/>
      <c r="M15"/>
      <c r="N15" s="87"/>
      <c r="P15" s="93"/>
    </row>
    <row r="16" spans="2:16" x14ac:dyDescent="0.3">
      <c r="B16" s="59"/>
      <c r="C16" s="494"/>
      <c r="D16" s="494"/>
      <c r="E16" s="494"/>
      <c r="F16"/>
      <c r="G16"/>
      <c r="H16"/>
      <c r="I16"/>
      <c r="J16" s="494"/>
      <c r="K16" s="494"/>
      <c r="L16" s="494"/>
      <c r="M16" s="1"/>
      <c r="N16" s="87"/>
      <c r="P16" s="93"/>
    </row>
    <row r="17" spans="2:16" x14ac:dyDescent="0.3">
      <c r="B17" s="59"/>
      <c r="C17" s="314"/>
      <c r="D17" s="314"/>
      <c r="E17" s="314"/>
      <c r="F17"/>
      <c r="G17"/>
      <c r="H17"/>
      <c r="I17"/>
      <c r="J17" s="312"/>
      <c r="K17" s="312"/>
      <c r="L17" s="312"/>
      <c r="M17" s="1"/>
      <c r="N17" s="87"/>
      <c r="P17" s="93"/>
    </row>
    <row r="18" spans="2:16" x14ac:dyDescent="0.3">
      <c r="B18" s="59"/>
      <c r="C18" s="6" t="s">
        <v>3</v>
      </c>
      <c r="D18" s="12">
        <f>IF('RC RATING SUMMARY'!F6=0,0,GEOMETRY!L86*F36)</f>
        <v>0</v>
      </c>
      <c r="E18" s="82"/>
      <c r="F18"/>
      <c r="G18" s="62"/>
      <c r="H18" s="62"/>
      <c r="I18" s="6" t="s">
        <v>337</v>
      </c>
      <c r="J18" s="72">
        <f>H9</f>
        <v>60</v>
      </c>
      <c r="K18" s="68" t="s">
        <v>309</v>
      </c>
      <c r="L18"/>
      <c r="M18" s="1"/>
      <c r="N18" s="142"/>
      <c r="O18" s="169"/>
      <c r="P18" s="93"/>
    </row>
    <row r="19" spans="2:16" x14ac:dyDescent="0.3">
      <c r="B19" s="491"/>
      <c r="C19" s="446"/>
      <c r="D19" s="446"/>
      <c r="E19" s="446"/>
      <c r="F19" s="34" t="s">
        <v>253</v>
      </c>
      <c r="G19"/>
      <c r="H19"/>
      <c r="I19" s="492" t="s">
        <v>248</v>
      </c>
      <c r="J19" s="12">
        <f>IF(GEOMETRY!K156*L36&gt;10,10,GEOMETRY!K156*L36)</f>
        <v>0</v>
      </c>
      <c r="K19" s="68" t="s">
        <v>310</v>
      </c>
      <c r="L19" s="1"/>
      <c r="M19" s="1"/>
      <c r="N19" s="87"/>
      <c r="O19" s="170"/>
    </row>
    <row r="20" spans="2:16" x14ac:dyDescent="0.3">
      <c r="B20" s="491"/>
      <c r="C20" s="47" t="s">
        <v>242</v>
      </c>
      <c r="D20" s="49" t="s">
        <v>102</v>
      </c>
      <c r="E20" s="47" t="s">
        <v>70</v>
      </c>
      <c r="F20" s="47" t="s">
        <v>103</v>
      </c>
      <c r="G20" s="47" t="s">
        <v>243</v>
      </c>
      <c r="H20" s="47"/>
      <c r="I20" s="492"/>
      <c r="J20" s="73" t="s">
        <v>292</v>
      </c>
      <c r="K20" s="34" t="s">
        <v>70</v>
      </c>
      <c r="L20" s="68" t="s">
        <v>311</v>
      </c>
      <c r="M20" s="68"/>
      <c r="N20" s="143"/>
      <c r="O20" s="170"/>
      <c r="P20" s="92"/>
    </row>
    <row r="21" spans="2:16" x14ac:dyDescent="0.3">
      <c r="B21" s="491"/>
      <c r="C21" s="50" t="s">
        <v>91</v>
      </c>
      <c r="D21" s="49" t="s">
        <v>113</v>
      </c>
      <c r="E21" s="47" t="s">
        <v>83</v>
      </c>
      <c r="F21" s="50" t="s">
        <v>241</v>
      </c>
      <c r="G21" s="50" t="s">
        <v>83</v>
      </c>
      <c r="H21" s="50"/>
      <c r="I21" s="492"/>
      <c r="J21" s="74" t="s">
        <v>312</v>
      </c>
      <c r="K21" s="34" t="s">
        <v>83</v>
      </c>
      <c r="L21" s="75" t="s">
        <v>313</v>
      </c>
      <c r="M21" s="75"/>
      <c r="N21" s="144"/>
      <c r="O21" s="171"/>
    </row>
    <row r="22" spans="2:16" ht="15" customHeight="1" x14ac:dyDescent="0.3">
      <c r="B22" s="51" t="str">
        <f>IF(AND(E22&lt;&gt;0,E22&lt;$H$9),"*","")</f>
        <v/>
      </c>
      <c r="C22" s="174"/>
      <c r="D22" s="174"/>
      <c r="E22" s="174"/>
      <c r="F22" s="63" t="str">
        <f>IF(H9="",0,IF(AND(E22&gt;=G22,G22&lt;H9,E22&lt;&gt;0),H22*(D22/F37),""))</f>
        <v/>
      </c>
      <c r="G22" s="1" t="str">
        <f>GEOMETRY!F98</f>
        <v/>
      </c>
      <c r="H22" s="80" t="e">
        <f>IF(E22&gt;=H9,1,(E22-G22)/(H9-G22))</f>
        <v>#VALUE!</v>
      </c>
      <c r="I22" s="1">
        <v>1</v>
      </c>
      <c r="J22" s="76"/>
      <c r="K22" s="76"/>
      <c r="L22" s="77" t="str">
        <f>IF(AND(K22&gt;=J22,J22&lt;H9,K22&lt;&gt;0),M22,"")</f>
        <v/>
      </c>
      <c r="M22" s="80">
        <f>IF(K22&gt;H9,1,(K22-J22)/(H9-J22))</f>
        <v>0</v>
      </c>
      <c r="N22" s="145"/>
      <c r="O22" s="93"/>
    </row>
    <row r="23" spans="2:16" ht="15" customHeight="1" x14ac:dyDescent="0.3">
      <c r="B23" s="51" t="str">
        <f t="shared" ref="B23:B35" si="0">IF(AND(E23&lt;&gt;0,E23&lt;$H$9),"*","")</f>
        <v/>
      </c>
      <c r="C23" s="174"/>
      <c r="D23" s="174"/>
      <c r="E23" s="174"/>
      <c r="F23" s="63" t="str">
        <f>IF(H9="",0,IF(AND(E23&gt;=G23,G23&lt;H9,E23&lt;&gt;0),H23*(D23/F37),""))</f>
        <v/>
      </c>
      <c r="G23" s="1" t="str">
        <f>GEOMETRY!F99</f>
        <v/>
      </c>
      <c r="H23" s="80" t="e">
        <f>IF(E23&gt;=H9,1,(E23-G23)/(H9-G23))</f>
        <v>#VALUE!</v>
      </c>
      <c r="I23" s="1">
        <v>2</v>
      </c>
      <c r="J23" s="76"/>
      <c r="K23" s="76"/>
      <c r="L23" s="77" t="str">
        <f>IF(AND(K23&gt;=J23,J23&lt;H9,K23&lt;&gt;0),M23,"")</f>
        <v/>
      </c>
      <c r="M23" s="80">
        <f>IF(K23&gt;H9,1,(K23-J23)/(H9-J23))</f>
        <v>0</v>
      </c>
      <c r="N23" s="145"/>
      <c r="O23" s="93"/>
    </row>
    <row r="24" spans="2:16" ht="15" customHeight="1" x14ac:dyDescent="0.3">
      <c r="B24" s="51" t="str">
        <f t="shared" si="0"/>
        <v/>
      </c>
      <c r="C24" s="174"/>
      <c r="D24" s="174"/>
      <c r="E24" s="174"/>
      <c r="F24" s="63" t="str">
        <f>IF(H9="",0,IF(AND(E24&gt;=G24,G24&lt;H9,E24&lt;&gt;0),H24*(D24/F37),""))</f>
        <v/>
      </c>
      <c r="G24" s="1" t="str">
        <f>GEOMETRY!F100</f>
        <v/>
      </c>
      <c r="H24" s="80" t="e">
        <f>IF(E24&gt;=H9,1,(E24-G24)/(H9-G24))</f>
        <v>#VALUE!</v>
      </c>
      <c r="I24" s="1">
        <v>3</v>
      </c>
      <c r="J24" s="76"/>
      <c r="K24" s="76"/>
      <c r="L24" s="77" t="str">
        <f>IF(AND(K24&gt;=J24,J24&lt;H9,K24&lt;&gt;0),M24,"")</f>
        <v/>
      </c>
      <c r="M24" s="80">
        <f>IF(K24&gt;H9,1,(K24-J24)/(H9-J24))</f>
        <v>0</v>
      </c>
      <c r="N24" s="145"/>
      <c r="O24" s="93"/>
    </row>
    <row r="25" spans="2:16" ht="15" customHeight="1" x14ac:dyDescent="0.3">
      <c r="B25" s="51" t="str">
        <f t="shared" si="0"/>
        <v/>
      </c>
      <c r="C25" s="174"/>
      <c r="D25" s="174"/>
      <c r="E25" s="174"/>
      <c r="F25" s="63" t="str">
        <f>IF(H9="",0,IF(AND(E25&gt;=G25,G25&lt;H9,E25&lt;&gt;0),H25*(D25/F37),""))</f>
        <v/>
      </c>
      <c r="G25" s="1" t="str">
        <f>GEOMETRY!F101</f>
        <v/>
      </c>
      <c r="H25" s="80" t="e">
        <f>IF(E25&gt;=H9,1,(E25-G25)/(H9-G25))</f>
        <v>#VALUE!</v>
      </c>
      <c r="I25" s="1">
        <v>4</v>
      </c>
      <c r="J25" s="76"/>
      <c r="K25" s="76"/>
      <c r="L25" s="77" t="str">
        <f>IF(AND(K25&gt;=J25,J25&lt;H9,K25&lt;&gt;0),M25,"")</f>
        <v/>
      </c>
      <c r="M25" s="80">
        <f>IF(K25&gt;H9,1,(K25-J25)/(H9-J25))</f>
        <v>0</v>
      </c>
      <c r="N25" s="145"/>
      <c r="O25" s="93"/>
    </row>
    <row r="26" spans="2:16" ht="15" customHeight="1" x14ac:dyDescent="0.3">
      <c r="B26" s="51" t="str">
        <f t="shared" si="0"/>
        <v/>
      </c>
      <c r="C26" s="174"/>
      <c r="D26" s="174"/>
      <c r="E26" s="174"/>
      <c r="F26" s="63" t="str">
        <f>IF(H9="",0,IF(AND(E26&gt;=G26,G26&lt;H9,E26&lt;&gt;0),H26*(D26/F37),""))</f>
        <v/>
      </c>
      <c r="G26" s="1" t="str">
        <f>GEOMETRY!F102</f>
        <v/>
      </c>
      <c r="H26" s="80" t="e">
        <f>IF(E26&gt;=H9,1,(E26-G26)/(H9-G26))</f>
        <v>#VALUE!</v>
      </c>
      <c r="I26" s="1">
        <v>5</v>
      </c>
      <c r="J26" s="76"/>
      <c r="K26" s="76"/>
      <c r="L26" s="77" t="str">
        <f>IF(AND(K26&gt;=J26,J26&lt;H9,K26&lt;&gt;0),M26,"")</f>
        <v/>
      </c>
      <c r="M26" s="80">
        <f>IF(K26&gt;H9,1,(K26-J26)/(H9-J26))</f>
        <v>0</v>
      </c>
      <c r="N26" s="145"/>
      <c r="O26" s="93"/>
    </row>
    <row r="27" spans="2:16" ht="15" customHeight="1" x14ac:dyDescent="0.3">
      <c r="B27" s="51" t="str">
        <f t="shared" si="0"/>
        <v/>
      </c>
      <c r="C27" s="174"/>
      <c r="D27" s="174"/>
      <c r="E27" s="174"/>
      <c r="F27" s="63" t="str">
        <f>IF(H9="",0,IF(AND(E27&gt;=G27,G27&lt;H9,E27&lt;&gt;0),H27*(D27/F37),""))</f>
        <v/>
      </c>
      <c r="G27" s="1" t="str">
        <f>GEOMETRY!F103</f>
        <v/>
      </c>
      <c r="H27" s="80" t="e">
        <f>IF(E27&gt;=H9,1,(E27-G27)/(H9-G27))</f>
        <v>#VALUE!</v>
      </c>
      <c r="I27" s="1">
        <v>6</v>
      </c>
      <c r="J27" s="76"/>
      <c r="K27" s="76"/>
      <c r="L27" s="77" t="str">
        <f>IF(AND(K27&gt;=J27,J27&lt;H9,K27&lt;&gt;0),M27,"")</f>
        <v/>
      </c>
      <c r="M27" s="80">
        <f>IF(K27&gt;H9,1,(K27-J27)/(H9-J27))</f>
        <v>0</v>
      </c>
      <c r="N27" s="145"/>
      <c r="O27" s="93"/>
    </row>
    <row r="28" spans="2:16" ht="15" customHeight="1" x14ac:dyDescent="0.3">
      <c r="B28" s="51" t="str">
        <f t="shared" si="0"/>
        <v/>
      </c>
      <c r="C28" s="174"/>
      <c r="D28" s="174"/>
      <c r="E28" s="174"/>
      <c r="F28" s="63" t="str">
        <f>IF(H9="",0,IF(AND(E28&gt;=G28,G28&lt;H9,E28&lt;&gt;0),H28*(D28/F37),""))</f>
        <v/>
      </c>
      <c r="G28" s="1" t="str">
        <f>GEOMETRY!F104</f>
        <v/>
      </c>
      <c r="H28" s="80" t="e">
        <f>IF(E28&gt;=H9,1,(E28-G28)/(H9-G28))</f>
        <v>#VALUE!</v>
      </c>
      <c r="I28" s="1">
        <v>7</v>
      </c>
      <c r="J28" s="76"/>
      <c r="K28" s="76"/>
      <c r="L28" s="77" t="str">
        <f>IF(AND(K28&gt;=J28,J28&lt;H9,K28&lt;&gt;0),M28,"")</f>
        <v/>
      </c>
      <c r="M28" s="80">
        <f>IF(K28&gt;H9,1,(K28-J28)/(H9-J28))</f>
        <v>0</v>
      </c>
      <c r="N28" s="64"/>
      <c r="O28" s="93"/>
    </row>
    <row r="29" spans="2:16" ht="15" customHeight="1" x14ac:dyDescent="0.3">
      <c r="B29" s="51" t="str">
        <f t="shared" si="0"/>
        <v/>
      </c>
      <c r="C29" s="174"/>
      <c r="D29" s="174"/>
      <c r="E29" s="174"/>
      <c r="F29" s="63" t="str">
        <f>IF(H9="",0,IF(AND(E29&gt;=G29,G29&lt;H9,E29&lt;&gt;0),H29*(D29/F37),""))</f>
        <v/>
      </c>
      <c r="G29" s="1" t="str">
        <f>GEOMETRY!F105</f>
        <v/>
      </c>
      <c r="H29" s="80" t="e">
        <f>IF(E29&gt;=H9,1,(E29-G29)/(H9-G29))</f>
        <v>#VALUE!</v>
      </c>
      <c r="I29" s="1">
        <v>8</v>
      </c>
      <c r="J29" s="78"/>
      <c r="K29" s="78"/>
      <c r="L29" s="77" t="str">
        <f>IF(AND(K29&gt;=J29,J29&lt;H9,K29&lt;&gt;0),M29,"")</f>
        <v/>
      </c>
      <c r="M29" s="80">
        <f>IF(K29&gt;H9,1,(K29-J29)/(H9-J29))</f>
        <v>0</v>
      </c>
      <c r="N29" s="64"/>
      <c r="O29" s="93"/>
    </row>
    <row r="30" spans="2:16" ht="15" customHeight="1" x14ac:dyDescent="0.3">
      <c r="B30" s="51" t="str">
        <f t="shared" si="0"/>
        <v/>
      </c>
      <c r="C30" s="174"/>
      <c r="D30" s="174"/>
      <c r="E30" s="174"/>
      <c r="F30" s="63" t="str">
        <f>IF(H9="",0,IF(AND(E30&gt;=G30,G30&lt;H9,E30&lt;&gt;0),H30*(D30/F37),""))</f>
        <v/>
      </c>
      <c r="G30" s="1" t="str">
        <f>GEOMETRY!F106</f>
        <v/>
      </c>
      <c r="H30" s="80" t="e">
        <f>IF(E30&gt;=H9,1,(E30-G30)/(H9-G30))</f>
        <v>#VALUE!</v>
      </c>
      <c r="I30" s="1">
        <v>9</v>
      </c>
      <c r="J30" s="78"/>
      <c r="K30" s="78"/>
      <c r="L30" s="77" t="str">
        <f>IF(AND(K30&gt;=J30,J30&lt;H9,K30&lt;&gt;0),M30,"")</f>
        <v/>
      </c>
      <c r="M30" s="80">
        <f>IF(K30&gt;H9,1,(K30-J30)/(H9-J30))</f>
        <v>0</v>
      </c>
      <c r="N30" s="64"/>
      <c r="O30" s="93"/>
    </row>
    <row r="31" spans="2:16" ht="15" customHeight="1" x14ac:dyDescent="0.3">
      <c r="B31" s="51" t="str">
        <f t="shared" si="0"/>
        <v/>
      </c>
      <c r="C31" s="174"/>
      <c r="D31" s="174"/>
      <c r="E31" s="174"/>
      <c r="F31" s="63" t="str">
        <f>IF(H9="",0,IF(AND(E31&gt;=G31,G31&lt;H9,E31&lt;&gt;0),H31*(D31/F37),""))</f>
        <v/>
      </c>
      <c r="G31" s="1" t="str">
        <f>GEOMETRY!F107</f>
        <v/>
      </c>
      <c r="H31" s="80" t="e">
        <f>IF(E31&gt;=H9,1,(E31-G31)/(H9-G31))</f>
        <v>#VALUE!</v>
      </c>
      <c r="I31" s="1">
        <v>10</v>
      </c>
      <c r="J31" s="76"/>
      <c r="K31" s="78"/>
      <c r="L31" s="77" t="str">
        <f>IF(AND(K31&gt;=J31,J31&lt;H9,K31&lt;&gt;0),M31,"")</f>
        <v/>
      </c>
      <c r="M31" s="80">
        <f>IF(K31&gt;H9,1,(K31-J31)/(H9-J31))</f>
        <v>0</v>
      </c>
      <c r="N31" s="64"/>
      <c r="O31" s="93"/>
    </row>
    <row r="32" spans="2:16" ht="15" customHeight="1" x14ac:dyDescent="0.3">
      <c r="B32" s="51" t="str">
        <f t="shared" si="0"/>
        <v/>
      </c>
      <c r="C32" s="174"/>
      <c r="D32" s="174"/>
      <c r="E32" s="174"/>
      <c r="F32" s="63" t="str">
        <f>IF(H9="",0,IF(AND(E32&gt;=G32,G32&lt;H9,E32&lt;&gt;0),H32*(D32/F37),""))</f>
        <v/>
      </c>
      <c r="G32" s="1" t="str">
        <f>GEOMETRY!F108</f>
        <v/>
      </c>
      <c r="H32" s="80" t="e">
        <f>IF(E32&gt;=H9,1,(E32-G32)/(H9-G32))</f>
        <v>#VALUE!</v>
      </c>
      <c r="I32" s="1">
        <v>11</v>
      </c>
      <c r="J32" s="76"/>
      <c r="K32" s="76"/>
      <c r="L32" s="77" t="str">
        <f>IF(AND(K32&gt;=J32,J32&lt;H9,K32&lt;&gt;0),M32,"")</f>
        <v/>
      </c>
      <c r="M32" s="80">
        <f>IF(K32&gt;H9,1,(K32-J32)/(H9-J32))</f>
        <v>0</v>
      </c>
      <c r="N32" s="64"/>
      <c r="O32" s="93"/>
    </row>
    <row r="33" spans="1:31" ht="15" customHeight="1" x14ac:dyDescent="0.3">
      <c r="B33" s="51" t="str">
        <f t="shared" si="0"/>
        <v/>
      </c>
      <c r="C33" s="174"/>
      <c r="D33" s="174"/>
      <c r="E33" s="174"/>
      <c r="F33" s="63" t="str">
        <f>IF(H9="",0,IF(AND(E33&gt;=G33,G33&lt;H9,E33&lt;&gt;0),H33*(D33/F37),""))</f>
        <v/>
      </c>
      <c r="G33" s="1" t="str">
        <f>GEOMETRY!F109</f>
        <v/>
      </c>
      <c r="H33" s="80" t="e">
        <f>IF(E33&gt;=H9,1,(E33-G33)/(H9-G33))</f>
        <v>#VALUE!</v>
      </c>
      <c r="I33" s="1">
        <v>12</v>
      </c>
      <c r="J33" s="76"/>
      <c r="K33" s="76"/>
      <c r="L33" s="77" t="str">
        <f>IF(AND(K33&gt;=J33,J33&lt;H9,K33&lt;&gt;0),M33,"")</f>
        <v/>
      </c>
      <c r="M33" s="80">
        <f>IF(K33&gt;H9,1,(K33-J33)/(H9-J33))</f>
        <v>0</v>
      </c>
      <c r="N33" s="64"/>
      <c r="O33" s="93"/>
    </row>
    <row r="34" spans="1:31" ht="15" customHeight="1" x14ac:dyDescent="0.3">
      <c r="B34" s="51" t="str">
        <f t="shared" si="0"/>
        <v/>
      </c>
      <c r="C34" s="174"/>
      <c r="D34" s="174"/>
      <c r="E34" s="174"/>
      <c r="F34" s="63" t="str">
        <f>IF(H9="",0,IF(AND(E34&gt;=G34,G34&lt;H9,E34&lt;&gt;0),H34*(D34/F37),""))</f>
        <v/>
      </c>
      <c r="G34" s="1" t="str">
        <f>GEOMETRY!F110</f>
        <v/>
      </c>
      <c r="H34" s="80" t="e">
        <f>IF(E34&gt;=H9,1,(E34-G34)/(H9-G34))</f>
        <v>#VALUE!</v>
      </c>
      <c r="I34" s="1">
        <v>13</v>
      </c>
      <c r="J34" s="78"/>
      <c r="K34" s="78"/>
      <c r="L34" s="77" t="str">
        <f>IF(AND(K34&gt;=J34,J34&lt;H9,K34&lt;&gt;0),M34,"")</f>
        <v/>
      </c>
      <c r="M34" s="80">
        <f>IF(K34&gt;H9,1,(K34-J34)/(H9-J34))</f>
        <v>0</v>
      </c>
      <c r="N34" s="64"/>
      <c r="O34" s="93"/>
    </row>
    <row r="35" spans="1:31" ht="15" customHeight="1" x14ac:dyDescent="0.3">
      <c r="B35" s="51" t="str">
        <f t="shared" si="0"/>
        <v/>
      </c>
      <c r="C35" s="174"/>
      <c r="D35" s="174"/>
      <c r="E35" s="174"/>
      <c r="F35" s="63" t="str">
        <f>IF(H9="",0,IF(AND(E35&gt;=G35,G35&lt;H9,E35&lt;&gt;0),H35*(D35/F37),""))</f>
        <v/>
      </c>
      <c r="G35" s="1" t="str">
        <f>GEOMETRY!F111</f>
        <v/>
      </c>
      <c r="H35" s="80" t="e">
        <f>IF(E35&gt;=H9,1,(E35-G35)/(H9-G35))</f>
        <v>#VALUE!</v>
      </c>
      <c r="I35" s="1">
        <v>14</v>
      </c>
      <c r="J35" s="78"/>
      <c r="K35" s="78"/>
      <c r="L35" s="77" t="str">
        <f>IF(AND(K35&gt;=J35,J35&lt;H9,K35&lt;&gt;0),M35,"")</f>
        <v/>
      </c>
      <c r="M35" s="80">
        <f>IF(K35&gt;H9,1,(K35-J35)/(H9-J35))</f>
        <v>0</v>
      </c>
      <c r="N35" s="64"/>
      <c r="O35" s="93"/>
    </row>
    <row r="36" spans="1:31" ht="15" customHeight="1" x14ac:dyDescent="0.3">
      <c r="B36" s="65"/>
      <c r="C36"/>
      <c r="D36"/>
      <c r="E36"/>
      <c r="F36" s="33">
        <f>IF(SUM(F22:F35)=0,0,(SUM(F22:F35)))</f>
        <v>0</v>
      </c>
      <c r="G36" t="s">
        <v>251</v>
      </c>
      <c r="H36"/>
      <c r="I36"/>
      <c r="J36" s="3"/>
      <c r="K36" s="6" t="s">
        <v>249</v>
      </c>
      <c r="L36" s="79">
        <f>IF(SUM(L22:L35)=0,0.00000001,(SUM(L22:L35)/(COUNT(L22:L35))))</f>
        <v>1E-8</v>
      </c>
      <c r="M36" s="79"/>
      <c r="N36" s="52"/>
    </row>
    <row r="37" spans="1:31" ht="15" customHeight="1" x14ac:dyDescent="0.3">
      <c r="B37" s="51" t="str">
        <f>IF(AND(F36&gt;0,F36&lt;1),"*","")</f>
        <v/>
      </c>
      <c r="C37" s="315" t="str">
        <f>IF(B37="*","May Require WSDOT Dev. Approval","")</f>
        <v/>
      </c>
      <c r="D37"/>
      <c r="E37"/>
      <c r="F37" s="6">
        <f>SUM(D22:D35)</f>
        <v>0</v>
      </c>
      <c r="G37" t="s">
        <v>252</v>
      </c>
      <c r="H37"/>
      <c r="I37"/>
      <c r="J37"/>
      <c r="K37"/>
      <c r="L37"/>
      <c r="M37"/>
      <c r="N37" s="53"/>
      <c r="O37" s="92"/>
    </row>
    <row r="38" spans="1:31" ht="13.5" thickBot="1" x14ac:dyDescent="0.35">
      <c r="B38" s="60"/>
      <c r="C38" s="54"/>
      <c r="D38" s="54"/>
      <c r="E38" s="54"/>
      <c r="F38" s="66"/>
      <c r="G38" s="54"/>
      <c r="H38" s="54"/>
      <c r="I38" s="54"/>
      <c r="J38" s="54"/>
      <c r="K38" s="219"/>
      <c r="L38" s="54"/>
      <c r="M38" s="54"/>
      <c r="N38" s="55"/>
    </row>
    <row r="39" spans="1:31" x14ac:dyDescent="0.3">
      <c r="E39" s="90"/>
      <c r="J39" s="89"/>
      <c r="K39" s="91"/>
    </row>
    <row r="41" spans="1:31" x14ac:dyDescent="0.3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</row>
    <row r="42" spans="1:31" x14ac:dyDescent="0.3">
      <c r="A42" s="487"/>
      <c r="B42" s="220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221"/>
      <c r="P42" s="89"/>
    </row>
    <row r="43" spans="1:31" x14ac:dyDescent="0.3">
      <c r="A43" s="487"/>
      <c r="B43" s="206"/>
      <c r="C43" s="222" t="s">
        <v>274</v>
      </c>
      <c r="D43" s="181"/>
      <c r="E43" s="181"/>
      <c r="F43" s="181"/>
      <c r="G43" s="181"/>
      <c r="H43" s="181"/>
      <c r="I43" s="202"/>
      <c r="J43" s="202"/>
      <c r="K43" s="223" t="s">
        <v>172</v>
      </c>
      <c r="L43" s="181"/>
      <c r="M43" s="224"/>
      <c r="N43" s="181"/>
      <c r="O43" s="218"/>
      <c r="P43" s="89"/>
      <c r="Q43" s="89"/>
      <c r="T43" s="89"/>
      <c r="U43" s="474" t="s">
        <v>170</v>
      </c>
      <c r="V43" s="474"/>
      <c r="W43" s="474"/>
      <c r="X43" s="474"/>
      <c r="Y43" s="474"/>
      <c r="Z43" s="474"/>
      <c r="AA43" s="474"/>
      <c r="AB43" s="474"/>
      <c r="AC43" s="474"/>
      <c r="AD43" s="89"/>
    </row>
    <row r="44" spans="1:31" x14ac:dyDescent="0.3">
      <c r="A44" s="487"/>
      <c r="B44" s="206"/>
      <c r="C44" s="181"/>
      <c r="D44" s="181"/>
      <c r="E44" s="181"/>
      <c r="F44" s="181"/>
      <c r="G44" s="181"/>
      <c r="H44" s="181"/>
      <c r="I44" s="202"/>
      <c r="J44" s="202"/>
      <c r="K44" s="181"/>
      <c r="L44" s="181"/>
      <c r="M44" s="224"/>
      <c r="N44" s="181"/>
      <c r="O44" s="218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1:31" x14ac:dyDescent="0.3">
      <c r="A45" s="487"/>
      <c r="B45" s="206"/>
      <c r="C45" s="225">
        <f>GEOMETRY!K6</f>
        <v>18</v>
      </c>
      <c r="D45" s="226" t="s">
        <v>275</v>
      </c>
      <c r="E45" s="181"/>
      <c r="F45" s="181"/>
      <c r="G45" s="181"/>
      <c r="H45" s="181"/>
      <c r="I45" s="181"/>
      <c r="J45" s="202"/>
      <c r="K45" s="225">
        <f>GEOMETRY!K7</f>
        <v>20</v>
      </c>
      <c r="L45" s="224" t="s">
        <v>180</v>
      </c>
      <c r="M45" s="224"/>
      <c r="N45" s="181"/>
      <c r="O45" s="218"/>
      <c r="P45" s="89"/>
      <c r="Q45" s="89"/>
      <c r="R45" s="89"/>
      <c r="S45" s="89"/>
      <c r="T45" s="89"/>
      <c r="U45" s="91"/>
      <c r="V45" s="165" t="s">
        <v>278</v>
      </c>
      <c r="W45" s="91"/>
      <c r="X45" s="91"/>
      <c r="Y45" s="89"/>
      <c r="Z45" s="89"/>
      <c r="AA45" s="91"/>
      <c r="AB45" s="165" t="s">
        <v>277</v>
      </c>
      <c r="AC45" s="91"/>
      <c r="AD45" s="91"/>
      <c r="AE45" s="89"/>
    </row>
    <row r="46" spans="1:31" x14ac:dyDescent="0.3">
      <c r="A46" s="487"/>
      <c r="B46" s="206"/>
      <c r="C46" s="224"/>
      <c r="D46" s="224"/>
      <c r="E46" s="181"/>
      <c r="F46" s="181"/>
      <c r="G46" s="181"/>
      <c r="H46" s="181"/>
      <c r="I46" s="181"/>
      <c r="J46" s="202"/>
      <c r="K46" s="181"/>
      <c r="L46" s="181"/>
      <c r="M46" s="224"/>
      <c r="N46" s="181"/>
      <c r="O46" s="218"/>
      <c r="P46" s="89"/>
      <c r="Q46" s="89"/>
      <c r="R46" s="89"/>
      <c r="S46" s="89"/>
      <c r="T46" s="89"/>
      <c r="U46" s="89"/>
      <c r="V46" s="89"/>
      <c r="W46" s="89"/>
      <c r="X46" s="89"/>
      <c r="Y46" s="91"/>
      <c r="Z46" s="89"/>
      <c r="AA46" s="89"/>
      <c r="AB46" s="89"/>
      <c r="AC46" s="89"/>
      <c r="AD46" s="89"/>
      <c r="AE46" s="89"/>
    </row>
    <row r="47" spans="1:31" x14ac:dyDescent="0.3">
      <c r="A47" s="487"/>
      <c r="B47" s="206"/>
      <c r="C47" s="225">
        <f>GEOMETRY!L6</f>
        <v>20</v>
      </c>
      <c r="D47" s="226" t="s">
        <v>276</v>
      </c>
      <c r="E47" s="181"/>
      <c r="F47" s="181"/>
      <c r="G47" s="181"/>
      <c r="H47" s="181"/>
      <c r="I47" s="181"/>
      <c r="J47" s="202"/>
      <c r="K47" s="225">
        <f>GEOMETRY!L7</f>
        <v>24</v>
      </c>
      <c r="L47" s="224" t="s">
        <v>182</v>
      </c>
      <c r="M47" s="224"/>
      <c r="N47" s="181"/>
      <c r="O47" s="218"/>
      <c r="P47" s="89"/>
      <c r="Q47" s="89"/>
      <c r="R47" s="89"/>
      <c r="S47" s="89"/>
      <c r="T47" s="92" t="s">
        <v>173</v>
      </c>
      <c r="U47" s="89"/>
      <c r="V47" s="91" t="s">
        <v>174</v>
      </c>
      <c r="Y47" s="91"/>
      <c r="Z47" s="92" t="s">
        <v>173</v>
      </c>
      <c r="AA47" s="89"/>
      <c r="AB47" s="91" t="s">
        <v>175</v>
      </c>
      <c r="AE47" s="89"/>
    </row>
    <row r="48" spans="1:31" x14ac:dyDescent="0.3">
      <c r="A48" s="487"/>
      <c r="B48" s="206"/>
      <c r="C48" s="224"/>
      <c r="D48" s="224"/>
      <c r="E48" s="181"/>
      <c r="F48" s="181"/>
      <c r="G48" s="181"/>
      <c r="H48" s="181"/>
      <c r="I48" s="181"/>
      <c r="J48" s="202"/>
      <c r="K48" s="181"/>
      <c r="L48" s="224"/>
      <c r="M48" s="224"/>
      <c r="N48" s="181"/>
      <c r="O48" s="218"/>
      <c r="P48" s="89"/>
      <c r="Q48" s="89"/>
      <c r="R48" s="89"/>
      <c r="S48" s="89"/>
      <c r="T48" s="92" t="s">
        <v>176</v>
      </c>
      <c r="U48" s="166" t="s">
        <v>177</v>
      </c>
      <c r="V48" s="166" t="s">
        <v>178</v>
      </c>
      <c r="W48" s="166" t="s">
        <v>179</v>
      </c>
      <c r="X48" s="166" t="s">
        <v>69</v>
      </c>
      <c r="Y48" s="91"/>
      <c r="Z48" s="92" t="s">
        <v>176</v>
      </c>
      <c r="AA48" s="166" t="s">
        <v>177</v>
      </c>
      <c r="AB48" s="166" t="s">
        <v>178</v>
      </c>
      <c r="AC48" s="166" t="s">
        <v>179</v>
      </c>
      <c r="AD48" s="166" t="s">
        <v>69</v>
      </c>
      <c r="AE48" s="89"/>
    </row>
    <row r="49" spans="1:31" x14ac:dyDescent="0.3">
      <c r="A49" s="487"/>
      <c r="B49" s="206"/>
      <c r="C49" s="226" t="s">
        <v>447</v>
      </c>
      <c r="D49" s="224"/>
      <c r="E49" s="181"/>
      <c r="F49" s="181"/>
      <c r="G49" s="181"/>
      <c r="H49" s="181"/>
      <c r="I49" s="181"/>
      <c r="J49" s="202"/>
      <c r="K49" s="226" t="s">
        <v>447</v>
      </c>
      <c r="L49" s="224"/>
      <c r="M49" s="224"/>
      <c r="N49" s="224"/>
      <c r="O49" s="218"/>
      <c r="P49" s="89"/>
      <c r="Q49" s="89"/>
      <c r="R49" s="89"/>
      <c r="S49" s="89"/>
      <c r="T49" s="89"/>
      <c r="U49" s="89"/>
      <c r="V49" s="89"/>
      <c r="W49" s="89"/>
      <c r="X49" s="89"/>
      <c r="Y49" s="91"/>
      <c r="Z49" s="89"/>
      <c r="AA49" s="89"/>
      <c r="AB49" s="89"/>
      <c r="AC49" s="89"/>
      <c r="AD49" s="89"/>
      <c r="AE49" s="89"/>
    </row>
    <row r="50" spans="1:31" x14ac:dyDescent="0.3">
      <c r="A50" s="487"/>
      <c r="B50" s="206"/>
      <c r="C50" s="224"/>
      <c r="D50" s="224"/>
      <c r="E50" s="181"/>
      <c r="F50" s="181"/>
      <c r="G50" s="181"/>
      <c r="H50" s="181"/>
      <c r="I50" s="181"/>
      <c r="J50" s="202"/>
      <c r="K50" s="181"/>
      <c r="L50" s="181"/>
      <c r="M50" s="224"/>
      <c r="N50" s="224"/>
      <c r="O50" s="218"/>
      <c r="P50" s="89"/>
      <c r="Q50" s="89"/>
      <c r="R50" s="89"/>
      <c r="S50" s="89"/>
      <c r="T50" s="91">
        <v>20</v>
      </c>
      <c r="U50" s="91">
        <v>20</v>
      </c>
      <c r="V50" s="91">
        <v>20</v>
      </c>
      <c r="W50" s="91">
        <v>22</v>
      </c>
      <c r="X50" s="91">
        <v>24</v>
      </c>
      <c r="Y50" s="91"/>
      <c r="Z50" s="92" t="s">
        <v>181</v>
      </c>
      <c r="AA50" s="91">
        <v>2</v>
      </c>
      <c r="AB50" s="91">
        <v>4</v>
      </c>
      <c r="AC50" s="91">
        <v>6</v>
      </c>
      <c r="AD50" s="91">
        <v>8</v>
      </c>
      <c r="AE50" s="89"/>
    </row>
    <row r="51" spans="1:31" x14ac:dyDescent="0.3">
      <c r="A51" s="487"/>
      <c r="B51" s="206"/>
      <c r="C51" s="227">
        <f>IF(GEOMETRY!V91="","",C57)</f>
        <v>24</v>
      </c>
      <c r="D51" s="224" t="s">
        <v>185</v>
      </c>
      <c r="E51" s="181"/>
      <c r="F51" s="181"/>
      <c r="G51" s="181"/>
      <c r="H51" s="181"/>
      <c r="I51" s="181"/>
      <c r="J51" s="202"/>
      <c r="K51" s="228">
        <f>IF(GEOMETRY!V91="","",J57)</f>
        <v>40</v>
      </c>
      <c r="L51" s="224" t="s">
        <v>184</v>
      </c>
      <c r="M51" s="224"/>
      <c r="N51" s="224"/>
      <c r="O51" s="218"/>
      <c r="P51" s="89"/>
      <c r="Q51" s="89"/>
      <c r="R51" s="89"/>
      <c r="S51" s="89"/>
      <c r="T51" s="91">
        <v>25</v>
      </c>
      <c r="U51" s="91">
        <v>20</v>
      </c>
      <c r="V51" s="91">
        <v>20</v>
      </c>
      <c r="W51" s="91">
        <v>22</v>
      </c>
      <c r="X51" s="91">
        <v>24</v>
      </c>
      <c r="Y51" s="91"/>
      <c r="Z51" s="91"/>
      <c r="AA51" s="91"/>
      <c r="AB51" s="91"/>
      <c r="AC51" s="91"/>
      <c r="AD51" s="91"/>
      <c r="AE51" s="89"/>
    </row>
    <row r="52" spans="1:31" x14ac:dyDescent="0.3">
      <c r="A52" s="487"/>
      <c r="B52" s="206"/>
      <c r="C52" s="181"/>
      <c r="D52" s="181"/>
      <c r="E52" s="181"/>
      <c r="F52" s="229"/>
      <c r="G52" s="181"/>
      <c r="H52" s="181"/>
      <c r="I52" s="181"/>
      <c r="J52" s="181"/>
      <c r="K52" s="181"/>
      <c r="L52" s="181"/>
      <c r="M52" s="229"/>
      <c r="N52" s="181"/>
      <c r="O52" s="218"/>
      <c r="P52" s="89"/>
      <c r="Q52" s="89"/>
      <c r="R52" s="89"/>
      <c r="S52" s="89"/>
      <c r="T52" s="91">
        <v>30</v>
      </c>
      <c r="U52" s="91">
        <v>20</v>
      </c>
      <c r="V52" s="91">
        <v>20</v>
      </c>
      <c r="W52" s="91">
        <v>22</v>
      </c>
      <c r="X52" s="91">
        <v>24</v>
      </c>
      <c r="Y52" s="91"/>
      <c r="Z52" s="91"/>
      <c r="AA52" s="91"/>
      <c r="AB52" s="91"/>
      <c r="AC52" s="89"/>
      <c r="AD52" s="89"/>
      <c r="AE52" s="89"/>
    </row>
    <row r="53" spans="1:31" x14ac:dyDescent="0.3">
      <c r="A53" s="487"/>
      <c r="B53" s="206"/>
      <c r="C53" s="181"/>
      <c r="D53" s="163"/>
      <c r="E53" s="181"/>
      <c r="F53" s="181"/>
      <c r="G53" s="230"/>
      <c r="H53" s="230"/>
      <c r="I53" s="216"/>
      <c r="J53" s="224"/>
      <c r="K53" s="224"/>
      <c r="L53" s="224"/>
      <c r="M53" s="224"/>
      <c r="N53" s="224"/>
      <c r="O53" s="218"/>
      <c r="P53" s="89"/>
      <c r="Q53" s="89"/>
      <c r="R53" s="89"/>
      <c r="S53" s="89"/>
      <c r="T53" s="91">
        <v>35</v>
      </c>
      <c r="U53" s="91">
        <v>20</v>
      </c>
      <c r="V53" s="91">
        <v>22</v>
      </c>
      <c r="W53" s="91">
        <v>22</v>
      </c>
      <c r="X53" s="91">
        <v>24</v>
      </c>
      <c r="Y53" s="91"/>
      <c r="Z53" s="91"/>
      <c r="AA53" s="91"/>
      <c r="AB53" s="91"/>
      <c r="AC53" s="89"/>
      <c r="AD53" s="89"/>
      <c r="AE53" s="89"/>
    </row>
    <row r="54" spans="1:31" x14ac:dyDescent="0.3">
      <c r="A54" s="487"/>
      <c r="B54" s="206"/>
      <c r="C54" s="481" t="s">
        <v>171</v>
      </c>
      <c r="D54" s="482"/>
      <c r="E54" s="482"/>
      <c r="F54" s="482"/>
      <c r="G54" s="231"/>
      <c r="H54" s="232"/>
      <c r="I54" s="217"/>
      <c r="J54" s="481" t="s">
        <v>171</v>
      </c>
      <c r="K54" s="482"/>
      <c r="L54" s="482"/>
      <c r="M54" s="482"/>
      <c r="N54" s="231"/>
      <c r="O54" s="218"/>
      <c r="P54" s="89"/>
      <c r="Q54" s="89"/>
      <c r="R54" s="89"/>
      <c r="S54" s="89"/>
      <c r="T54" s="91">
        <v>40</v>
      </c>
      <c r="U54" s="91">
        <v>20</v>
      </c>
      <c r="V54" s="91">
        <v>22</v>
      </c>
      <c r="W54" s="91">
        <v>22</v>
      </c>
      <c r="X54" s="91">
        <v>24</v>
      </c>
      <c r="Y54" s="91"/>
      <c r="Z54" s="91"/>
      <c r="AA54" s="91"/>
      <c r="AB54" s="91"/>
      <c r="AC54" s="89"/>
      <c r="AD54" s="89"/>
      <c r="AE54" s="89"/>
    </row>
    <row r="55" spans="1:31" x14ac:dyDescent="0.3">
      <c r="A55" s="487"/>
      <c r="B55" s="206"/>
      <c r="C55" s="233"/>
      <c r="D55" s="163" t="s">
        <v>321</v>
      </c>
      <c r="E55" s="181"/>
      <c r="F55" s="181"/>
      <c r="G55" s="218"/>
      <c r="H55" s="181"/>
      <c r="I55" s="217"/>
      <c r="J55" s="233"/>
      <c r="K55" s="163"/>
      <c r="L55" s="181" t="s">
        <v>320</v>
      </c>
      <c r="M55" s="181"/>
      <c r="N55" s="218"/>
      <c r="O55" s="218"/>
      <c r="P55" s="89"/>
      <c r="Q55" s="89"/>
      <c r="R55" s="89"/>
      <c r="S55" s="89"/>
      <c r="T55" s="91">
        <v>45</v>
      </c>
      <c r="U55" s="91">
        <v>20</v>
      </c>
      <c r="V55" s="91">
        <v>22</v>
      </c>
      <c r="W55" s="91">
        <v>22</v>
      </c>
      <c r="X55" s="91">
        <v>24</v>
      </c>
      <c r="Y55" s="91"/>
      <c r="Z55" s="91"/>
      <c r="AA55" s="91"/>
      <c r="AB55" s="91"/>
      <c r="AC55" s="89"/>
      <c r="AD55" s="89"/>
      <c r="AE55" s="89"/>
    </row>
    <row r="56" spans="1:31" x14ac:dyDescent="0.3">
      <c r="A56" s="487"/>
      <c r="B56" s="206"/>
      <c r="C56" s="234" t="s">
        <v>177</v>
      </c>
      <c r="D56" s="235" t="s">
        <v>178</v>
      </c>
      <c r="E56" s="235" t="s">
        <v>179</v>
      </c>
      <c r="F56" s="235" t="s">
        <v>69</v>
      </c>
      <c r="G56" s="236"/>
      <c r="H56" s="237"/>
      <c r="I56" s="217"/>
      <c r="J56" s="238" t="s">
        <v>177</v>
      </c>
      <c r="K56" s="235" t="s">
        <v>178</v>
      </c>
      <c r="L56" s="235" t="s">
        <v>179</v>
      </c>
      <c r="M56" s="235" t="s">
        <v>69</v>
      </c>
      <c r="N56" s="236"/>
      <c r="O56" s="218"/>
      <c r="P56" s="89"/>
      <c r="Q56" s="89"/>
      <c r="R56" s="89"/>
      <c r="S56" s="89"/>
      <c r="T56" s="91">
        <v>50</v>
      </c>
      <c r="U56" s="91">
        <v>20</v>
      </c>
      <c r="V56" s="91">
        <v>22</v>
      </c>
      <c r="W56" s="91">
        <v>22</v>
      </c>
      <c r="X56" s="91">
        <v>24</v>
      </c>
      <c r="Y56" s="89"/>
      <c r="Z56" s="89"/>
      <c r="AA56" s="89"/>
      <c r="AB56" s="89"/>
      <c r="AC56" s="89"/>
      <c r="AD56" s="89"/>
      <c r="AE56" s="89"/>
    </row>
    <row r="57" spans="1:31" x14ac:dyDescent="0.3">
      <c r="A57" s="487"/>
      <c r="B57" s="206"/>
      <c r="C57" s="239">
        <f>IF(AND(GEOMETRY!V91&lt;=50,'TRAFFIC &amp; ACCIDENTS'!E33&lt;400),20,C58)</f>
        <v>24</v>
      </c>
      <c r="D57" s="240">
        <f>IF(AND(GEOMETRY!V91&lt;=30,'TRAFFIC &amp; ACCIDENTS'!E33&lt;1501),20,D58)</f>
        <v>24</v>
      </c>
      <c r="E57" s="240">
        <f>IF(AND(GEOMETRY!V91&lt;=50,'TRAFFIC &amp; ACCIDENTS'!E33&lt;=2000),22,E58)</f>
        <v>24</v>
      </c>
      <c r="F57" s="240">
        <f>IF('TRAFFIC &amp; ACCIDENTS'!E33&gt;2000,24,0)</f>
        <v>24</v>
      </c>
      <c r="G57" s="236"/>
      <c r="H57" s="237"/>
      <c r="I57" s="217"/>
      <c r="J57" s="195">
        <f>IF(AND(GEOMETRY!V91&lt;=50,'TRAFFIC &amp; ACCIDENTS'!E33&lt;400),24,J58)</f>
        <v>40</v>
      </c>
      <c r="K57" s="240">
        <f>IF(AND(GEOMETRY!V91&lt;=30,'TRAFFIC &amp; ACCIDENTS'!E33&lt;1501),28,K58)</f>
        <v>40</v>
      </c>
      <c r="L57" s="240">
        <f>IF(AND(GEOMETRY!V91&lt;=50,'TRAFFIC &amp; ACCIDENTS'!E33&lt;=2000),34,L58)</f>
        <v>40</v>
      </c>
      <c r="M57" s="240">
        <f>IF('TRAFFIC &amp; ACCIDENTS'!E33&gt;2000,40,0)</f>
        <v>40</v>
      </c>
      <c r="N57" s="236"/>
      <c r="O57" s="218"/>
      <c r="P57" s="89"/>
      <c r="Q57" s="89"/>
      <c r="R57" s="89"/>
      <c r="S57" s="89"/>
      <c r="T57" s="91">
        <v>55</v>
      </c>
      <c r="U57" s="91">
        <v>22</v>
      </c>
      <c r="V57" s="91">
        <v>22</v>
      </c>
      <c r="W57" s="91">
        <v>24</v>
      </c>
      <c r="X57" s="91">
        <v>24</v>
      </c>
      <c r="Y57" s="89"/>
      <c r="Z57" s="89"/>
      <c r="AA57" s="89"/>
      <c r="AB57" s="89"/>
      <c r="AC57" s="89"/>
      <c r="AD57" s="89"/>
      <c r="AE57" s="89"/>
    </row>
    <row r="58" spans="1:31" x14ac:dyDescent="0.3">
      <c r="A58" s="487"/>
      <c r="B58" s="206"/>
      <c r="C58" s="241">
        <f>IF(AND(GEOMETRY!V91&gt;50,'TRAFFIC &amp; ACCIDENTS'!E33&lt;400),22,D57)</f>
        <v>24</v>
      </c>
      <c r="D58" s="240">
        <f>IF(AND(GEOMETRY!V91&gt;=35,'TRAFFIC &amp; ACCIDENTS'!E33&lt;1501),22,E57)</f>
        <v>24</v>
      </c>
      <c r="E58" s="240">
        <f>IF(AND(GEOMETRY!V91&gt;=55,'TRAFFIC &amp; ACCIDENTS'!E33&lt;=2001),24,F57)</f>
        <v>24</v>
      </c>
      <c r="F58" s="242"/>
      <c r="G58" s="236"/>
      <c r="H58" s="237"/>
      <c r="I58" s="218"/>
      <c r="J58" s="203">
        <f>IF(AND(GEOMETRY!V91&gt;50,'TRAFFIC &amp; ACCIDENTS'!E33&lt;400),26,K57)</f>
        <v>40</v>
      </c>
      <c r="K58" s="240">
        <f>IF(AND(GEOMETRY!V91&gt;=35,'TRAFFIC &amp; ACCIDENTS'!E33&lt;1501),30,L57)</f>
        <v>40</v>
      </c>
      <c r="L58" s="240">
        <f>IF(AND(GEOMETRY!V91&gt;=55,'TRAFFIC &amp; ACCIDENTS'!E33&lt;=2000),36,M57)</f>
        <v>40</v>
      </c>
      <c r="M58" s="242"/>
      <c r="N58" s="236"/>
      <c r="O58" s="218"/>
      <c r="P58" s="89"/>
      <c r="Q58" s="89"/>
      <c r="R58" s="89"/>
      <c r="S58" s="89"/>
      <c r="T58" s="91">
        <v>60</v>
      </c>
      <c r="U58" s="91">
        <v>22</v>
      </c>
      <c r="V58" s="91">
        <v>22</v>
      </c>
      <c r="W58" s="91">
        <v>24</v>
      </c>
      <c r="X58" s="91">
        <v>24</v>
      </c>
      <c r="AA58" s="89"/>
      <c r="AB58" s="243"/>
      <c r="AC58" s="244"/>
      <c r="AD58" s="89"/>
      <c r="AE58" s="89"/>
    </row>
    <row r="59" spans="1:31" x14ac:dyDescent="0.3">
      <c r="A59" s="487"/>
      <c r="B59" s="206"/>
      <c r="C59" s="238"/>
      <c r="D59" s="245"/>
      <c r="E59" s="245"/>
      <c r="F59" s="246"/>
      <c r="G59" s="247"/>
      <c r="H59" s="181"/>
      <c r="I59" s="218"/>
      <c r="J59" s="238"/>
      <c r="K59" s="245"/>
      <c r="L59" s="245"/>
      <c r="M59" s="246"/>
      <c r="N59" s="247"/>
      <c r="O59" s="218"/>
      <c r="P59" s="89"/>
      <c r="Q59" s="89"/>
      <c r="R59" s="89"/>
      <c r="S59" s="89"/>
      <c r="T59" s="91"/>
      <c r="U59" s="91"/>
      <c r="V59" s="91"/>
      <c r="W59" s="91"/>
      <c r="X59" s="91"/>
      <c r="AA59" s="89"/>
      <c r="AB59" s="243"/>
      <c r="AC59" s="244"/>
      <c r="AD59" s="89"/>
      <c r="AE59" s="89"/>
    </row>
    <row r="60" spans="1:31" x14ac:dyDescent="0.3">
      <c r="A60" s="487"/>
      <c r="B60" s="206"/>
      <c r="C60" s="181"/>
      <c r="D60" s="181"/>
      <c r="E60" s="181"/>
      <c r="F60" s="181"/>
      <c r="G60" s="181"/>
      <c r="H60" s="181"/>
      <c r="I60" s="163"/>
      <c r="J60" s="181"/>
      <c r="K60" s="181"/>
      <c r="L60" s="181"/>
      <c r="M60" s="181"/>
      <c r="N60" s="181"/>
      <c r="O60" s="218"/>
      <c r="P60" s="89"/>
      <c r="Q60" s="89"/>
      <c r="R60" s="89"/>
      <c r="S60" s="89"/>
      <c r="T60" s="91"/>
      <c r="U60" s="91"/>
      <c r="V60" s="91"/>
      <c r="W60" s="91"/>
      <c r="X60" s="91"/>
      <c r="AA60" s="89"/>
      <c r="AB60" s="243"/>
      <c r="AC60" s="244"/>
      <c r="AD60" s="89"/>
      <c r="AE60" s="89"/>
    </row>
    <row r="61" spans="1:31" ht="13.5" thickBot="1" x14ac:dyDescent="0.35">
      <c r="A61" s="487"/>
      <c r="B61" s="206"/>
      <c r="C61" s="490" t="s">
        <v>271</v>
      </c>
      <c r="D61" s="490"/>
      <c r="E61" s="248" t="s">
        <v>272</v>
      </c>
      <c r="F61" s="248" t="s">
        <v>273</v>
      </c>
      <c r="G61" s="181"/>
      <c r="H61" s="181"/>
      <c r="I61" s="202"/>
      <c r="J61" s="249" t="s">
        <v>271</v>
      </c>
      <c r="K61" s="249"/>
      <c r="L61" s="248" t="s">
        <v>272</v>
      </c>
      <c r="M61" s="248" t="s">
        <v>273</v>
      </c>
      <c r="N61" s="181"/>
      <c r="O61" s="218"/>
      <c r="P61" s="89"/>
      <c r="Q61" s="89"/>
      <c r="R61" s="89"/>
      <c r="S61" s="89"/>
      <c r="T61" s="89"/>
      <c r="U61" s="91"/>
      <c r="V61" s="165" t="s">
        <v>183</v>
      </c>
      <c r="W61" s="91"/>
      <c r="X61" s="91"/>
      <c r="AA61" s="89"/>
      <c r="AB61" s="243"/>
      <c r="AC61" s="244"/>
      <c r="AD61" s="89"/>
      <c r="AE61" s="89"/>
    </row>
    <row r="62" spans="1:31" ht="14" thickTop="1" thickBot="1" x14ac:dyDescent="0.35">
      <c r="A62" s="487"/>
      <c r="B62" s="206"/>
      <c r="C62" s="181"/>
      <c r="D62" s="181">
        <v>0</v>
      </c>
      <c r="E62" s="163">
        <v>0</v>
      </c>
      <c r="F62" s="250">
        <f>IF(OR(C47-C45&lt;=D62,C45&gt;=C51),E62,F63)</f>
        <v>10</v>
      </c>
      <c r="G62" s="181"/>
      <c r="H62" s="181"/>
      <c r="I62" s="181"/>
      <c r="J62" s="181"/>
      <c r="K62" s="181">
        <v>0</v>
      </c>
      <c r="L62" s="163">
        <v>0</v>
      </c>
      <c r="M62" s="251">
        <f>IF(OR(K47-K45&lt;=K62,K45&gt;=K51),L62,M63)</f>
        <v>10</v>
      </c>
      <c r="N62" s="181"/>
      <c r="O62" s="218"/>
      <c r="P62" s="91"/>
      <c r="Q62" s="91"/>
      <c r="R62" s="89"/>
      <c r="S62" s="89"/>
      <c r="T62" s="89"/>
      <c r="U62" s="89"/>
      <c r="V62" s="89"/>
      <c r="W62" s="89"/>
      <c r="X62" s="89"/>
      <c r="AA62" s="89"/>
      <c r="AB62" s="243"/>
      <c r="AC62" s="244"/>
      <c r="AD62" s="89"/>
      <c r="AE62" s="89"/>
    </row>
    <row r="63" spans="1:31" ht="13.5" thickTop="1" x14ac:dyDescent="0.3">
      <c r="A63" s="487"/>
      <c r="B63" s="206"/>
      <c r="C63" s="181"/>
      <c r="D63" s="252">
        <v>1</v>
      </c>
      <c r="E63" s="163">
        <v>2</v>
      </c>
      <c r="F63" s="248">
        <f>IF(C51-C45&lt;=D63,E63,F64)</f>
        <v>10</v>
      </c>
      <c r="G63" s="181"/>
      <c r="H63" s="181"/>
      <c r="I63" s="202"/>
      <c r="J63" s="181"/>
      <c r="K63" s="252">
        <v>2</v>
      </c>
      <c r="L63" s="163">
        <v>2</v>
      </c>
      <c r="M63" s="248">
        <f>IF(K51-K45&lt;=K63,L63,M64)</f>
        <v>10</v>
      </c>
      <c r="N63" s="181"/>
      <c r="O63" s="218"/>
      <c r="P63" s="91"/>
      <c r="Q63" s="91"/>
      <c r="R63" s="89"/>
      <c r="S63" s="89"/>
      <c r="T63" s="92" t="s">
        <v>173</v>
      </c>
      <c r="U63" s="89"/>
      <c r="V63" s="91" t="s">
        <v>174</v>
      </c>
      <c r="Y63" s="244"/>
      <c r="Z63" s="89"/>
      <c r="AA63" s="89"/>
      <c r="AE63" s="89"/>
    </row>
    <row r="64" spans="1:31" x14ac:dyDescent="0.3">
      <c r="A64" s="487"/>
      <c r="B64" s="206"/>
      <c r="C64" s="181"/>
      <c r="D64" s="252">
        <v>2</v>
      </c>
      <c r="E64" s="163">
        <v>5</v>
      </c>
      <c r="F64" s="163">
        <f>IF(C51-C45&lt;=D64,E64,F65)</f>
        <v>10</v>
      </c>
      <c r="G64" s="181"/>
      <c r="H64" s="181"/>
      <c r="I64" s="181"/>
      <c r="J64" s="181"/>
      <c r="K64" s="252">
        <v>4</v>
      </c>
      <c r="L64" s="163">
        <v>5</v>
      </c>
      <c r="M64" s="163">
        <f>IF(K51-K45&lt;=K64,L64,M65)</f>
        <v>10</v>
      </c>
      <c r="N64" s="181"/>
      <c r="O64" s="218"/>
      <c r="P64" s="91"/>
      <c r="Q64" s="91"/>
      <c r="R64" s="89"/>
      <c r="S64" s="89"/>
      <c r="T64" s="92" t="s">
        <v>176</v>
      </c>
      <c r="U64" s="166" t="s">
        <v>177</v>
      </c>
      <c r="V64" s="166" t="s">
        <v>178</v>
      </c>
      <c r="W64" s="166" t="s">
        <v>179</v>
      </c>
      <c r="X64" s="166" t="s">
        <v>69</v>
      </c>
      <c r="Y64" s="244"/>
      <c r="Z64" s="89"/>
      <c r="AA64" s="89"/>
      <c r="AE64" s="89"/>
    </row>
    <row r="65" spans="1:33" x14ac:dyDescent="0.3">
      <c r="A65" s="487"/>
      <c r="B65" s="206"/>
      <c r="C65" s="181"/>
      <c r="D65" s="252">
        <v>3</v>
      </c>
      <c r="E65" s="163">
        <v>7</v>
      </c>
      <c r="F65" s="163">
        <f>IF(C51-C45&lt;=D65,E65,F66)</f>
        <v>10</v>
      </c>
      <c r="G65" s="181"/>
      <c r="H65" s="181"/>
      <c r="I65" s="181"/>
      <c r="J65" s="181"/>
      <c r="K65" s="252">
        <v>6</v>
      </c>
      <c r="L65" s="163">
        <v>7</v>
      </c>
      <c r="M65" s="163">
        <f>IF(K51-K45&lt;=K65,L65,M66)</f>
        <v>10</v>
      </c>
      <c r="N65" s="181"/>
      <c r="O65" s="218"/>
      <c r="P65" s="91"/>
      <c r="Q65" s="91"/>
      <c r="R65" s="91"/>
      <c r="S65" s="91"/>
      <c r="T65" s="89"/>
      <c r="U65" s="89"/>
      <c r="V65" s="89"/>
      <c r="W65" s="89"/>
      <c r="X65" s="89"/>
      <c r="Y65" s="244"/>
      <c r="Z65" s="89"/>
      <c r="AA65" s="89"/>
    </row>
    <row r="66" spans="1:33" x14ac:dyDescent="0.3">
      <c r="A66" s="487"/>
      <c r="B66" s="206"/>
      <c r="C66" s="181"/>
      <c r="D66" s="252">
        <v>4</v>
      </c>
      <c r="E66" s="163">
        <v>8</v>
      </c>
      <c r="F66" s="163">
        <f>IF(C51-C45&lt;=D66,E66,F67)</f>
        <v>10</v>
      </c>
      <c r="G66" s="181"/>
      <c r="H66" s="181"/>
      <c r="I66" s="181"/>
      <c r="J66" s="181"/>
      <c r="K66" s="252">
        <v>8</v>
      </c>
      <c r="L66" s="163">
        <v>8</v>
      </c>
      <c r="M66" s="163">
        <f>IF(K51-K45&lt;=K66,L66,M67)</f>
        <v>10</v>
      </c>
      <c r="N66" s="181"/>
      <c r="O66" s="218"/>
      <c r="P66" s="91"/>
      <c r="Q66" s="91"/>
      <c r="R66" s="91"/>
      <c r="S66" s="91"/>
      <c r="T66" s="91">
        <v>40</v>
      </c>
      <c r="U66" s="91">
        <v>22</v>
      </c>
      <c r="V66" s="91">
        <v>22</v>
      </c>
      <c r="W66" s="91">
        <v>22</v>
      </c>
      <c r="X66" s="91">
        <v>24</v>
      </c>
      <c r="Y66" s="244"/>
      <c r="Z66" s="89"/>
      <c r="AA66" s="89"/>
    </row>
    <row r="67" spans="1:33" x14ac:dyDescent="0.3">
      <c r="A67" s="487"/>
      <c r="B67" s="206"/>
      <c r="C67" s="181"/>
      <c r="D67" s="252">
        <v>5</v>
      </c>
      <c r="E67" s="163">
        <v>9</v>
      </c>
      <c r="F67" s="163">
        <f>IF(C51-C45&lt;=D67,E67,F68)</f>
        <v>10</v>
      </c>
      <c r="G67" s="181"/>
      <c r="H67" s="181"/>
      <c r="I67" s="202"/>
      <c r="J67" s="181"/>
      <c r="K67" s="252">
        <v>9</v>
      </c>
      <c r="L67" s="163">
        <v>9</v>
      </c>
      <c r="M67" s="163">
        <f>IF(K51-K45&lt;=K67,L67,M68)</f>
        <v>10</v>
      </c>
      <c r="N67" s="181"/>
      <c r="O67" s="218"/>
      <c r="P67" s="91"/>
      <c r="Q67" s="91"/>
      <c r="R67" s="91"/>
      <c r="S67" s="91"/>
      <c r="T67" s="91">
        <v>45</v>
      </c>
      <c r="U67" s="91">
        <v>22</v>
      </c>
      <c r="V67" s="91">
        <v>22</v>
      </c>
      <c r="W67" s="91">
        <v>22</v>
      </c>
      <c r="X67" s="91">
        <v>24</v>
      </c>
      <c r="Y67" s="244"/>
      <c r="Z67" s="89"/>
      <c r="AA67" s="89"/>
    </row>
    <row r="68" spans="1:33" x14ac:dyDescent="0.3">
      <c r="A68" s="487"/>
      <c r="B68" s="206"/>
      <c r="C68" s="181"/>
      <c r="D68" s="252">
        <v>6</v>
      </c>
      <c r="E68" s="163">
        <v>10</v>
      </c>
      <c r="F68" s="163">
        <f>IF(OR(C51-C45&lt;=D68,C51-C45&gt;D68),E68,#REF!)</f>
        <v>10</v>
      </c>
      <c r="G68" s="181"/>
      <c r="H68" s="181"/>
      <c r="I68" s="181"/>
      <c r="J68" s="181"/>
      <c r="K68" s="252">
        <v>10</v>
      </c>
      <c r="L68" s="163">
        <v>10</v>
      </c>
      <c r="M68" s="163">
        <f>IF(OR(K51-K45&lt;=K68,K51-K45&gt;K68),L68,#REF!)</f>
        <v>10</v>
      </c>
      <c r="N68" s="181"/>
      <c r="O68" s="218"/>
      <c r="P68" s="91"/>
      <c r="Q68" s="91"/>
      <c r="R68" s="91"/>
      <c r="S68" s="91"/>
      <c r="T68" s="91">
        <v>50</v>
      </c>
      <c r="U68" s="91">
        <v>22</v>
      </c>
      <c r="V68" s="91">
        <v>22</v>
      </c>
      <c r="W68" s="91">
        <v>24</v>
      </c>
      <c r="X68" s="91">
        <v>24</v>
      </c>
      <c r="Y68" s="244"/>
      <c r="Z68" s="89"/>
      <c r="AA68" s="89"/>
    </row>
    <row r="69" spans="1:33" x14ac:dyDescent="0.3">
      <c r="A69" s="487"/>
      <c r="B69" s="206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218"/>
      <c r="P69" s="91"/>
      <c r="Q69" s="91"/>
      <c r="R69" s="91"/>
      <c r="S69" s="91"/>
      <c r="T69" s="91">
        <v>55</v>
      </c>
      <c r="U69" s="91">
        <v>22</v>
      </c>
      <c r="V69" s="91">
        <v>22</v>
      </c>
      <c r="W69" s="91">
        <v>24</v>
      </c>
      <c r="X69" s="91">
        <v>24</v>
      </c>
      <c r="Y69" s="244"/>
      <c r="Z69" s="89"/>
      <c r="AA69" s="89"/>
    </row>
    <row r="70" spans="1:33" x14ac:dyDescent="0.3">
      <c r="A70" s="487"/>
      <c r="B70" s="253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5"/>
      <c r="P70" s="91"/>
      <c r="Q70" s="91"/>
      <c r="R70" s="91"/>
      <c r="S70" s="91"/>
      <c r="T70" s="91">
        <v>60</v>
      </c>
      <c r="U70" s="91">
        <v>24</v>
      </c>
      <c r="V70" s="91">
        <v>24</v>
      </c>
      <c r="W70" s="91">
        <v>24</v>
      </c>
      <c r="X70" s="91">
        <v>24</v>
      </c>
      <c r="Y70" s="89"/>
      <c r="Z70" s="89"/>
    </row>
    <row r="71" spans="1:33" x14ac:dyDescent="0.3">
      <c r="P71" s="91"/>
      <c r="Q71" s="91"/>
      <c r="R71" s="91"/>
      <c r="S71" s="91"/>
      <c r="T71" s="91">
        <v>65</v>
      </c>
      <c r="U71" s="91">
        <v>24</v>
      </c>
      <c r="V71" s="91">
        <v>24</v>
      </c>
      <c r="W71" s="91">
        <v>24</v>
      </c>
      <c r="X71" s="91">
        <v>24</v>
      </c>
      <c r="Y71" s="89"/>
      <c r="Z71" s="89"/>
    </row>
    <row r="72" spans="1:33" x14ac:dyDescent="0.3">
      <c r="P72" s="91"/>
      <c r="Q72" s="91"/>
      <c r="R72" s="91"/>
      <c r="S72" s="91"/>
      <c r="T72" s="91">
        <v>70</v>
      </c>
      <c r="U72" s="91">
        <v>24</v>
      </c>
      <c r="V72" s="91">
        <v>24</v>
      </c>
      <c r="W72" s="91">
        <v>24</v>
      </c>
      <c r="X72" s="91">
        <v>24</v>
      </c>
      <c r="Y72" s="89"/>
      <c r="Z72" s="89"/>
    </row>
    <row r="73" spans="1:33" x14ac:dyDescent="0.3">
      <c r="C73" s="256"/>
      <c r="D73" s="257"/>
      <c r="E73" s="89"/>
      <c r="F73" s="89"/>
      <c r="G73" s="89"/>
      <c r="H73" s="89"/>
      <c r="I73" s="89"/>
      <c r="K73" s="258"/>
      <c r="L73" s="257"/>
      <c r="M73" s="257"/>
      <c r="N73" s="257"/>
      <c r="P73" s="91"/>
      <c r="Q73" s="91"/>
      <c r="R73" s="91"/>
      <c r="S73" s="91"/>
      <c r="T73" s="91">
        <v>75</v>
      </c>
      <c r="U73" s="91">
        <v>24</v>
      </c>
      <c r="V73" s="91">
        <v>24</v>
      </c>
      <c r="W73" s="91">
        <v>24</v>
      </c>
      <c r="X73" s="91">
        <v>24</v>
      </c>
      <c r="Y73" s="89"/>
      <c r="Z73" s="89"/>
      <c r="AA73" s="89"/>
      <c r="AB73" s="89"/>
      <c r="AC73" s="89"/>
      <c r="AD73" s="89"/>
    </row>
    <row r="74" spans="1:33" x14ac:dyDescent="0.3">
      <c r="Q74" s="91"/>
      <c r="R74" s="91"/>
      <c r="S74" s="91"/>
      <c r="T74" s="91"/>
      <c r="U74" s="91"/>
      <c r="V74" s="91"/>
      <c r="W74" s="91"/>
      <c r="X74" s="91"/>
      <c r="Y74" s="89"/>
      <c r="Z74" s="89"/>
      <c r="AA74" s="89"/>
      <c r="AB74" s="89"/>
      <c r="AC74" s="89"/>
      <c r="AD74" s="89"/>
    </row>
    <row r="75" spans="1:33" s="89" customFormat="1" ht="11.25" customHeight="1" x14ac:dyDescent="0.3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91"/>
      <c r="Q75" s="91"/>
      <c r="R75" s="91"/>
      <c r="S75" s="91"/>
    </row>
    <row r="76" spans="1:33" s="89" customFormat="1" ht="11.25" customHeight="1" x14ac:dyDescent="0.3">
      <c r="A76" s="88"/>
      <c r="B76" s="480"/>
      <c r="C76" s="479"/>
      <c r="D76" s="479"/>
      <c r="E76" s="479"/>
      <c r="F76" s="259"/>
      <c r="G76" s="259"/>
      <c r="H76" s="172"/>
      <c r="I76" s="480"/>
      <c r="J76" s="479"/>
      <c r="K76" s="479"/>
      <c r="L76" s="479"/>
      <c r="M76" s="259"/>
      <c r="N76" s="88"/>
      <c r="O76" s="91"/>
      <c r="P76" s="91"/>
      <c r="Q76" s="91"/>
      <c r="R76" s="91"/>
    </row>
    <row r="77" spans="1:33" s="89" customFormat="1" ht="11.25" customHeight="1" x14ac:dyDescent="0.3">
      <c r="A77" s="485"/>
      <c r="B77" s="202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63"/>
      <c r="P77" s="91"/>
      <c r="Q77" s="91"/>
      <c r="R77" s="91"/>
      <c r="S77" s="91"/>
      <c r="T77" s="91"/>
      <c r="U77" s="91"/>
      <c r="V77" s="91"/>
      <c r="W77" s="91"/>
      <c r="X77" s="91"/>
    </row>
    <row r="78" spans="1:33" s="89" customFormat="1" ht="11.25" customHeight="1" x14ac:dyDescent="0.3">
      <c r="A78" s="485"/>
      <c r="B78" s="202"/>
      <c r="C78" s="181"/>
      <c r="D78" s="260" t="s">
        <v>340</v>
      </c>
      <c r="E78" s="193"/>
      <c r="F78" s="193"/>
      <c r="G78" s="193"/>
      <c r="H78" s="181"/>
      <c r="I78" s="181"/>
      <c r="J78" s="181"/>
      <c r="K78" s="181"/>
      <c r="L78" s="181"/>
      <c r="M78" s="181"/>
      <c r="N78" s="181"/>
      <c r="O78" s="163"/>
      <c r="P78" s="91"/>
      <c r="Q78" s="91"/>
      <c r="R78" s="91"/>
      <c r="S78" s="91"/>
      <c r="T78" s="88"/>
      <c r="U78" s="88"/>
      <c r="W78" s="243"/>
      <c r="X78" s="244"/>
      <c r="AF78" s="257"/>
      <c r="AG78" s="257"/>
    </row>
    <row r="79" spans="1:33" s="89" customFormat="1" ht="11.25" customHeight="1" x14ac:dyDescent="0.3">
      <c r="A79" s="485"/>
      <c r="B79" s="202"/>
      <c r="C79" s="261" t="s">
        <v>72</v>
      </c>
      <c r="D79" s="261"/>
      <c r="E79" s="261"/>
      <c r="F79" s="261"/>
      <c r="G79" s="261"/>
      <c r="H79" s="181"/>
      <c r="I79" s="181"/>
      <c r="J79" s="181"/>
      <c r="K79" s="181"/>
      <c r="L79" s="181"/>
      <c r="M79" s="181"/>
      <c r="N79" s="181"/>
      <c r="O79" s="163"/>
      <c r="P79" s="91"/>
      <c r="Q79" s="91"/>
      <c r="R79" s="91"/>
      <c r="S79" s="91"/>
      <c r="T79" s="88"/>
      <c r="U79" s="88"/>
      <c r="W79" s="243"/>
      <c r="X79" s="244"/>
      <c r="AF79" s="257"/>
      <c r="AG79" s="257"/>
    </row>
    <row r="80" spans="1:33" s="89" customFormat="1" ht="11.25" customHeight="1" x14ac:dyDescent="0.3">
      <c r="A80" s="485"/>
      <c r="B80" s="202"/>
      <c r="C80" s="181"/>
      <c r="D80" s="181"/>
      <c r="E80" s="181"/>
      <c r="F80" s="181"/>
      <c r="G80" s="181"/>
      <c r="H80" s="181"/>
      <c r="I80" s="181"/>
      <c r="J80" s="181"/>
      <c r="K80" s="207" t="s">
        <v>75</v>
      </c>
      <c r="L80" s="262">
        <f>H113</f>
        <v>0</v>
      </c>
      <c r="M80" s="163"/>
      <c r="N80" s="181"/>
      <c r="O80" s="163"/>
      <c r="P80" s="91"/>
      <c r="Q80" s="91"/>
      <c r="R80" s="91"/>
      <c r="S80" s="91"/>
      <c r="T80" s="88"/>
      <c r="U80" s="88"/>
      <c r="W80" s="243"/>
      <c r="X80" s="244"/>
      <c r="AF80" s="257"/>
      <c r="AG80" s="257"/>
    </row>
    <row r="81" spans="1:35" s="89" customFormat="1" ht="11.25" customHeight="1" x14ac:dyDescent="0.3">
      <c r="A81" s="485"/>
      <c r="B81" s="181"/>
      <c r="C81" s="181"/>
      <c r="D81" s="181"/>
      <c r="E81" s="181"/>
      <c r="F81" s="181"/>
      <c r="G81" s="181"/>
      <c r="H81" s="181"/>
      <c r="I81" s="181"/>
      <c r="J81" s="181"/>
      <c r="K81" s="207" t="s">
        <v>77</v>
      </c>
      <c r="L81" s="263">
        <f>'TRAFFIC &amp; ACCIDENTS'!E11</f>
        <v>0</v>
      </c>
      <c r="M81" s="163"/>
      <c r="N81" s="181"/>
      <c r="O81" s="163"/>
      <c r="P81" s="91"/>
      <c r="Q81" s="91"/>
      <c r="R81" s="91"/>
      <c r="S81" s="91"/>
      <c r="T81" s="88"/>
      <c r="U81" s="88"/>
      <c r="W81" s="243"/>
      <c r="X81" s="244"/>
      <c r="AF81" s="257"/>
      <c r="AG81" s="257"/>
    </row>
    <row r="82" spans="1:35" s="89" customFormat="1" ht="11.25" customHeight="1" x14ac:dyDescent="0.3">
      <c r="A82" s="485"/>
      <c r="B82" s="202"/>
      <c r="C82" s="181"/>
      <c r="D82" s="181"/>
      <c r="E82" s="181"/>
      <c r="F82" s="181"/>
      <c r="G82" s="181"/>
      <c r="H82" s="181"/>
      <c r="I82" s="181"/>
      <c r="J82" s="181"/>
      <c r="K82" s="264" t="s">
        <v>79</v>
      </c>
      <c r="L82" s="265">
        <f>IF(L81=0,0,(L80/L81)*100)</f>
        <v>0</v>
      </c>
      <c r="M82" s="181" t="s">
        <v>80</v>
      </c>
      <c r="N82" s="181"/>
      <c r="O82" s="163"/>
      <c r="P82" s="91"/>
      <c r="Q82" s="91"/>
      <c r="R82" s="266"/>
      <c r="S82" s="267"/>
      <c r="T82" s="475" t="s">
        <v>345</v>
      </c>
      <c r="U82" s="475"/>
      <c r="V82" s="475"/>
      <c r="W82" s="475"/>
      <c r="X82" s="268"/>
      <c r="Y82" s="269"/>
      <c r="AF82" s="257"/>
      <c r="AG82" s="257"/>
    </row>
    <row r="83" spans="1:35" s="89" customFormat="1" ht="11.25" customHeight="1" x14ac:dyDescent="0.3">
      <c r="A83" s="485"/>
      <c r="B83" s="202"/>
      <c r="C83" s="270" t="s">
        <v>80</v>
      </c>
      <c r="D83" s="271">
        <v>0</v>
      </c>
      <c r="E83" s="271">
        <v>2</v>
      </c>
      <c r="F83" s="271">
        <v>4</v>
      </c>
      <c r="G83" s="271">
        <v>6</v>
      </c>
      <c r="H83" s="271">
        <v>8</v>
      </c>
      <c r="I83" s="272">
        <v>10</v>
      </c>
      <c r="J83" s="181"/>
      <c r="K83" s="181"/>
      <c r="L83" s="181"/>
      <c r="M83" s="181"/>
      <c r="N83" s="181"/>
      <c r="O83" s="181"/>
      <c r="R83" s="177"/>
      <c r="S83" s="91"/>
      <c r="T83" s="476"/>
      <c r="U83" s="476"/>
      <c r="V83" s="476"/>
      <c r="W83" s="476"/>
      <c r="Y83" s="180"/>
    </row>
    <row r="84" spans="1:35" s="89" customFormat="1" ht="11.25" customHeight="1" x14ac:dyDescent="0.3">
      <c r="A84" s="485"/>
      <c r="B84" s="202"/>
      <c r="C84" s="273" t="s">
        <v>17</v>
      </c>
      <c r="D84" s="274">
        <v>0</v>
      </c>
      <c r="E84" s="274">
        <v>1</v>
      </c>
      <c r="F84" s="274">
        <v>2</v>
      </c>
      <c r="G84" s="274">
        <v>3</v>
      </c>
      <c r="H84" s="274">
        <v>4</v>
      </c>
      <c r="I84" s="275">
        <v>5</v>
      </c>
      <c r="J84" s="181"/>
      <c r="K84" s="181"/>
      <c r="L84" s="181"/>
      <c r="M84" s="181"/>
      <c r="N84" s="181"/>
      <c r="O84" s="181"/>
      <c r="R84" s="177"/>
      <c r="S84" s="91"/>
      <c r="T84" s="91"/>
      <c r="U84" s="91"/>
      <c r="Y84" s="180"/>
      <c r="AF84" s="257"/>
      <c r="AG84" s="257"/>
      <c r="AH84" s="257"/>
      <c r="AI84" s="257"/>
    </row>
    <row r="85" spans="1:35" s="89" customFormat="1" ht="11.25" customHeight="1" thickBot="1" x14ac:dyDescent="0.35">
      <c r="A85" s="485"/>
      <c r="B85" s="202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R85" s="177"/>
      <c r="S85" s="91"/>
      <c r="T85" s="91"/>
      <c r="U85" s="91"/>
      <c r="Y85" s="180"/>
      <c r="AF85" s="479"/>
      <c r="AG85" s="479"/>
      <c r="AH85" s="479"/>
      <c r="AI85" s="276"/>
    </row>
    <row r="86" spans="1:35" s="89" customFormat="1" ht="11.25" customHeight="1" thickBot="1" x14ac:dyDescent="0.35">
      <c r="A86" s="485"/>
      <c r="B86" s="202"/>
      <c r="C86" s="181"/>
      <c r="D86" s="277"/>
      <c r="E86" s="163"/>
      <c r="F86" s="163"/>
      <c r="G86" s="163"/>
      <c r="H86" s="202"/>
      <c r="I86" s="163"/>
      <c r="J86" s="163"/>
      <c r="K86" s="278" t="s">
        <v>279</v>
      </c>
      <c r="L86" s="279">
        <f>G117</f>
        <v>0</v>
      </c>
      <c r="M86" s="181"/>
      <c r="N86" s="181"/>
      <c r="O86" s="181"/>
      <c r="R86" s="177"/>
      <c r="S86" s="89" t="s">
        <v>73</v>
      </c>
      <c r="V86" s="280" t="s">
        <v>74</v>
      </c>
      <c r="W86" s="280"/>
      <c r="X86" s="280"/>
      <c r="Y86" s="180"/>
    </row>
    <row r="87" spans="1:35" s="89" customFormat="1" ht="11.25" customHeight="1" x14ac:dyDescent="0.3">
      <c r="A87" s="485"/>
      <c r="B87" s="202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R87" s="177"/>
      <c r="S87" s="176" t="str">
        <f>GEOMETRY!D6</f>
        <v>x</v>
      </c>
      <c r="T87" s="89" t="s">
        <v>76</v>
      </c>
      <c r="V87" s="89">
        <f>IF(S87&lt;&gt;0,W87,V88)</f>
        <v>60</v>
      </c>
      <c r="W87" s="89">
        <f>IF('TRAFFIC &amp; ACCIDENTS'!E33&lt;400,40,X87)</f>
        <v>60</v>
      </c>
      <c r="X87" s="89">
        <f>IF('TRAFFIC &amp; ACCIDENTS'!E33&lt;2001,50,60)</f>
        <v>60</v>
      </c>
      <c r="Y87" s="180"/>
      <c r="AF87" s="91"/>
      <c r="AG87" s="91"/>
      <c r="AH87" s="91"/>
    </row>
    <row r="88" spans="1:35" s="89" customFormat="1" ht="11.25" customHeight="1" x14ac:dyDescent="0.3">
      <c r="A88" s="485"/>
      <c r="B88" s="202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R88" s="177"/>
      <c r="S88" s="176">
        <f>GEOMETRY!D7</f>
        <v>0</v>
      </c>
      <c r="T88" s="89" t="s">
        <v>78</v>
      </c>
      <c r="V88" s="89">
        <f>IF(S88&lt;&gt;0,W88,V89)</f>
        <v>40</v>
      </c>
      <c r="W88" s="89">
        <f>IF('TRAFFIC &amp; ACCIDENTS'!E33&lt;400,30,X88)</f>
        <v>50</v>
      </c>
      <c r="X88" s="89">
        <f>IF('TRAFFIC &amp; ACCIDENTS'!E33&lt;2001,40,50)</f>
        <v>50</v>
      </c>
      <c r="Y88" s="180"/>
      <c r="AF88" s="281"/>
      <c r="AG88" s="91"/>
      <c r="AH88" s="91"/>
    </row>
    <row r="89" spans="1:35" s="89" customFormat="1" ht="11.25" customHeight="1" x14ac:dyDescent="0.3">
      <c r="A89" s="485"/>
      <c r="B89" s="202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R89" s="177"/>
      <c r="S89" s="176">
        <f>GEOMETRY!D8</f>
        <v>0</v>
      </c>
      <c r="T89" s="89" t="s">
        <v>81</v>
      </c>
      <c r="V89" s="89">
        <f>W89</f>
        <v>40</v>
      </c>
      <c r="W89" s="89">
        <f>IF('TRAFFIC &amp; ACCIDENTS'!E33&lt;400,20,X89)</f>
        <v>40</v>
      </c>
      <c r="X89" s="89">
        <f>IF('TRAFFIC &amp; ACCIDENTS'!E33&lt;2001,30,40)</f>
        <v>40</v>
      </c>
      <c r="Y89" s="180"/>
      <c r="AF89" s="91"/>
      <c r="AG89" s="91"/>
      <c r="AH89" s="91"/>
    </row>
    <row r="90" spans="1:35" s="89" customFormat="1" ht="11.25" customHeight="1" x14ac:dyDescent="0.3">
      <c r="A90" s="485"/>
      <c r="B90" s="202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R90" s="177"/>
      <c r="S90" s="91"/>
      <c r="Y90" s="180"/>
      <c r="AG90" s="91"/>
      <c r="AH90" s="91"/>
      <c r="AI90" s="91"/>
    </row>
    <row r="91" spans="1:35" s="89" customFormat="1" ht="11.25" customHeight="1" x14ac:dyDescent="0.3">
      <c r="A91" s="485"/>
      <c r="B91" s="202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R91" s="177"/>
      <c r="S91" s="91"/>
      <c r="U91" s="92" t="s">
        <v>82</v>
      </c>
      <c r="V91" s="176">
        <f>IF(AND(S87=0,S88=0,S89=0),"",V87)</f>
        <v>60</v>
      </c>
      <c r="W91" s="477" t="s">
        <v>346</v>
      </c>
      <c r="X91" s="477"/>
      <c r="Y91" s="478"/>
    </row>
    <row r="92" spans="1:35" s="89" customFormat="1" ht="11.25" customHeight="1" x14ac:dyDescent="0.3">
      <c r="A92" s="485"/>
      <c r="B92" s="202"/>
      <c r="C92" s="181" t="s">
        <v>94</v>
      </c>
      <c r="D92" s="181"/>
      <c r="E92" s="181"/>
      <c r="F92" s="181"/>
      <c r="G92" s="181"/>
      <c r="H92" s="163"/>
      <c r="I92" s="163"/>
      <c r="J92" s="181"/>
      <c r="K92" s="181"/>
      <c r="L92" s="181"/>
      <c r="M92" s="181"/>
      <c r="N92" s="181"/>
      <c r="O92" s="181"/>
      <c r="R92" s="177"/>
      <c r="W92" s="477"/>
      <c r="X92" s="477"/>
      <c r="Y92" s="478"/>
    </row>
    <row r="93" spans="1:35" s="89" customFormat="1" ht="11.25" customHeight="1" x14ac:dyDescent="0.3">
      <c r="A93" s="485"/>
      <c r="B93" s="202"/>
      <c r="C93" s="282" t="s">
        <v>95</v>
      </c>
      <c r="D93" s="183" t="s">
        <v>96</v>
      </c>
      <c r="E93" s="183"/>
      <c r="F93" s="183"/>
      <c r="G93" s="183"/>
      <c r="H93" s="271"/>
      <c r="I93" s="271"/>
      <c r="J93" s="183"/>
      <c r="K93" s="221"/>
      <c r="L93" s="181"/>
      <c r="M93" s="181"/>
      <c r="N93" s="181"/>
      <c r="O93" s="181"/>
      <c r="R93" s="178"/>
      <c r="S93" s="179"/>
      <c r="T93" s="179"/>
      <c r="U93" s="179"/>
      <c r="V93" s="179"/>
      <c r="W93" s="179"/>
      <c r="X93" s="179"/>
      <c r="Y93" s="283"/>
    </row>
    <row r="94" spans="1:35" s="89" customFormat="1" ht="11.25" customHeight="1" x14ac:dyDescent="0.3">
      <c r="A94" s="485"/>
      <c r="B94" s="202"/>
      <c r="C94" s="284"/>
      <c r="D94" s="197"/>
      <c r="E94" s="181"/>
      <c r="F94" s="163"/>
      <c r="G94" s="181"/>
      <c r="H94" s="181"/>
      <c r="I94" s="181"/>
      <c r="J94" s="181"/>
      <c r="K94" s="218"/>
      <c r="L94" s="181"/>
      <c r="M94" s="181"/>
      <c r="N94" s="181"/>
      <c r="O94" s="181"/>
    </row>
    <row r="95" spans="1:35" s="89" customFormat="1" ht="11.25" customHeight="1" x14ac:dyDescent="0.3">
      <c r="A95" s="485"/>
      <c r="B95" s="202"/>
      <c r="C95" s="285"/>
      <c r="D95" s="163"/>
      <c r="E95" s="163" t="s">
        <v>88</v>
      </c>
      <c r="F95" s="163" t="s">
        <v>97</v>
      </c>
      <c r="G95" s="163" t="s">
        <v>71</v>
      </c>
      <c r="H95" s="163"/>
      <c r="I95" s="163" t="s">
        <v>103</v>
      </c>
      <c r="J95" s="181"/>
      <c r="K95" s="218"/>
      <c r="L95" s="181"/>
      <c r="M95" s="181"/>
      <c r="N95" s="181"/>
      <c r="O95" s="181"/>
    </row>
    <row r="96" spans="1:35" s="89" customFormat="1" ht="11.25" customHeight="1" x14ac:dyDescent="0.3">
      <c r="A96" s="485"/>
      <c r="B96" s="202"/>
      <c r="C96" s="186"/>
      <c r="D96" s="181"/>
      <c r="E96" s="163" t="s">
        <v>90</v>
      </c>
      <c r="F96" s="163" t="s">
        <v>83</v>
      </c>
      <c r="G96" s="163" t="s">
        <v>83</v>
      </c>
      <c r="H96" s="163" t="s">
        <v>102</v>
      </c>
      <c r="I96" s="163" t="s">
        <v>104</v>
      </c>
      <c r="J96" s="181"/>
      <c r="K96" s="218"/>
      <c r="L96" s="181"/>
      <c r="M96" s="181"/>
      <c r="N96" s="181"/>
      <c r="O96" s="181"/>
    </row>
    <row r="97" spans="1:38" s="89" customFormat="1" ht="11.25" customHeight="1" x14ac:dyDescent="0.3">
      <c r="A97" s="485"/>
      <c r="B97" s="202"/>
      <c r="C97" s="186"/>
      <c r="D97" s="286" t="s">
        <v>89</v>
      </c>
      <c r="E97" s="287" t="s">
        <v>91</v>
      </c>
      <c r="F97" s="287" t="s">
        <v>98</v>
      </c>
      <c r="G97" s="287" t="s">
        <v>99</v>
      </c>
      <c r="H97" s="287" t="s">
        <v>101</v>
      </c>
      <c r="I97" s="287" t="s">
        <v>105</v>
      </c>
      <c r="J97" s="181"/>
      <c r="K97" s="218"/>
      <c r="L97" s="181"/>
      <c r="M97" s="181"/>
      <c r="N97" s="181"/>
      <c r="O97" s="181"/>
    </row>
    <row r="98" spans="1:38" s="89" customFormat="1" ht="11.25" customHeight="1" x14ac:dyDescent="0.3">
      <c r="A98" s="485"/>
      <c r="B98" s="202"/>
      <c r="C98" s="186"/>
      <c r="D98" s="163">
        <v>1</v>
      </c>
      <c r="E98" s="163">
        <f>GEOMETRY!C22</f>
        <v>0</v>
      </c>
      <c r="F98" s="163" t="str">
        <f t="shared" ref="F98:F111" si="1">IF(E98&gt;0,ROUND(C120,0),"")</f>
        <v/>
      </c>
      <c r="G98" s="163">
        <f>V91</f>
        <v>60</v>
      </c>
      <c r="H98" s="163">
        <f>GEOMETRY!D22</f>
        <v>0</v>
      </c>
      <c r="I98" s="288">
        <f>IF(G98&gt;F98,(H98/5280)/F114,0)</f>
        <v>0</v>
      </c>
      <c r="J98" s="181"/>
      <c r="K98" s="218"/>
      <c r="L98" s="181"/>
      <c r="M98" s="181"/>
      <c r="N98" s="181"/>
      <c r="O98" s="181"/>
      <c r="S98" s="91"/>
      <c r="T98" s="91"/>
      <c r="U98" s="91"/>
    </row>
    <row r="99" spans="1:38" s="89" customFormat="1" ht="11.25" customHeight="1" x14ac:dyDescent="0.3">
      <c r="A99" s="485"/>
      <c r="B99" s="181"/>
      <c r="C99" s="186"/>
      <c r="D99" s="163">
        <v>2</v>
      </c>
      <c r="E99" s="163">
        <f>GEOMETRY!C23</f>
        <v>0</v>
      </c>
      <c r="F99" s="163" t="str">
        <f t="shared" si="1"/>
        <v/>
      </c>
      <c r="G99" s="163">
        <f>V91</f>
        <v>60</v>
      </c>
      <c r="H99" s="163">
        <f>GEOMETRY!D23</f>
        <v>0</v>
      </c>
      <c r="I99" s="288">
        <f>IF(G99&gt;F99,(H99/5280)/F114,0)</f>
        <v>0</v>
      </c>
      <c r="J99" s="181"/>
      <c r="K99" s="218"/>
      <c r="L99" s="181"/>
      <c r="M99" s="181"/>
      <c r="N99" s="181"/>
      <c r="O99" s="181"/>
      <c r="V99" s="280"/>
      <c r="W99" s="280"/>
      <c r="X99" s="280"/>
    </row>
    <row r="100" spans="1:38" s="89" customFormat="1" ht="11.25" customHeight="1" x14ac:dyDescent="0.3">
      <c r="A100" s="485"/>
      <c r="B100" s="202"/>
      <c r="C100" s="186"/>
      <c r="D100" s="163">
        <v>3</v>
      </c>
      <c r="E100" s="163">
        <f>GEOMETRY!C24</f>
        <v>0</v>
      </c>
      <c r="F100" s="163" t="str">
        <f t="shared" si="1"/>
        <v/>
      </c>
      <c r="G100" s="163">
        <f>V91</f>
        <v>60</v>
      </c>
      <c r="H100" s="163">
        <f>GEOMETRY!D24</f>
        <v>0</v>
      </c>
      <c r="I100" s="288">
        <f>IF(G100&gt;F100,(H100/5280)/F114,0)</f>
        <v>0</v>
      </c>
      <c r="J100" s="181"/>
      <c r="K100" s="218"/>
      <c r="L100" s="181"/>
      <c r="M100" s="181"/>
      <c r="N100" s="181"/>
      <c r="O100" s="181"/>
      <c r="S100" s="289"/>
      <c r="V100" s="290"/>
      <c r="W100" s="290"/>
    </row>
    <row r="101" spans="1:38" s="89" customFormat="1" ht="11.25" customHeight="1" x14ac:dyDescent="0.3">
      <c r="A101" s="485"/>
      <c r="B101" s="202"/>
      <c r="C101" s="186"/>
      <c r="D101" s="163">
        <v>4</v>
      </c>
      <c r="E101" s="163">
        <f>GEOMETRY!C25</f>
        <v>0</v>
      </c>
      <c r="F101" s="163" t="str">
        <f t="shared" si="1"/>
        <v/>
      </c>
      <c r="G101" s="163">
        <f>V91</f>
        <v>60</v>
      </c>
      <c r="H101" s="163">
        <f>GEOMETRY!D25</f>
        <v>0</v>
      </c>
      <c r="I101" s="288">
        <f>IF(G101&gt;F101,(H101/5280)/F114,0)</f>
        <v>0</v>
      </c>
      <c r="J101" s="181"/>
      <c r="K101" s="218"/>
      <c r="L101" s="181"/>
      <c r="M101" s="181"/>
      <c r="N101" s="181"/>
      <c r="O101" s="181"/>
      <c r="S101" s="91"/>
    </row>
    <row r="102" spans="1:38" s="89" customFormat="1" ht="11.25" customHeight="1" x14ac:dyDescent="0.3">
      <c r="A102" s="485"/>
      <c r="B102" s="202"/>
      <c r="C102" s="186"/>
      <c r="D102" s="163">
        <v>5</v>
      </c>
      <c r="E102" s="163">
        <f>GEOMETRY!C26</f>
        <v>0</v>
      </c>
      <c r="F102" s="163" t="str">
        <f t="shared" si="1"/>
        <v/>
      </c>
      <c r="G102" s="163">
        <f>V91</f>
        <v>60</v>
      </c>
      <c r="H102" s="163">
        <f>GEOMETRY!D26</f>
        <v>0</v>
      </c>
      <c r="I102" s="288">
        <f>IF(G102&gt;F102,(H102/5280)/F114,0)</f>
        <v>0</v>
      </c>
      <c r="J102" s="181"/>
      <c r="K102" s="218"/>
      <c r="L102" s="181"/>
      <c r="M102" s="181"/>
      <c r="N102" s="181"/>
      <c r="O102" s="181"/>
      <c r="S102" s="91"/>
    </row>
    <row r="103" spans="1:38" s="89" customFormat="1" ht="11.25" customHeight="1" x14ac:dyDescent="0.3">
      <c r="A103" s="485"/>
      <c r="B103" s="202"/>
      <c r="C103" s="186"/>
      <c r="D103" s="163">
        <v>6</v>
      </c>
      <c r="E103" s="163">
        <f>GEOMETRY!C27</f>
        <v>0</v>
      </c>
      <c r="F103" s="163" t="str">
        <f t="shared" si="1"/>
        <v/>
      </c>
      <c r="G103" s="163">
        <f>V91</f>
        <v>60</v>
      </c>
      <c r="H103" s="163">
        <f>GEOMETRY!D27</f>
        <v>0</v>
      </c>
      <c r="I103" s="288">
        <f>IF(G103&gt;F103,(H103/5280)/F114,0)</f>
        <v>0</v>
      </c>
      <c r="J103" s="181"/>
      <c r="K103" s="218"/>
      <c r="L103" s="181"/>
      <c r="M103" s="181"/>
      <c r="N103" s="181"/>
      <c r="O103" s="181"/>
      <c r="S103" s="91"/>
    </row>
    <row r="104" spans="1:38" s="89" customFormat="1" ht="11.25" customHeight="1" x14ac:dyDescent="0.3">
      <c r="A104" s="485"/>
      <c r="B104" s="202"/>
      <c r="C104" s="186"/>
      <c r="D104" s="163">
        <v>7</v>
      </c>
      <c r="E104" s="163">
        <f>GEOMETRY!C28</f>
        <v>0</v>
      </c>
      <c r="F104" s="163" t="str">
        <f t="shared" si="1"/>
        <v/>
      </c>
      <c r="G104" s="163">
        <f>V91</f>
        <v>60</v>
      </c>
      <c r="H104" s="163">
        <f>GEOMETRY!D28</f>
        <v>0</v>
      </c>
      <c r="I104" s="288">
        <f>IF(G104&gt;F104,(H104/5280)/F114,0)</f>
        <v>0</v>
      </c>
      <c r="J104" s="181"/>
      <c r="K104" s="218"/>
      <c r="L104" s="181"/>
      <c r="M104" s="181"/>
      <c r="N104" s="181"/>
      <c r="O104" s="181"/>
      <c r="S104" s="91"/>
      <c r="U104" s="92"/>
      <c r="V104" s="91"/>
    </row>
    <row r="105" spans="1:38" s="89" customFormat="1" ht="11.25" customHeight="1" x14ac:dyDescent="0.3">
      <c r="A105" s="485"/>
      <c r="B105" s="202"/>
      <c r="C105" s="186"/>
      <c r="D105" s="163">
        <v>8</v>
      </c>
      <c r="E105" s="163">
        <f>GEOMETRY!C29</f>
        <v>0</v>
      </c>
      <c r="F105" s="163" t="str">
        <f t="shared" si="1"/>
        <v/>
      </c>
      <c r="G105" s="163">
        <f>V91</f>
        <v>60</v>
      </c>
      <c r="H105" s="163">
        <f>GEOMETRY!D29</f>
        <v>0</v>
      </c>
      <c r="I105" s="288">
        <f>IF(G105&gt;F105,(H105/5280)/F114,0)</f>
        <v>0</v>
      </c>
      <c r="J105" s="181"/>
      <c r="K105" s="218"/>
      <c r="L105" s="181"/>
      <c r="M105" s="181"/>
      <c r="N105" s="181"/>
      <c r="O105" s="181"/>
    </row>
    <row r="106" spans="1:38" s="89" customFormat="1" ht="11.25" customHeight="1" x14ac:dyDescent="0.3">
      <c r="A106" s="485"/>
      <c r="B106" s="202"/>
      <c r="C106" s="186"/>
      <c r="D106" s="163">
        <v>9</v>
      </c>
      <c r="E106" s="163">
        <f>GEOMETRY!C30</f>
        <v>0</v>
      </c>
      <c r="F106" s="163" t="str">
        <f t="shared" si="1"/>
        <v/>
      </c>
      <c r="G106" s="163">
        <f>V91</f>
        <v>60</v>
      </c>
      <c r="H106" s="163">
        <f>GEOMETRY!D30</f>
        <v>0</v>
      </c>
      <c r="I106" s="288">
        <f>IF(G106&gt;F106,(H106/5280)/F114,0)</f>
        <v>0</v>
      </c>
      <c r="J106" s="181"/>
      <c r="K106" s="218"/>
      <c r="L106" s="181"/>
      <c r="M106" s="181"/>
      <c r="N106" s="181"/>
      <c r="O106" s="181"/>
      <c r="AJ106" s="91"/>
      <c r="AK106" s="91"/>
      <c r="AL106" s="91"/>
    </row>
    <row r="107" spans="1:38" s="89" customFormat="1" ht="11.25" customHeight="1" x14ac:dyDescent="0.3">
      <c r="A107" s="485"/>
      <c r="B107" s="202"/>
      <c r="C107" s="186"/>
      <c r="D107" s="163">
        <v>10</v>
      </c>
      <c r="E107" s="163">
        <f>GEOMETRY!C31</f>
        <v>0</v>
      </c>
      <c r="F107" s="163" t="str">
        <f t="shared" si="1"/>
        <v/>
      </c>
      <c r="G107" s="163">
        <f>V91</f>
        <v>60</v>
      </c>
      <c r="H107" s="163">
        <f>GEOMETRY!D31</f>
        <v>0</v>
      </c>
      <c r="I107" s="288">
        <f>IF(G107&gt;F107,(H107/5280)/F114,0)</f>
        <v>0</v>
      </c>
      <c r="J107" s="181"/>
      <c r="K107" s="218"/>
      <c r="L107" s="181"/>
      <c r="M107" s="181"/>
      <c r="N107" s="181"/>
      <c r="O107" s="181"/>
      <c r="AJ107" s="91"/>
      <c r="AK107" s="91"/>
      <c r="AL107" s="91"/>
    </row>
    <row r="108" spans="1:38" s="89" customFormat="1" ht="11.25" customHeight="1" x14ac:dyDescent="0.3">
      <c r="A108" s="485"/>
      <c r="B108" s="202"/>
      <c r="C108" s="186"/>
      <c r="D108" s="163">
        <v>11</v>
      </c>
      <c r="E108" s="163">
        <f>GEOMETRY!C32</f>
        <v>0</v>
      </c>
      <c r="F108" s="163" t="str">
        <f t="shared" si="1"/>
        <v/>
      </c>
      <c r="G108" s="163">
        <f>V91</f>
        <v>60</v>
      </c>
      <c r="H108" s="163">
        <f>GEOMETRY!D32</f>
        <v>0</v>
      </c>
      <c r="I108" s="288">
        <f>IF(G108&gt;F108,(H108/5280)/F114,0)</f>
        <v>0</v>
      </c>
      <c r="J108" s="181"/>
      <c r="K108" s="218"/>
      <c r="L108" s="181"/>
      <c r="M108" s="181"/>
      <c r="N108" s="181"/>
      <c r="O108" s="181"/>
      <c r="AJ108" s="91"/>
      <c r="AK108" s="91"/>
      <c r="AL108" s="91"/>
    </row>
    <row r="109" spans="1:38" s="89" customFormat="1" ht="11.25" customHeight="1" x14ac:dyDescent="0.3">
      <c r="A109" s="485"/>
      <c r="B109" s="202"/>
      <c r="C109" s="186"/>
      <c r="D109" s="163">
        <v>12</v>
      </c>
      <c r="E109" s="163">
        <f>GEOMETRY!C33</f>
        <v>0</v>
      </c>
      <c r="F109" s="163" t="str">
        <f t="shared" si="1"/>
        <v/>
      </c>
      <c r="G109" s="163">
        <f>V91</f>
        <v>60</v>
      </c>
      <c r="H109" s="163">
        <f>GEOMETRY!D33</f>
        <v>0</v>
      </c>
      <c r="I109" s="288">
        <f>IF(G109&gt;F109,(H109/5280)/F114,0)</f>
        <v>0</v>
      </c>
      <c r="J109" s="181"/>
      <c r="K109" s="218"/>
      <c r="L109" s="181"/>
      <c r="M109" s="181"/>
      <c r="N109" s="181"/>
      <c r="O109" s="181"/>
      <c r="V109" s="291"/>
      <c r="W109" s="291"/>
      <c r="X109" s="291"/>
      <c r="Y109" s="291"/>
      <c r="AJ109" s="91"/>
      <c r="AK109" s="91"/>
      <c r="AL109" s="91"/>
    </row>
    <row r="110" spans="1:38" s="89" customFormat="1" ht="11.25" customHeight="1" x14ac:dyDescent="0.3">
      <c r="A110" s="485"/>
      <c r="B110" s="202"/>
      <c r="C110" s="186"/>
      <c r="D110" s="163">
        <v>13</v>
      </c>
      <c r="E110" s="163">
        <f>GEOMETRY!C34</f>
        <v>0</v>
      </c>
      <c r="F110" s="163" t="str">
        <f t="shared" si="1"/>
        <v/>
      </c>
      <c r="G110" s="163">
        <f>V91</f>
        <v>60</v>
      </c>
      <c r="H110" s="163">
        <f>GEOMETRY!D34</f>
        <v>0</v>
      </c>
      <c r="I110" s="288">
        <f>IF(G110&gt;F110,(H110/5280)/F114,0)</f>
        <v>0</v>
      </c>
      <c r="J110" s="181"/>
      <c r="K110" s="292"/>
      <c r="L110" s="163"/>
      <c r="M110" s="181"/>
      <c r="N110" s="181"/>
      <c r="O110" s="181"/>
      <c r="AJ110" s="91"/>
      <c r="AK110" s="91"/>
      <c r="AL110" s="91"/>
    </row>
    <row r="111" spans="1:38" s="89" customFormat="1" ht="11.25" customHeight="1" x14ac:dyDescent="0.3">
      <c r="A111" s="485"/>
      <c r="B111" s="202"/>
      <c r="C111" s="186"/>
      <c r="D111" s="163">
        <v>14</v>
      </c>
      <c r="E111" s="163">
        <f>GEOMETRY!C35</f>
        <v>0</v>
      </c>
      <c r="F111" s="163" t="str">
        <f t="shared" si="1"/>
        <v/>
      </c>
      <c r="G111" s="163">
        <f>V91</f>
        <v>60</v>
      </c>
      <c r="H111" s="163">
        <f>GEOMETRY!D35</f>
        <v>0</v>
      </c>
      <c r="I111" s="288">
        <f>IF(G111&gt;F111,(H111/5280)/F114,0)</f>
        <v>0</v>
      </c>
      <c r="J111" s="181"/>
      <c r="K111" s="292"/>
      <c r="L111" s="163"/>
      <c r="M111" s="181"/>
      <c r="N111" s="181"/>
      <c r="O111" s="181"/>
      <c r="AJ111" s="91"/>
      <c r="AK111" s="91"/>
      <c r="AL111" s="91"/>
    </row>
    <row r="112" spans="1:38" s="89" customFormat="1" ht="11.25" customHeight="1" x14ac:dyDescent="0.3">
      <c r="A112" s="485"/>
      <c r="B112" s="202"/>
      <c r="C112" s="186"/>
      <c r="D112" s="181"/>
      <c r="E112" s="181"/>
      <c r="F112" s="181"/>
      <c r="G112" s="207" t="s">
        <v>109</v>
      </c>
      <c r="H112" s="293">
        <f>SUM(H98:H111)</f>
        <v>0</v>
      </c>
      <c r="I112" s="288">
        <f>SUM(I98:I111)</f>
        <v>0</v>
      </c>
      <c r="J112" s="181" t="s">
        <v>19</v>
      </c>
      <c r="K112" s="292"/>
      <c r="L112" s="163"/>
      <c r="M112" s="181"/>
      <c r="N112" s="181"/>
      <c r="O112" s="181"/>
    </row>
    <row r="113" spans="1:28" s="89" customFormat="1" ht="11.25" customHeight="1" x14ac:dyDescent="0.3">
      <c r="A113" s="485"/>
      <c r="B113" s="202"/>
      <c r="C113" s="186"/>
      <c r="D113" s="181"/>
      <c r="E113" s="181"/>
      <c r="F113" s="163"/>
      <c r="G113" s="207" t="s">
        <v>108</v>
      </c>
      <c r="H113" s="294">
        <f>H112/5280</f>
        <v>0</v>
      </c>
      <c r="I113" s="181"/>
      <c r="J113" s="181"/>
      <c r="K113" s="292"/>
      <c r="L113" s="163"/>
      <c r="M113" s="181"/>
      <c r="N113" s="181"/>
      <c r="O113" s="181"/>
    </row>
    <row r="114" spans="1:28" s="89" customFormat="1" ht="11.25" customHeight="1" x14ac:dyDescent="0.3">
      <c r="A114" s="485"/>
      <c r="B114" s="181"/>
      <c r="C114" s="186"/>
      <c r="D114" s="181"/>
      <c r="E114" s="207" t="s">
        <v>100</v>
      </c>
      <c r="F114" s="163">
        <f>'TRAFFIC &amp; ACCIDENTS'!E11</f>
        <v>0</v>
      </c>
      <c r="G114" s="181"/>
      <c r="H114" s="181"/>
      <c r="I114" s="181"/>
      <c r="J114" s="181"/>
      <c r="K114" s="292"/>
      <c r="L114" s="163"/>
      <c r="M114" s="181"/>
      <c r="N114" s="181"/>
      <c r="O114" s="181"/>
      <c r="AA114" s="91"/>
      <c r="AB114" s="91"/>
    </row>
    <row r="115" spans="1:28" s="89" customFormat="1" ht="11.25" customHeight="1" x14ac:dyDescent="0.3">
      <c r="A115" s="485"/>
      <c r="B115" s="181"/>
      <c r="C115" s="186"/>
      <c r="D115" s="181"/>
      <c r="E115" s="181"/>
      <c r="F115" s="163"/>
      <c r="G115" s="181"/>
      <c r="H115" s="181"/>
      <c r="I115" s="181"/>
      <c r="J115" s="181"/>
      <c r="K115" s="218"/>
      <c r="L115" s="181"/>
      <c r="M115" s="181"/>
      <c r="N115" s="181"/>
      <c r="O115" s="181"/>
    </row>
    <row r="116" spans="1:28" s="89" customFormat="1" ht="11.25" customHeight="1" x14ac:dyDescent="0.3">
      <c r="A116" s="485"/>
      <c r="B116" s="181"/>
      <c r="C116" s="186"/>
      <c r="D116" s="181"/>
      <c r="E116" s="181"/>
      <c r="F116" s="163"/>
      <c r="G116" s="181" t="s">
        <v>106</v>
      </c>
      <c r="H116" s="181"/>
      <c r="I116" s="295" t="s">
        <v>107</v>
      </c>
      <c r="J116" s="181"/>
      <c r="K116" s="218"/>
      <c r="L116" s="181"/>
      <c r="M116" s="181"/>
      <c r="N116" s="181"/>
      <c r="O116" s="181"/>
    </row>
    <row r="117" spans="1:28" s="89" customFormat="1" ht="11.25" customHeight="1" x14ac:dyDescent="0.3">
      <c r="A117" s="485"/>
      <c r="B117" s="181"/>
      <c r="C117" s="214"/>
      <c r="D117" s="215"/>
      <c r="E117" s="215"/>
      <c r="F117" s="245"/>
      <c r="G117" s="296">
        <f>IF((I112/2)*100&gt;10,10,(I112/2)*100)</f>
        <v>0</v>
      </c>
      <c r="H117" s="215"/>
      <c r="I117" s="215" t="s">
        <v>314</v>
      </c>
      <c r="J117" s="215"/>
      <c r="K117" s="247"/>
      <c r="L117" s="181"/>
      <c r="M117" s="181"/>
      <c r="N117" s="181"/>
      <c r="O117" s="181"/>
    </row>
    <row r="118" spans="1:28" s="89" customFormat="1" ht="11.25" customHeight="1" x14ac:dyDescent="0.3">
      <c r="A118" s="485"/>
      <c r="B118" s="181"/>
      <c r="C118" s="181"/>
      <c r="D118" s="181"/>
      <c r="E118" s="181"/>
      <c r="F118" s="163"/>
      <c r="G118" s="181"/>
      <c r="H118" s="181"/>
      <c r="I118" s="181"/>
      <c r="J118" s="181"/>
      <c r="K118" s="181"/>
      <c r="L118" s="181"/>
      <c r="M118" s="181"/>
      <c r="N118" s="181"/>
      <c r="O118" s="181"/>
    </row>
    <row r="119" spans="1:28" s="89" customFormat="1" ht="11.25" customHeight="1" x14ac:dyDescent="0.3">
      <c r="A119" s="485"/>
      <c r="B119" s="181"/>
      <c r="C119" s="297" t="s">
        <v>343</v>
      </c>
      <c r="D119" s="298"/>
      <c r="E119" s="298"/>
      <c r="F119" s="298"/>
      <c r="G119" s="183"/>
      <c r="H119" s="183"/>
      <c r="I119" s="183"/>
      <c r="J119" s="183"/>
      <c r="K119" s="183"/>
      <c r="L119" s="183"/>
      <c r="M119" s="221"/>
      <c r="N119" s="181"/>
      <c r="O119" s="181"/>
    </row>
    <row r="120" spans="1:28" s="89" customFormat="1" ht="11.25" customHeight="1" x14ac:dyDescent="0.3">
      <c r="A120" s="485"/>
      <c r="B120" s="181"/>
      <c r="C120" s="203">
        <f t="shared" ref="C120:C133" si="2">IF(AND(E98&gt;=0,E98&lt;=80),10+((E98-0)/80)*5,D120)</f>
        <v>10</v>
      </c>
      <c r="D120" s="163">
        <f t="shared" ref="D120:D133" si="3">IF(AND(E98&gt;80,E98&lt;=115),15+((E98-80)/35)*5,E120)</f>
        <v>0</v>
      </c>
      <c r="E120" s="163">
        <f t="shared" ref="E120:E133" si="4">IF(AND(E98&gt;115,E98&lt;=155),20+((E98-115)/40)*5,F120)</f>
        <v>0</v>
      </c>
      <c r="F120" s="163">
        <f t="shared" ref="F120:F133" si="5">IF(AND(E98&gt;155,E98&lt;=200),25+((E98-155)/45)*5,G120)</f>
        <v>0</v>
      </c>
      <c r="G120" s="163">
        <f t="shared" ref="G120:G133" si="6">IF(AND(E98&gt;200,E98&lt;=250),30+((E98-200)/50)*5,H120)</f>
        <v>0</v>
      </c>
      <c r="H120" s="163">
        <f t="shared" ref="H120:H133" si="7">IF(AND(E98&gt;250,E98&lt;=305),35+((E98-250)/55)*5,I120)</f>
        <v>0</v>
      </c>
      <c r="I120" s="163">
        <f t="shared" ref="I120:I133" si="8">IF(AND(E98&gt;305,E98&lt;=360),40+((E98-305)/55)*5,J120)</f>
        <v>0</v>
      </c>
      <c r="J120" s="163">
        <f t="shared" ref="J120:J133" si="9">IF(AND(E98&gt;360,E98&lt;=425),45+((E98-360)/65)*5,K120)</f>
        <v>0</v>
      </c>
      <c r="K120" s="163">
        <f t="shared" ref="K120:K133" si="10">IF(AND(E98&gt;425,E98&lt;=495),50+((E98-425)/70)*5,L120)</f>
        <v>0</v>
      </c>
      <c r="L120" s="163">
        <f t="shared" ref="L120:L133" si="11">IF(AND(E98&gt;495,E98&lt;=570),55+((E98-495)/75)*5,M120)</f>
        <v>0</v>
      </c>
      <c r="M120" s="292">
        <f t="shared" ref="M120:M133" si="12">IF(E98&gt;570,60,0)</f>
        <v>0</v>
      </c>
      <c r="N120" s="181"/>
      <c r="O120" s="181"/>
    </row>
    <row r="121" spans="1:28" s="89" customFormat="1" ht="11.25" customHeight="1" x14ac:dyDescent="0.3">
      <c r="A121" s="485"/>
      <c r="B121" s="181"/>
      <c r="C121" s="203">
        <f t="shared" si="2"/>
        <v>10</v>
      </c>
      <c r="D121" s="163">
        <f t="shared" si="3"/>
        <v>0</v>
      </c>
      <c r="E121" s="163">
        <f t="shared" si="4"/>
        <v>0</v>
      </c>
      <c r="F121" s="163">
        <f t="shared" si="5"/>
        <v>0</v>
      </c>
      <c r="G121" s="163">
        <f t="shared" si="6"/>
        <v>0</v>
      </c>
      <c r="H121" s="163">
        <f t="shared" si="7"/>
        <v>0</v>
      </c>
      <c r="I121" s="163">
        <f t="shared" si="8"/>
        <v>0</v>
      </c>
      <c r="J121" s="163">
        <f t="shared" si="9"/>
        <v>0</v>
      </c>
      <c r="K121" s="163">
        <f t="shared" si="10"/>
        <v>0</v>
      </c>
      <c r="L121" s="163">
        <f t="shared" si="11"/>
        <v>0</v>
      </c>
      <c r="M121" s="292">
        <f t="shared" si="12"/>
        <v>0</v>
      </c>
      <c r="N121" s="181"/>
      <c r="O121" s="181"/>
      <c r="AA121" s="91"/>
    </row>
    <row r="122" spans="1:28" s="89" customFormat="1" ht="11.25" customHeight="1" x14ac:dyDescent="0.3">
      <c r="A122" s="485"/>
      <c r="B122" s="181"/>
      <c r="C122" s="203">
        <f t="shared" si="2"/>
        <v>10</v>
      </c>
      <c r="D122" s="163">
        <f t="shared" si="3"/>
        <v>0</v>
      </c>
      <c r="E122" s="163">
        <f t="shared" si="4"/>
        <v>0</v>
      </c>
      <c r="F122" s="163">
        <f t="shared" si="5"/>
        <v>0</v>
      </c>
      <c r="G122" s="163">
        <f t="shared" si="6"/>
        <v>0</v>
      </c>
      <c r="H122" s="163">
        <f t="shared" si="7"/>
        <v>0</v>
      </c>
      <c r="I122" s="163">
        <f t="shared" si="8"/>
        <v>0</v>
      </c>
      <c r="J122" s="163">
        <f t="shared" si="9"/>
        <v>0</v>
      </c>
      <c r="K122" s="163">
        <f t="shared" si="10"/>
        <v>0</v>
      </c>
      <c r="L122" s="163">
        <f t="shared" si="11"/>
        <v>0</v>
      </c>
      <c r="M122" s="292">
        <f t="shared" si="12"/>
        <v>0</v>
      </c>
      <c r="N122" s="181"/>
      <c r="O122" s="181"/>
    </row>
    <row r="123" spans="1:28" s="89" customFormat="1" ht="11.25" customHeight="1" x14ac:dyDescent="0.3">
      <c r="A123" s="485"/>
      <c r="B123" s="181"/>
      <c r="C123" s="203">
        <f t="shared" si="2"/>
        <v>10</v>
      </c>
      <c r="D123" s="163">
        <f t="shared" si="3"/>
        <v>0</v>
      </c>
      <c r="E123" s="163">
        <f t="shared" si="4"/>
        <v>0</v>
      </c>
      <c r="F123" s="163">
        <f t="shared" si="5"/>
        <v>0</v>
      </c>
      <c r="G123" s="163">
        <f t="shared" si="6"/>
        <v>0</v>
      </c>
      <c r="H123" s="163">
        <f t="shared" si="7"/>
        <v>0</v>
      </c>
      <c r="I123" s="163">
        <f t="shared" si="8"/>
        <v>0</v>
      </c>
      <c r="J123" s="163">
        <f t="shared" si="9"/>
        <v>0</v>
      </c>
      <c r="K123" s="163">
        <f t="shared" si="10"/>
        <v>0</v>
      </c>
      <c r="L123" s="163">
        <f t="shared" si="11"/>
        <v>0</v>
      </c>
      <c r="M123" s="292">
        <f t="shared" si="12"/>
        <v>0</v>
      </c>
      <c r="N123" s="181"/>
      <c r="O123" s="181"/>
    </row>
    <row r="124" spans="1:28" s="89" customFormat="1" ht="11.25" customHeight="1" x14ac:dyDescent="0.3">
      <c r="A124" s="485"/>
      <c r="B124" s="181"/>
      <c r="C124" s="203">
        <f t="shared" si="2"/>
        <v>10</v>
      </c>
      <c r="D124" s="163">
        <f t="shared" si="3"/>
        <v>0</v>
      </c>
      <c r="E124" s="163">
        <f t="shared" si="4"/>
        <v>0</v>
      </c>
      <c r="F124" s="163">
        <f t="shared" si="5"/>
        <v>0</v>
      </c>
      <c r="G124" s="163">
        <f t="shared" si="6"/>
        <v>0</v>
      </c>
      <c r="H124" s="163">
        <f t="shared" si="7"/>
        <v>0</v>
      </c>
      <c r="I124" s="163">
        <f t="shared" si="8"/>
        <v>0</v>
      </c>
      <c r="J124" s="163">
        <f t="shared" si="9"/>
        <v>0</v>
      </c>
      <c r="K124" s="163">
        <f t="shared" si="10"/>
        <v>0</v>
      </c>
      <c r="L124" s="163">
        <f t="shared" si="11"/>
        <v>0</v>
      </c>
      <c r="M124" s="292">
        <f t="shared" si="12"/>
        <v>0</v>
      </c>
      <c r="N124" s="181"/>
      <c r="O124" s="181"/>
    </row>
    <row r="125" spans="1:28" s="89" customFormat="1" ht="11.25" customHeight="1" x14ac:dyDescent="0.3">
      <c r="A125" s="485"/>
      <c r="B125" s="181"/>
      <c r="C125" s="203">
        <f t="shared" si="2"/>
        <v>10</v>
      </c>
      <c r="D125" s="163">
        <f t="shared" si="3"/>
        <v>0</v>
      </c>
      <c r="E125" s="163">
        <f t="shared" si="4"/>
        <v>0</v>
      </c>
      <c r="F125" s="163">
        <f t="shared" si="5"/>
        <v>0</v>
      </c>
      <c r="G125" s="163">
        <f t="shared" si="6"/>
        <v>0</v>
      </c>
      <c r="H125" s="163">
        <f t="shared" si="7"/>
        <v>0</v>
      </c>
      <c r="I125" s="163">
        <f t="shared" si="8"/>
        <v>0</v>
      </c>
      <c r="J125" s="163">
        <f t="shared" si="9"/>
        <v>0</v>
      </c>
      <c r="K125" s="163">
        <f t="shared" si="10"/>
        <v>0</v>
      </c>
      <c r="L125" s="163">
        <f t="shared" si="11"/>
        <v>0</v>
      </c>
      <c r="M125" s="292">
        <f t="shared" si="12"/>
        <v>0</v>
      </c>
      <c r="N125" s="181"/>
      <c r="O125" s="181"/>
    </row>
    <row r="126" spans="1:28" s="89" customFormat="1" ht="11.25" customHeight="1" x14ac:dyDescent="0.3">
      <c r="A126" s="485"/>
      <c r="B126" s="181"/>
      <c r="C126" s="203">
        <f t="shared" si="2"/>
        <v>10</v>
      </c>
      <c r="D126" s="163">
        <f t="shared" si="3"/>
        <v>0</v>
      </c>
      <c r="E126" s="163">
        <f t="shared" si="4"/>
        <v>0</v>
      </c>
      <c r="F126" s="163">
        <f t="shared" si="5"/>
        <v>0</v>
      </c>
      <c r="G126" s="163">
        <f t="shared" si="6"/>
        <v>0</v>
      </c>
      <c r="H126" s="163">
        <f t="shared" si="7"/>
        <v>0</v>
      </c>
      <c r="I126" s="163">
        <f t="shared" si="8"/>
        <v>0</v>
      </c>
      <c r="J126" s="163">
        <f t="shared" si="9"/>
        <v>0</v>
      </c>
      <c r="K126" s="163">
        <f t="shared" si="10"/>
        <v>0</v>
      </c>
      <c r="L126" s="163">
        <f t="shared" si="11"/>
        <v>0</v>
      </c>
      <c r="M126" s="292">
        <f t="shared" si="12"/>
        <v>0</v>
      </c>
      <c r="N126" s="181"/>
      <c r="O126" s="181"/>
    </row>
    <row r="127" spans="1:28" s="89" customFormat="1" ht="11.25" customHeight="1" x14ac:dyDescent="0.3">
      <c r="A127" s="485"/>
      <c r="B127" s="181"/>
      <c r="C127" s="203">
        <f t="shared" si="2"/>
        <v>10</v>
      </c>
      <c r="D127" s="163">
        <f t="shared" si="3"/>
        <v>0</v>
      </c>
      <c r="E127" s="163">
        <f t="shared" si="4"/>
        <v>0</v>
      </c>
      <c r="F127" s="163">
        <f t="shared" si="5"/>
        <v>0</v>
      </c>
      <c r="G127" s="163">
        <f t="shared" si="6"/>
        <v>0</v>
      </c>
      <c r="H127" s="163">
        <f t="shared" si="7"/>
        <v>0</v>
      </c>
      <c r="I127" s="163">
        <f t="shared" si="8"/>
        <v>0</v>
      </c>
      <c r="J127" s="163">
        <f t="shared" si="9"/>
        <v>0</v>
      </c>
      <c r="K127" s="163">
        <f t="shared" si="10"/>
        <v>0</v>
      </c>
      <c r="L127" s="163">
        <f t="shared" si="11"/>
        <v>0</v>
      </c>
      <c r="M127" s="292">
        <f t="shared" si="12"/>
        <v>0</v>
      </c>
      <c r="N127" s="181"/>
      <c r="O127" s="181"/>
    </row>
    <row r="128" spans="1:28" s="89" customFormat="1" ht="11.25" customHeight="1" x14ac:dyDescent="0.3">
      <c r="A128" s="485"/>
      <c r="B128" s="181"/>
      <c r="C128" s="203">
        <f t="shared" si="2"/>
        <v>10</v>
      </c>
      <c r="D128" s="163">
        <f t="shared" si="3"/>
        <v>0</v>
      </c>
      <c r="E128" s="163">
        <f t="shared" si="4"/>
        <v>0</v>
      </c>
      <c r="F128" s="163">
        <f t="shared" si="5"/>
        <v>0</v>
      </c>
      <c r="G128" s="163">
        <f t="shared" si="6"/>
        <v>0</v>
      </c>
      <c r="H128" s="163">
        <f t="shared" si="7"/>
        <v>0</v>
      </c>
      <c r="I128" s="163">
        <f t="shared" si="8"/>
        <v>0</v>
      </c>
      <c r="J128" s="163">
        <f t="shared" si="9"/>
        <v>0</v>
      </c>
      <c r="K128" s="163">
        <f t="shared" si="10"/>
        <v>0</v>
      </c>
      <c r="L128" s="163">
        <f t="shared" si="11"/>
        <v>0</v>
      </c>
      <c r="M128" s="292">
        <f t="shared" si="12"/>
        <v>0</v>
      </c>
      <c r="N128" s="181"/>
      <c r="O128" s="181"/>
    </row>
    <row r="129" spans="1:29" s="89" customFormat="1" ht="11.25" customHeight="1" x14ac:dyDescent="0.3">
      <c r="A129" s="485"/>
      <c r="B129" s="181"/>
      <c r="C129" s="203">
        <f t="shared" si="2"/>
        <v>10</v>
      </c>
      <c r="D129" s="163">
        <f t="shared" si="3"/>
        <v>0</v>
      </c>
      <c r="E129" s="163">
        <f t="shared" si="4"/>
        <v>0</v>
      </c>
      <c r="F129" s="163">
        <f t="shared" si="5"/>
        <v>0</v>
      </c>
      <c r="G129" s="163">
        <f t="shared" si="6"/>
        <v>0</v>
      </c>
      <c r="H129" s="163">
        <f t="shared" si="7"/>
        <v>0</v>
      </c>
      <c r="I129" s="163">
        <f t="shared" si="8"/>
        <v>0</v>
      </c>
      <c r="J129" s="163">
        <f t="shared" si="9"/>
        <v>0</v>
      </c>
      <c r="K129" s="163">
        <f t="shared" si="10"/>
        <v>0</v>
      </c>
      <c r="L129" s="163">
        <f t="shared" si="11"/>
        <v>0</v>
      </c>
      <c r="M129" s="292">
        <f t="shared" si="12"/>
        <v>0</v>
      </c>
      <c r="N129" s="181"/>
      <c r="O129" s="181"/>
    </row>
    <row r="130" spans="1:29" s="89" customFormat="1" ht="11.25" customHeight="1" x14ac:dyDescent="0.3">
      <c r="A130" s="485"/>
      <c r="B130" s="181"/>
      <c r="C130" s="203">
        <f t="shared" si="2"/>
        <v>10</v>
      </c>
      <c r="D130" s="163">
        <f t="shared" si="3"/>
        <v>0</v>
      </c>
      <c r="E130" s="163">
        <f t="shared" si="4"/>
        <v>0</v>
      </c>
      <c r="F130" s="163">
        <f t="shared" si="5"/>
        <v>0</v>
      </c>
      <c r="G130" s="163">
        <f t="shared" si="6"/>
        <v>0</v>
      </c>
      <c r="H130" s="163">
        <f t="shared" si="7"/>
        <v>0</v>
      </c>
      <c r="I130" s="163">
        <f t="shared" si="8"/>
        <v>0</v>
      </c>
      <c r="J130" s="163">
        <f t="shared" si="9"/>
        <v>0</v>
      </c>
      <c r="K130" s="163">
        <f t="shared" si="10"/>
        <v>0</v>
      </c>
      <c r="L130" s="163">
        <f t="shared" si="11"/>
        <v>0</v>
      </c>
      <c r="M130" s="292">
        <f t="shared" si="12"/>
        <v>0</v>
      </c>
      <c r="N130" s="181"/>
      <c r="O130" s="181"/>
    </row>
    <row r="131" spans="1:29" s="89" customFormat="1" ht="11.25" customHeight="1" x14ac:dyDescent="0.3">
      <c r="A131" s="485"/>
      <c r="B131" s="181"/>
      <c r="C131" s="203">
        <f t="shared" si="2"/>
        <v>10</v>
      </c>
      <c r="D131" s="163">
        <f t="shared" si="3"/>
        <v>0</v>
      </c>
      <c r="E131" s="163">
        <f t="shared" si="4"/>
        <v>0</v>
      </c>
      <c r="F131" s="163">
        <f t="shared" si="5"/>
        <v>0</v>
      </c>
      <c r="G131" s="163">
        <f t="shared" si="6"/>
        <v>0</v>
      </c>
      <c r="H131" s="163">
        <f t="shared" si="7"/>
        <v>0</v>
      </c>
      <c r="I131" s="163">
        <f t="shared" si="8"/>
        <v>0</v>
      </c>
      <c r="J131" s="163">
        <f t="shared" si="9"/>
        <v>0</v>
      </c>
      <c r="K131" s="163">
        <f t="shared" si="10"/>
        <v>0</v>
      </c>
      <c r="L131" s="163">
        <f t="shared" si="11"/>
        <v>0</v>
      </c>
      <c r="M131" s="292">
        <f t="shared" si="12"/>
        <v>0</v>
      </c>
      <c r="N131" s="181"/>
      <c r="O131" s="181"/>
    </row>
    <row r="132" spans="1:29" s="89" customFormat="1" ht="11.25" customHeight="1" x14ac:dyDescent="0.3">
      <c r="A132" s="485"/>
      <c r="B132" s="181"/>
      <c r="C132" s="203">
        <f t="shared" si="2"/>
        <v>10</v>
      </c>
      <c r="D132" s="163">
        <f t="shared" si="3"/>
        <v>0</v>
      </c>
      <c r="E132" s="163">
        <f t="shared" si="4"/>
        <v>0</v>
      </c>
      <c r="F132" s="163">
        <f t="shared" si="5"/>
        <v>0</v>
      </c>
      <c r="G132" s="163">
        <f t="shared" si="6"/>
        <v>0</v>
      </c>
      <c r="H132" s="163">
        <f t="shared" si="7"/>
        <v>0</v>
      </c>
      <c r="I132" s="163">
        <f t="shared" si="8"/>
        <v>0</v>
      </c>
      <c r="J132" s="163">
        <f t="shared" si="9"/>
        <v>0</v>
      </c>
      <c r="K132" s="163">
        <f t="shared" si="10"/>
        <v>0</v>
      </c>
      <c r="L132" s="163">
        <f t="shared" si="11"/>
        <v>0</v>
      </c>
      <c r="M132" s="292">
        <f t="shared" si="12"/>
        <v>0</v>
      </c>
      <c r="N132" s="181"/>
      <c r="O132" s="181"/>
    </row>
    <row r="133" spans="1:29" s="89" customFormat="1" ht="11.25" customHeight="1" x14ac:dyDescent="0.3">
      <c r="A133" s="485"/>
      <c r="B133" s="181"/>
      <c r="C133" s="203">
        <f t="shared" si="2"/>
        <v>10</v>
      </c>
      <c r="D133" s="163">
        <f t="shared" si="3"/>
        <v>0</v>
      </c>
      <c r="E133" s="163">
        <f t="shared" si="4"/>
        <v>0</v>
      </c>
      <c r="F133" s="163">
        <f t="shared" si="5"/>
        <v>0</v>
      </c>
      <c r="G133" s="163">
        <f t="shared" si="6"/>
        <v>0</v>
      </c>
      <c r="H133" s="163">
        <f t="shared" si="7"/>
        <v>0</v>
      </c>
      <c r="I133" s="163">
        <f t="shared" si="8"/>
        <v>0</v>
      </c>
      <c r="J133" s="163">
        <f t="shared" si="9"/>
        <v>0</v>
      </c>
      <c r="K133" s="163">
        <f t="shared" si="10"/>
        <v>0</v>
      </c>
      <c r="L133" s="163">
        <f t="shared" si="11"/>
        <v>0</v>
      </c>
      <c r="M133" s="292">
        <f t="shared" si="12"/>
        <v>0</v>
      </c>
      <c r="N133" s="181"/>
      <c r="O133" s="181"/>
    </row>
    <row r="134" spans="1:29" s="89" customFormat="1" ht="11.25" customHeight="1" x14ac:dyDescent="0.3">
      <c r="A134" s="485"/>
      <c r="B134" s="181"/>
      <c r="C134" s="214"/>
      <c r="D134" s="215"/>
      <c r="E134" s="215"/>
      <c r="F134" s="215"/>
      <c r="G134" s="215"/>
      <c r="H134" s="215"/>
      <c r="I134" s="215"/>
      <c r="J134" s="215"/>
      <c r="K134" s="215"/>
      <c r="L134" s="215"/>
      <c r="M134" s="247"/>
      <c r="N134" s="181"/>
      <c r="O134" s="181"/>
      <c r="S134" s="91"/>
      <c r="T134" s="91"/>
      <c r="U134" s="91"/>
      <c r="AA134" s="91"/>
    </row>
    <row r="135" spans="1:29" s="89" customFormat="1" ht="11.25" customHeight="1" x14ac:dyDescent="0.3">
      <c r="A135" s="485"/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S135" s="91"/>
      <c r="T135" s="91"/>
      <c r="U135" s="91"/>
      <c r="AA135" s="91"/>
    </row>
    <row r="137" spans="1:29" ht="13.5" thickBot="1" x14ac:dyDescent="0.35">
      <c r="A137" s="299"/>
      <c r="B137" s="299"/>
      <c r="C137" s="299"/>
      <c r="D137" s="299"/>
      <c r="E137" s="299"/>
      <c r="F137" s="299"/>
      <c r="G137" s="299"/>
      <c r="H137" s="299"/>
      <c r="I137" s="299"/>
      <c r="J137" s="299"/>
      <c r="K137" s="299"/>
      <c r="L137" s="299"/>
    </row>
    <row r="138" spans="1:29" ht="13.5" thickTop="1" x14ac:dyDescent="0.3">
      <c r="A138" s="486"/>
      <c r="B138" s="202"/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</row>
    <row r="139" spans="1:29" x14ac:dyDescent="0.3">
      <c r="A139" s="485"/>
      <c r="B139" s="202"/>
      <c r="C139" s="300" t="s">
        <v>339</v>
      </c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301"/>
      <c r="O139" s="202"/>
      <c r="P139" s="202"/>
      <c r="Q139" s="159">
        <f>'TRAFFIC &amp; ACCIDENTS'!E8</f>
        <v>0</v>
      </c>
      <c r="R139" s="157" t="s">
        <v>15</v>
      </c>
      <c r="S139" s="181"/>
      <c r="T139" s="181"/>
      <c r="U139" s="182"/>
      <c r="V139" s="183"/>
      <c r="W139" s="184"/>
      <c r="X139" s="185" t="s">
        <v>290</v>
      </c>
      <c r="Y139" s="183"/>
      <c r="Z139" s="183"/>
      <c r="AA139" s="183"/>
      <c r="AB139" s="301"/>
      <c r="AC139" s="202"/>
    </row>
    <row r="140" spans="1:29" x14ac:dyDescent="0.3">
      <c r="A140" s="485"/>
      <c r="B140" s="202"/>
      <c r="C140" s="186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302"/>
      <c r="O140" s="202"/>
      <c r="P140" s="202"/>
      <c r="Q140" s="157"/>
      <c r="R140" s="157"/>
      <c r="S140" s="157"/>
      <c r="T140" s="157"/>
      <c r="U140" s="186"/>
      <c r="V140" s="181"/>
      <c r="W140" s="187"/>
      <c r="X140" s="188" t="s">
        <v>344</v>
      </c>
      <c r="Y140" s="181"/>
      <c r="Z140" s="181"/>
      <c r="AA140" s="181"/>
      <c r="AB140" s="302"/>
      <c r="AC140" s="202"/>
    </row>
    <row r="141" spans="1:29" x14ac:dyDescent="0.3">
      <c r="A141" s="485"/>
      <c r="B141" s="202"/>
      <c r="C141" s="189" t="s">
        <v>68</v>
      </c>
      <c r="D141" s="190"/>
      <c r="E141" s="190" t="s">
        <v>285</v>
      </c>
      <c r="F141" s="190"/>
      <c r="G141" s="181"/>
      <c r="H141" s="181"/>
      <c r="I141" s="181"/>
      <c r="J141" s="181"/>
      <c r="K141" s="157"/>
      <c r="L141" s="158"/>
      <c r="M141" s="181"/>
      <c r="N141" s="302"/>
      <c r="O141" s="202"/>
      <c r="P141" s="202"/>
      <c r="Q141" s="181"/>
      <c r="R141" s="181"/>
      <c r="S141" s="181"/>
      <c r="T141" s="181"/>
      <c r="U141" s="186"/>
      <c r="V141" s="181" t="s">
        <v>291</v>
      </c>
      <c r="W141" s="191"/>
      <c r="X141" s="181"/>
      <c r="Y141" s="181"/>
      <c r="Z141" s="181"/>
      <c r="AA141" s="181"/>
      <c r="AB141" s="302"/>
      <c r="AC141" s="202"/>
    </row>
    <row r="142" spans="1:29" x14ac:dyDescent="0.3">
      <c r="A142" s="485"/>
      <c r="B142" s="202"/>
      <c r="C142" s="192"/>
      <c r="D142" s="156"/>
      <c r="E142" s="156"/>
      <c r="F142" s="156"/>
      <c r="G142" s="181"/>
      <c r="H142" s="181"/>
      <c r="I142" s="181"/>
      <c r="J142" s="181"/>
      <c r="K142" s="157"/>
      <c r="L142" s="158"/>
      <c r="M142" s="181"/>
      <c r="N142" s="302"/>
      <c r="O142" s="202"/>
      <c r="P142" s="202"/>
      <c r="Q142" s="193"/>
      <c r="R142" s="193"/>
      <c r="S142" s="193"/>
      <c r="T142" s="193"/>
      <c r="U142" s="186"/>
      <c r="V142" s="181" t="s">
        <v>292</v>
      </c>
      <c r="W142" s="194" t="s">
        <v>293</v>
      </c>
      <c r="X142" s="194" t="s">
        <v>352</v>
      </c>
      <c r="Y142" s="194" t="s">
        <v>295</v>
      </c>
      <c r="Z142" s="194" t="s">
        <v>296</v>
      </c>
      <c r="AA142" s="194" t="s">
        <v>294</v>
      </c>
      <c r="AB142" s="302"/>
      <c r="AC142" s="202"/>
    </row>
    <row r="143" spans="1:29" x14ac:dyDescent="0.3">
      <c r="A143" s="485"/>
      <c r="B143" s="202"/>
      <c r="C143" s="195">
        <v>0</v>
      </c>
      <c r="D143" s="156"/>
      <c r="E143" s="196" t="s">
        <v>23</v>
      </c>
      <c r="F143" s="156" t="s">
        <v>351</v>
      </c>
      <c r="G143" s="181"/>
      <c r="H143" s="181"/>
      <c r="I143" s="181"/>
      <c r="J143" s="181"/>
      <c r="K143" s="157"/>
      <c r="L143" s="158"/>
      <c r="M143" s="181"/>
      <c r="N143" s="302"/>
      <c r="O143" s="202"/>
      <c r="P143" s="202"/>
      <c r="Q143" s="181"/>
      <c r="R143" s="197"/>
      <c r="S143" s="197"/>
      <c r="T143" s="197"/>
      <c r="U143" s="198" t="s">
        <v>89</v>
      </c>
      <c r="V143" s="193" t="s">
        <v>83</v>
      </c>
      <c r="W143" s="194" t="s">
        <v>297</v>
      </c>
      <c r="X143" s="194" t="s">
        <v>298</v>
      </c>
      <c r="Y143" s="194" t="s">
        <v>299</v>
      </c>
      <c r="Z143" s="194" t="s">
        <v>300</v>
      </c>
      <c r="AA143" s="194" t="s">
        <v>301</v>
      </c>
      <c r="AB143" s="302"/>
      <c r="AC143" s="202"/>
    </row>
    <row r="144" spans="1:29" x14ac:dyDescent="0.3">
      <c r="A144" s="485"/>
      <c r="B144" s="202"/>
      <c r="C144" s="195"/>
      <c r="D144" s="156"/>
      <c r="E144" s="196"/>
      <c r="F144" s="156"/>
      <c r="G144" s="181"/>
      <c r="H144" s="181"/>
      <c r="I144" s="181"/>
      <c r="J144" s="181"/>
      <c r="K144" s="157"/>
      <c r="L144" s="158"/>
      <c r="M144" s="181"/>
      <c r="N144" s="302"/>
      <c r="O144" s="202"/>
      <c r="P144" s="202"/>
      <c r="Q144" s="181"/>
      <c r="R144" s="199"/>
      <c r="S144" s="181"/>
      <c r="T144" s="181"/>
      <c r="U144" s="186"/>
      <c r="V144" s="200" t="s">
        <v>302</v>
      </c>
      <c r="W144" s="201" t="s">
        <v>303</v>
      </c>
      <c r="X144" s="201" t="s">
        <v>304</v>
      </c>
      <c r="Y144" s="201" t="s">
        <v>305</v>
      </c>
      <c r="Z144" s="201" t="s">
        <v>305</v>
      </c>
      <c r="AA144" s="201" t="s">
        <v>305</v>
      </c>
      <c r="AB144" s="302"/>
      <c r="AC144" s="202"/>
    </row>
    <row r="145" spans="1:29" x14ac:dyDescent="0.3">
      <c r="A145" s="485"/>
      <c r="B145" s="202"/>
      <c r="C145" s="195">
        <v>3.33</v>
      </c>
      <c r="D145" s="156"/>
      <c r="E145" s="196" t="s">
        <v>29</v>
      </c>
      <c r="F145" s="156" t="s">
        <v>348</v>
      </c>
      <c r="G145" s="181"/>
      <c r="H145" s="181"/>
      <c r="I145" s="202"/>
      <c r="J145" s="202"/>
      <c r="K145" s="157"/>
      <c r="L145" s="158"/>
      <c r="M145" s="181"/>
      <c r="N145" s="302"/>
      <c r="O145" s="202"/>
      <c r="P145" s="202"/>
      <c r="Q145" s="181"/>
      <c r="R145" s="181"/>
      <c r="S145" s="181"/>
      <c r="T145" s="181"/>
      <c r="U145" s="203">
        <v>1</v>
      </c>
      <c r="V145" s="204">
        <f>MROUND(GEOMETRY!J22,5)</f>
        <v>0</v>
      </c>
      <c r="W145" s="157">
        <f>IF(AND(V145&lt;&gt;0,S152&gt;V145),S152-V145,0)</f>
        <v>0</v>
      </c>
      <c r="X145" s="157">
        <f t="shared" ref="X145:X158" si="13">IF(W145&lt;=0,1,Y145)</f>
        <v>1</v>
      </c>
      <c r="Y145" s="157" t="str">
        <f>IF(AND(W145&lt;=5,W145&gt;0),1,Z145)</f>
        <v/>
      </c>
      <c r="Z145" s="157" t="str">
        <f t="shared" ref="Z145:Z158" si="14">IF(AND(W145&gt;5,W145&lt;15),1,AA145)</f>
        <v/>
      </c>
      <c r="AA145" s="157" t="str">
        <f t="shared" ref="AA145:AA158" si="15">IF(AND(W145&lt;&gt;"",W145&gt;=15),1,"")</f>
        <v/>
      </c>
      <c r="AB145" s="302"/>
      <c r="AC145" s="202"/>
    </row>
    <row r="146" spans="1:29" x14ac:dyDescent="0.3">
      <c r="A146" s="485"/>
      <c r="B146" s="202"/>
      <c r="C146" s="195"/>
      <c r="D146" s="156"/>
      <c r="E146" s="196"/>
      <c r="F146" s="205" t="s">
        <v>349</v>
      </c>
      <c r="G146" s="181"/>
      <c r="H146" s="181"/>
      <c r="I146" s="181"/>
      <c r="J146" s="181"/>
      <c r="K146" s="157"/>
      <c r="L146" s="158"/>
      <c r="M146" s="181"/>
      <c r="N146" s="302"/>
      <c r="O146" s="202"/>
      <c r="P146" s="202"/>
      <c r="Q146" s="181" t="s">
        <v>156</v>
      </c>
      <c r="R146" s="181"/>
      <c r="S146" s="181"/>
      <c r="T146" s="181"/>
      <c r="U146" s="203">
        <v>2</v>
      </c>
      <c r="V146" s="204">
        <f>MROUND(GEOMETRY!J23,5)</f>
        <v>0</v>
      </c>
      <c r="W146" s="157">
        <f>IF(AND(V146&lt;&gt;0,S152&gt;V146),S152-V146,0)</f>
        <v>0</v>
      </c>
      <c r="X146" s="157">
        <f t="shared" si="13"/>
        <v>1</v>
      </c>
      <c r="Y146" s="157" t="str">
        <f>IF(AND(W146&lt;=5,W146&gt;0),1,Z146)</f>
        <v/>
      </c>
      <c r="Z146" s="157" t="str">
        <f t="shared" si="14"/>
        <v/>
      </c>
      <c r="AA146" s="157" t="str">
        <f t="shared" si="15"/>
        <v/>
      </c>
      <c r="AB146" s="302"/>
      <c r="AC146" s="202"/>
    </row>
    <row r="147" spans="1:29" x14ac:dyDescent="0.3">
      <c r="A147" s="485"/>
      <c r="B147" s="202"/>
      <c r="C147" s="195"/>
      <c r="D147" s="156"/>
      <c r="E147" s="196"/>
      <c r="F147" s="156"/>
      <c r="G147" s="181"/>
      <c r="H147" s="181"/>
      <c r="I147" s="181"/>
      <c r="J147" s="181"/>
      <c r="K147" s="157"/>
      <c r="L147" s="158"/>
      <c r="M147" s="181"/>
      <c r="N147" s="302"/>
      <c r="O147" s="202"/>
      <c r="P147" s="202"/>
      <c r="Q147" s="204" t="str">
        <f>GEOMETRY!D6</f>
        <v>x</v>
      </c>
      <c r="R147" s="181" t="s">
        <v>76</v>
      </c>
      <c r="S147" s="181"/>
      <c r="T147" s="181"/>
      <c r="U147" s="203">
        <v>3</v>
      </c>
      <c r="V147" s="204">
        <f>MROUND(GEOMETRY!J24,5)</f>
        <v>0</v>
      </c>
      <c r="W147" s="157">
        <f>IF(AND(V147&lt;&gt;0,S152&gt;V147),S152-V147,0)</f>
        <v>0</v>
      </c>
      <c r="X147" s="157">
        <f t="shared" si="13"/>
        <v>1</v>
      </c>
      <c r="Y147" s="157" t="str">
        <f>IF(AND(W147&lt;=5,W147&gt;0),1,Z147)</f>
        <v/>
      </c>
      <c r="Z147" s="157" t="str">
        <f t="shared" si="14"/>
        <v/>
      </c>
      <c r="AA147" s="157" t="str">
        <f t="shared" si="15"/>
        <v/>
      </c>
      <c r="AB147" s="302"/>
      <c r="AC147" s="202"/>
    </row>
    <row r="148" spans="1:29" x14ac:dyDescent="0.3">
      <c r="A148" s="485"/>
      <c r="B148" s="202"/>
      <c r="C148" s="195">
        <v>6.67</v>
      </c>
      <c r="D148" s="156"/>
      <c r="E148" s="196" t="s">
        <v>41</v>
      </c>
      <c r="F148" s="156" t="s">
        <v>350</v>
      </c>
      <c r="G148" s="181"/>
      <c r="H148" s="181"/>
      <c r="I148" s="181"/>
      <c r="J148" s="181"/>
      <c r="K148" s="157"/>
      <c r="L148" s="158"/>
      <c r="M148" s="181"/>
      <c r="N148" s="302"/>
      <c r="O148" s="202"/>
      <c r="P148" s="202"/>
      <c r="Q148" s="204">
        <f>GEOMETRY!D7</f>
        <v>0</v>
      </c>
      <c r="R148" s="181" t="s">
        <v>78</v>
      </c>
      <c r="S148" s="181"/>
      <c r="T148" s="181"/>
      <c r="U148" s="203">
        <v>4</v>
      </c>
      <c r="V148" s="204">
        <f>MROUND(GEOMETRY!J25,5)</f>
        <v>0</v>
      </c>
      <c r="W148" s="157">
        <f>IF(AND(V148&lt;&gt;0,S152&gt;V148),S152-V148,0)</f>
        <v>0</v>
      </c>
      <c r="X148" s="157">
        <f t="shared" si="13"/>
        <v>1</v>
      </c>
      <c r="Y148" s="157" t="str">
        <f>IF(AND(W148&lt;10,W148&gt;0),1,Z148)</f>
        <v/>
      </c>
      <c r="Z148" s="157" t="str">
        <f t="shared" si="14"/>
        <v/>
      </c>
      <c r="AA148" s="157" t="str">
        <f t="shared" si="15"/>
        <v/>
      </c>
      <c r="AB148" s="302"/>
      <c r="AC148" s="202"/>
    </row>
    <row r="149" spans="1:29" x14ac:dyDescent="0.3">
      <c r="A149" s="485"/>
      <c r="B149" s="202"/>
      <c r="C149" s="206"/>
      <c r="D149" s="157"/>
      <c r="E149" s="194"/>
      <c r="F149" s="205" t="s">
        <v>286</v>
      </c>
      <c r="G149" s="181"/>
      <c r="H149" s="181"/>
      <c r="I149" s="181"/>
      <c r="J149" s="181"/>
      <c r="K149" s="157"/>
      <c r="L149" s="158"/>
      <c r="M149" s="181"/>
      <c r="N149" s="302"/>
      <c r="O149" s="202"/>
      <c r="P149" s="202"/>
      <c r="Q149" s="204">
        <f>GEOMETRY!D8</f>
        <v>0</v>
      </c>
      <c r="R149" s="181" t="s">
        <v>81</v>
      </c>
      <c r="S149" s="181"/>
      <c r="T149" s="181"/>
      <c r="U149" s="203">
        <v>5</v>
      </c>
      <c r="V149" s="204">
        <f>MROUND(GEOMETRY!J26,5)</f>
        <v>0</v>
      </c>
      <c r="W149" s="157">
        <f>IF(AND(V149&lt;&gt;0,S152&gt;V149),S152-V149,0)</f>
        <v>0</v>
      </c>
      <c r="X149" s="157">
        <f t="shared" si="13"/>
        <v>1</v>
      </c>
      <c r="Y149" s="157" t="str">
        <f t="shared" ref="Y149:Y158" si="16">IF(AND(W149&lt;=5,W149&gt;0),1,Z149)</f>
        <v/>
      </c>
      <c r="Z149" s="157" t="str">
        <f t="shared" si="14"/>
        <v/>
      </c>
      <c r="AA149" s="157" t="str">
        <f t="shared" si="15"/>
        <v/>
      </c>
      <c r="AB149" s="302"/>
      <c r="AC149" s="202"/>
    </row>
    <row r="150" spans="1:29" x14ac:dyDescent="0.3">
      <c r="A150" s="485"/>
      <c r="B150" s="202"/>
      <c r="C150" s="195"/>
      <c r="D150" s="156"/>
      <c r="E150" s="196"/>
      <c r="F150" s="156"/>
      <c r="G150" s="157"/>
      <c r="H150" s="157"/>
      <c r="I150" s="157"/>
      <c r="J150" s="157"/>
      <c r="K150" s="157"/>
      <c r="L150" s="181"/>
      <c r="M150" s="181"/>
      <c r="N150" s="302"/>
      <c r="O150" s="202"/>
      <c r="P150" s="202"/>
      <c r="Q150" s="181"/>
      <c r="R150" s="181"/>
      <c r="S150" s="181"/>
      <c r="T150" s="181"/>
      <c r="U150" s="203">
        <v>6</v>
      </c>
      <c r="V150" s="204">
        <f>MROUND(GEOMETRY!J27,5)</f>
        <v>0</v>
      </c>
      <c r="W150" s="157">
        <f>IF(AND(V150&lt;&gt;0,S152&gt;V150),S152-V150,0)</f>
        <v>0</v>
      </c>
      <c r="X150" s="157">
        <f t="shared" si="13"/>
        <v>1</v>
      </c>
      <c r="Y150" s="157" t="str">
        <f t="shared" si="16"/>
        <v/>
      </c>
      <c r="Z150" s="157" t="str">
        <f t="shared" si="14"/>
        <v/>
      </c>
      <c r="AA150" s="157" t="str">
        <f t="shared" si="15"/>
        <v/>
      </c>
      <c r="AB150" s="302"/>
      <c r="AC150" s="202"/>
    </row>
    <row r="151" spans="1:29" x14ac:dyDescent="0.3">
      <c r="A151" s="485"/>
      <c r="B151" s="202"/>
      <c r="C151" s="195">
        <v>10</v>
      </c>
      <c r="D151" s="156"/>
      <c r="E151" s="196" t="s">
        <v>56</v>
      </c>
      <c r="F151" s="156" t="s">
        <v>287</v>
      </c>
      <c r="G151" s="157"/>
      <c r="H151" s="157"/>
      <c r="I151" s="157"/>
      <c r="J151" s="157"/>
      <c r="K151" s="157"/>
      <c r="L151" s="181"/>
      <c r="M151" s="181"/>
      <c r="N151" s="302"/>
      <c r="O151" s="202"/>
      <c r="P151" s="202"/>
      <c r="Q151" s="181"/>
      <c r="R151" s="181"/>
      <c r="S151" s="181"/>
      <c r="T151" s="181"/>
      <c r="U151" s="203">
        <v>7</v>
      </c>
      <c r="V151" s="204">
        <f>MROUND(GEOMETRY!J28,5)</f>
        <v>0</v>
      </c>
      <c r="W151" s="157">
        <f>IF(AND(V151&lt;&gt;0,S152&gt;V151),S152-V151,0)</f>
        <v>0</v>
      </c>
      <c r="X151" s="157">
        <f t="shared" si="13"/>
        <v>1</v>
      </c>
      <c r="Y151" s="157" t="str">
        <f t="shared" si="16"/>
        <v/>
      </c>
      <c r="Z151" s="157" t="str">
        <f t="shared" si="14"/>
        <v/>
      </c>
      <c r="AA151" s="157" t="str">
        <f t="shared" si="15"/>
        <v/>
      </c>
      <c r="AB151" s="302"/>
      <c r="AC151" s="202"/>
    </row>
    <row r="152" spans="1:29" x14ac:dyDescent="0.3">
      <c r="A152" s="485"/>
      <c r="B152" s="202"/>
      <c r="C152" s="206"/>
      <c r="D152" s="157"/>
      <c r="E152" s="157"/>
      <c r="F152" s="157"/>
      <c r="G152" s="157"/>
      <c r="H152" s="157"/>
      <c r="I152" s="157"/>
      <c r="J152" s="157"/>
      <c r="K152" s="157"/>
      <c r="L152" s="181"/>
      <c r="M152" s="181"/>
      <c r="N152" s="302"/>
      <c r="O152" s="202"/>
      <c r="P152" s="202"/>
      <c r="Q152" s="181"/>
      <c r="R152" s="207" t="s">
        <v>82</v>
      </c>
      <c r="S152" s="208">
        <f>Q155</f>
        <v>40</v>
      </c>
      <c r="T152" s="203"/>
      <c r="U152" s="203">
        <v>8</v>
      </c>
      <c r="V152" s="204">
        <f>MROUND(GEOMETRY!J29,5)</f>
        <v>0</v>
      </c>
      <c r="W152" s="157">
        <f>IF(AND(V152&lt;&gt;0,S152&gt;V152),S152-V152,0)</f>
        <v>0</v>
      </c>
      <c r="X152" s="157">
        <f t="shared" si="13"/>
        <v>1</v>
      </c>
      <c r="Y152" s="157" t="str">
        <f t="shared" si="16"/>
        <v/>
      </c>
      <c r="Z152" s="157" t="str">
        <f t="shared" si="14"/>
        <v/>
      </c>
      <c r="AA152" s="157" t="str">
        <f t="shared" si="15"/>
        <v/>
      </c>
      <c r="AB152" s="302"/>
      <c r="AC152" s="202"/>
    </row>
    <row r="153" spans="1:29" x14ac:dyDescent="0.3">
      <c r="A153" s="485"/>
      <c r="B153" s="202"/>
      <c r="C153" s="206"/>
      <c r="D153" s="157"/>
      <c r="E153" s="157"/>
      <c r="F153" s="157"/>
      <c r="G153" s="157"/>
      <c r="H153" s="157"/>
      <c r="I153" s="157"/>
      <c r="J153" s="157"/>
      <c r="K153" s="157"/>
      <c r="L153" s="181"/>
      <c r="M153" s="181"/>
      <c r="N153" s="302"/>
      <c r="O153" s="202"/>
      <c r="P153" s="202"/>
      <c r="Q153" s="181"/>
      <c r="R153" s="181"/>
      <c r="S153" s="181"/>
      <c r="T153" s="181"/>
      <c r="U153" s="203">
        <v>9</v>
      </c>
      <c r="V153" s="204">
        <f>MROUND(GEOMETRY!J30,5)</f>
        <v>0</v>
      </c>
      <c r="W153" s="157">
        <f>IF(AND(V153&lt;&gt;0,S152&gt;V153),S152-V153,0)</f>
        <v>0</v>
      </c>
      <c r="X153" s="157">
        <f t="shared" si="13"/>
        <v>1</v>
      </c>
      <c r="Y153" s="157" t="str">
        <f t="shared" si="16"/>
        <v/>
      </c>
      <c r="Z153" s="157" t="str">
        <f t="shared" si="14"/>
        <v/>
      </c>
      <c r="AA153" s="157" t="str">
        <f t="shared" si="15"/>
        <v/>
      </c>
      <c r="AB153" s="302"/>
      <c r="AC153" s="202"/>
    </row>
    <row r="154" spans="1:29" x14ac:dyDescent="0.3">
      <c r="A154" s="485"/>
      <c r="B154" s="202"/>
      <c r="C154" s="206"/>
      <c r="D154" s="157"/>
      <c r="E154" s="157"/>
      <c r="F154" s="157"/>
      <c r="G154" s="157"/>
      <c r="H154" s="157"/>
      <c r="I154" s="157"/>
      <c r="J154" s="157"/>
      <c r="K154" s="157"/>
      <c r="L154" s="209"/>
      <c r="M154" s="181"/>
      <c r="N154" s="302"/>
      <c r="O154" s="202"/>
      <c r="P154" s="202"/>
      <c r="Q154" s="193" t="s">
        <v>306</v>
      </c>
      <c r="R154" s="193"/>
      <c r="S154" s="193"/>
      <c r="T154" s="193"/>
      <c r="U154" s="203">
        <v>10</v>
      </c>
      <c r="V154" s="204">
        <f>MROUND(GEOMETRY!J31,5)</f>
        <v>0</v>
      </c>
      <c r="W154" s="157">
        <f>IF(AND(V154&lt;&gt;0,S152&gt;V154),S152-V154,0)</f>
        <v>0</v>
      </c>
      <c r="X154" s="157">
        <f t="shared" si="13"/>
        <v>1</v>
      </c>
      <c r="Y154" s="157" t="str">
        <f t="shared" si="16"/>
        <v/>
      </c>
      <c r="Z154" s="157" t="str">
        <f t="shared" si="14"/>
        <v/>
      </c>
      <c r="AA154" s="157" t="str">
        <f t="shared" si="15"/>
        <v/>
      </c>
      <c r="AB154" s="302"/>
      <c r="AC154" s="202"/>
    </row>
    <row r="155" spans="1:29" x14ac:dyDescent="0.3">
      <c r="A155" s="485"/>
      <c r="B155" s="202"/>
      <c r="C155" s="206"/>
      <c r="D155" s="157"/>
      <c r="E155" s="157"/>
      <c r="F155" s="157"/>
      <c r="G155" s="157"/>
      <c r="H155" s="157"/>
      <c r="I155" s="157"/>
      <c r="J155" s="157"/>
      <c r="K155" s="157"/>
      <c r="L155" s="157"/>
      <c r="M155" s="181"/>
      <c r="N155" s="302"/>
      <c r="O155" s="202"/>
      <c r="P155" s="202"/>
      <c r="Q155" s="181">
        <f>IF(Q147&lt;&gt;0,R155,Q156)</f>
        <v>40</v>
      </c>
      <c r="R155" s="181">
        <f>IF(Q139&lt;400,40,S155)</f>
        <v>40</v>
      </c>
      <c r="S155" s="181">
        <f>IF(Q139&lt;2001,50,60)</f>
        <v>50</v>
      </c>
      <c r="T155" s="181"/>
      <c r="U155" s="203">
        <v>11</v>
      </c>
      <c r="V155" s="204">
        <f>MROUND(GEOMETRY!J32,5)</f>
        <v>0</v>
      </c>
      <c r="W155" s="157">
        <f>IF(AND(V155&lt;&gt;0,S152&gt;V155),S152-V155,0)</f>
        <v>0</v>
      </c>
      <c r="X155" s="157">
        <f t="shared" si="13"/>
        <v>1</v>
      </c>
      <c r="Y155" s="157" t="str">
        <f t="shared" si="16"/>
        <v/>
      </c>
      <c r="Z155" s="157" t="str">
        <f t="shared" si="14"/>
        <v/>
      </c>
      <c r="AA155" s="157" t="str">
        <f t="shared" si="15"/>
        <v/>
      </c>
      <c r="AB155" s="302"/>
      <c r="AC155" s="202"/>
    </row>
    <row r="156" spans="1:29" x14ac:dyDescent="0.3">
      <c r="A156" s="485"/>
      <c r="B156" s="202"/>
      <c r="C156" s="195"/>
      <c r="D156" s="156"/>
      <c r="E156" s="156"/>
      <c r="F156" s="156"/>
      <c r="G156" s="157"/>
      <c r="H156" s="156"/>
      <c r="I156" s="156"/>
      <c r="J156" s="210" t="s">
        <v>288</v>
      </c>
      <c r="K156" s="211">
        <f>AA159</f>
        <v>0</v>
      </c>
      <c r="L156" s="156" t="s">
        <v>289</v>
      </c>
      <c r="M156" s="181"/>
      <c r="N156" s="302"/>
      <c r="O156" s="202"/>
      <c r="P156" s="202"/>
      <c r="Q156" s="181">
        <f>IF(Q148&lt;&gt;0,R156,Q157)</f>
        <v>20</v>
      </c>
      <c r="R156" s="181">
        <f>IF(Q139&lt;400,30,S156)</f>
        <v>30</v>
      </c>
      <c r="S156" s="181">
        <f>IF(Q139&lt;2001,40,50)</f>
        <v>40</v>
      </c>
      <c r="T156" s="181"/>
      <c r="U156" s="203">
        <v>12</v>
      </c>
      <c r="V156" s="204">
        <f>MROUND(GEOMETRY!J33,5)</f>
        <v>0</v>
      </c>
      <c r="W156" s="157">
        <f>IF(AND(V156&lt;&gt;0,S152&gt;V156),S152-V156,0)</f>
        <v>0</v>
      </c>
      <c r="X156" s="157">
        <f t="shared" si="13"/>
        <v>1</v>
      </c>
      <c r="Y156" s="157" t="str">
        <f t="shared" si="16"/>
        <v/>
      </c>
      <c r="Z156" s="157" t="str">
        <f t="shared" si="14"/>
        <v/>
      </c>
      <c r="AA156" s="157" t="str">
        <f t="shared" si="15"/>
        <v/>
      </c>
      <c r="AB156" s="302"/>
      <c r="AC156" s="202"/>
    </row>
    <row r="157" spans="1:29" x14ac:dyDescent="0.3">
      <c r="A157" s="485"/>
      <c r="B157" s="202"/>
      <c r="C157" s="186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302"/>
      <c r="O157" s="202"/>
      <c r="P157" s="202"/>
      <c r="Q157" s="181">
        <f>R157</f>
        <v>20</v>
      </c>
      <c r="R157" s="181">
        <f>IF(Q139&lt;400,20,S157)</f>
        <v>20</v>
      </c>
      <c r="S157" s="181">
        <f>IF(Q139&lt;2001,30,40)</f>
        <v>30</v>
      </c>
      <c r="T157" s="181"/>
      <c r="U157" s="203">
        <v>13</v>
      </c>
      <c r="V157" s="204">
        <f>MROUND(GEOMETRY!J34,5)</f>
        <v>0</v>
      </c>
      <c r="W157" s="157">
        <f>IF(AND(V157&lt;&gt;0,S152&gt;V157),S152-V157,0)</f>
        <v>0</v>
      </c>
      <c r="X157" s="157">
        <f t="shared" si="13"/>
        <v>1</v>
      </c>
      <c r="Y157" s="157" t="str">
        <f t="shared" si="16"/>
        <v/>
      </c>
      <c r="Z157" s="157" t="str">
        <f t="shared" si="14"/>
        <v/>
      </c>
      <c r="AA157" s="157" t="str">
        <f t="shared" si="15"/>
        <v/>
      </c>
      <c r="AB157" s="302"/>
      <c r="AC157" s="202"/>
    </row>
    <row r="158" spans="1:29" ht="13.5" thickBot="1" x14ac:dyDescent="0.35">
      <c r="A158" s="485"/>
      <c r="B158" s="202"/>
      <c r="C158" s="214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55"/>
      <c r="O158" s="202"/>
      <c r="P158" s="202"/>
      <c r="Q158" s="181"/>
      <c r="R158" s="181"/>
      <c r="S158" s="181"/>
      <c r="T158" s="181"/>
      <c r="U158" s="203">
        <v>14</v>
      </c>
      <c r="V158" s="204">
        <f>MROUND(GEOMETRY!J35,5)</f>
        <v>0</v>
      </c>
      <c r="W158" s="157">
        <f>IF(AND(V158&lt;&gt;0,S152&gt;V158),S152-V158,0)</f>
        <v>0</v>
      </c>
      <c r="X158" s="157">
        <f t="shared" si="13"/>
        <v>1</v>
      </c>
      <c r="Y158" s="157" t="str">
        <f t="shared" si="16"/>
        <v/>
      </c>
      <c r="Z158" s="157" t="str">
        <f t="shared" si="14"/>
        <v/>
      </c>
      <c r="AA158" s="157" t="str">
        <f t="shared" si="15"/>
        <v/>
      </c>
      <c r="AB158" s="302"/>
      <c r="AC158" s="202"/>
    </row>
    <row r="159" spans="1:29" ht="13.5" thickBot="1" x14ac:dyDescent="0.35">
      <c r="A159" s="485"/>
      <c r="B159" s="202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202"/>
      <c r="O159" s="202"/>
      <c r="P159" s="202"/>
      <c r="Q159" s="181"/>
      <c r="R159" s="181"/>
      <c r="S159" s="181"/>
      <c r="T159" s="181"/>
      <c r="U159" s="186"/>
      <c r="V159" s="181"/>
      <c r="W159" s="157"/>
      <c r="X159" s="212">
        <f>IF(SUM(X145:X158)&gt;0,0,W159)</f>
        <v>0</v>
      </c>
      <c r="Y159" s="212">
        <f>IF(SUM(Y145:Y158)&gt;0,3.33,X159)</f>
        <v>0</v>
      </c>
      <c r="Z159" s="212">
        <f>IF(SUM(Z145:Z158)&gt;0,6.67,Y159)</f>
        <v>0</v>
      </c>
      <c r="AA159" s="213">
        <f>IF(SUM(AA145:AA158)&gt;0,10,Z159)</f>
        <v>0</v>
      </c>
      <c r="AB159" s="302"/>
      <c r="AC159" s="202"/>
    </row>
    <row r="160" spans="1:29" x14ac:dyDescent="0.3">
      <c r="A160" s="485"/>
      <c r="B160" s="202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202"/>
      <c r="O160" s="202"/>
      <c r="P160" s="202"/>
      <c r="Q160" s="181"/>
      <c r="R160" s="181"/>
      <c r="S160" s="181"/>
      <c r="T160" s="181"/>
      <c r="U160" s="186"/>
      <c r="V160" s="181"/>
      <c r="W160" s="157"/>
      <c r="X160" s="157"/>
      <c r="Y160" s="157"/>
      <c r="Z160" s="157"/>
      <c r="AA160" s="157" t="s">
        <v>307</v>
      </c>
      <c r="AB160" s="302"/>
      <c r="AC160" s="202"/>
    </row>
    <row r="161" spans="1:29" x14ac:dyDescent="0.3">
      <c r="A161" s="485"/>
      <c r="B161" s="202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202"/>
      <c r="O161" s="202"/>
      <c r="P161" s="202"/>
      <c r="Q161" s="163"/>
      <c r="R161" s="163"/>
      <c r="S161" s="163"/>
      <c r="T161" s="163"/>
      <c r="U161" s="214"/>
      <c r="V161" s="215"/>
      <c r="W161" s="162"/>
      <c r="X161" s="162"/>
      <c r="Y161" s="162"/>
      <c r="Z161" s="162"/>
      <c r="AA161" s="162" t="s">
        <v>3</v>
      </c>
      <c r="AB161" s="255"/>
      <c r="AC161" s="202"/>
    </row>
    <row r="162" spans="1:29" x14ac:dyDescent="0.3">
      <c r="A162" s="485"/>
      <c r="B162" s="202"/>
      <c r="C162" s="202"/>
      <c r="D162" s="181"/>
      <c r="E162" s="181"/>
      <c r="F162" s="202"/>
      <c r="G162" s="202"/>
      <c r="H162" s="202"/>
      <c r="I162" s="181"/>
      <c r="J162" s="303"/>
      <c r="K162" s="304"/>
      <c r="L162" s="181"/>
      <c r="M162" s="181"/>
      <c r="N162" s="202"/>
      <c r="O162" s="202"/>
      <c r="P162" s="202"/>
      <c r="Q162" s="202"/>
      <c r="R162" s="202"/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</row>
    <row r="163" spans="1:29" ht="15.5" x14ac:dyDescent="0.35">
      <c r="A163" s="485"/>
      <c r="B163" s="202"/>
      <c r="C163" s="305" t="s">
        <v>4</v>
      </c>
      <c r="D163" s="305"/>
      <c r="E163" s="305"/>
      <c r="F163" s="305"/>
      <c r="G163" s="305"/>
      <c r="H163" s="305"/>
      <c r="I163" s="306"/>
      <c r="J163" s="306"/>
      <c r="K163" s="306"/>
      <c r="L163" s="307"/>
      <c r="M163" s="181"/>
      <c r="N163" s="181"/>
      <c r="O163" s="202"/>
      <c r="P163" s="202"/>
      <c r="Q163" s="202"/>
      <c r="R163" s="202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</row>
  </sheetData>
  <sheetProtection algorithmName="SHA-512" hashValue="M56TfV1tIhh6ZIWrJ5UFIlcjdnqOnBJMXxvOylSmFLZ2UuplDQMQto2AQ9ToBRbP/EF9BuumymteatF0iC0hUw==" saltValue="uNlzpn8lmBCYmbxHrWzfOg==" spinCount="100000" sheet="1" selectLockedCells="1"/>
  <mergeCells count="22">
    <mergeCell ref="D12:K12"/>
    <mergeCell ref="I4:L4"/>
    <mergeCell ref="A77:A135"/>
    <mergeCell ref="A138:A163"/>
    <mergeCell ref="A42:A70"/>
    <mergeCell ref="J14:L14"/>
    <mergeCell ref="C19:E19"/>
    <mergeCell ref="C14:E14"/>
    <mergeCell ref="C61:D61"/>
    <mergeCell ref="B19:B21"/>
    <mergeCell ref="I19:I21"/>
    <mergeCell ref="E11:J11"/>
    <mergeCell ref="C15:E16"/>
    <mergeCell ref="J15:L16"/>
    <mergeCell ref="U43:AC43"/>
    <mergeCell ref="T82:W83"/>
    <mergeCell ref="W91:Y92"/>
    <mergeCell ref="AF85:AH85"/>
    <mergeCell ref="B76:E76"/>
    <mergeCell ref="I76:L76"/>
    <mergeCell ref="J54:M54"/>
    <mergeCell ref="C54:F54"/>
  </mergeCells>
  <conditionalFormatting sqref="D18">
    <cfRule type="expression" dxfId="4" priority="4" stopIfTrue="1">
      <formula>ISERROR($G$60)</formula>
    </cfRule>
  </conditionalFormatting>
  <conditionalFormatting sqref="J19">
    <cfRule type="expression" dxfId="3" priority="19" stopIfTrue="1">
      <formula>ISERROR($C$140)</formula>
    </cfRule>
  </conditionalFormatting>
  <conditionalFormatting sqref="L22:L35">
    <cfRule type="expression" dxfId="2" priority="23" stopIfTrue="1">
      <formula>ISERROR($U$60)</formula>
    </cfRule>
  </conditionalFormatting>
  <conditionalFormatting sqref="L36:M36">
    <cfRule type="expression" dxfId="1" priority="20" stopIfTrue="1">
      <formula>ISERROR($E$140)</formula>
    </cfRule>
  </conditionalFormatting>
  <conditionalFormatting sqref="P7:P18 O22:O35">
    <cfRule type="expression" dxfId="0" priority="21" stopIfTrue="1">
      <formula>ISERROR($V$51)</formula>
    </cfRule>
  </conditionalFormatting>
  <hyperlinks>
    <hyperlink ref="C14:E14" location="GEOMETRY!A73" display="VERTICAL CURVES:" xr:uid="{00000000-0004-0000-0400-000000000000}"/>
    <hyperlink ref="J14:L14" location="GEOMETRY!A134" display="HORIZ. ALIGNMENT:" xr:uid="{00000000-0004-0000-0400-000001000000}"/>
    <hyperlink ref="I4:L4" location="GEOMETRY!A38" display="LANE &amp; SHOULDER WIDTHS" xr:uid="{00000000-0004-0000-0400-000002000000}"/>
  </hyperlinks>
  <pageMargins left="0.25" right="0.25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workbookViewId="0">
      <selection activeCell="L12" sqref="L12"/>
    </sheetView>
  </sheetViews>
  <sheetFormatPr defaultColWidth="9.1796875" defaultRowHeight="15.5" x14ac:dyDescent="0.35"/>
  <cols>
    <col min="1" max="1" width="12.453125" style="37" customWidth="1"/>
    <col min="2" max="16384" width="9.1796875" style="37"/>
  </cols>
  <sheetData>
    <row r="1" spans="1:4" x14ac:dyDescent="0.35">
      <c r="A1" s="36" t="s">
        <v>254</v>
      </c>
    </row>
    <row r="2" spans="1:4" x14ac:dyDescent="0.35">
      <c r="A2" s="36" t="s">
        <v>255</v>
      </c>
    </row>
    <row r="3" spans="1:4" x14ac:dyDescent="0.35">
      <c r="A3" s="38"/>
    </row>
    <row r="4" spans="1:4" x14ac:dyDescent="0.35">
      <c r="A4" s="38"/>
    </row>
    <row r="5" spans="1:4" x14ac:dyDescent="0.35">
      <c r="A5" s="39" t="s">
        <v>256</v>
      </c>
      <c r="B5" s="496"/>
      <c r="C5" s="496"/>
      <c r="D5" s="496"/>
    </row>
    <row r="6" spans="1:4" x14ac:dyDescent="0.35">
      <c r="A6" s="39" t="s">
        <v>257</v>
      </c>
      <c r="B6" s="497"/>
      <c r="C6" s="497"/>
      <c r="D6" s="497"/>
    </row>
    <row r="7" spans="1:4" x14ac:dyDescent="0.35">
      <c r="A7" s="39" t="s">
        <v>258</v>
      </c>
      <c r="B7" s="497"/>
      <c r="C7" s="497"/>
      <c r="D7" s="497"/>
    </row>
    <row r="8" spans="1:4" x14ac:dyDescent="0.35">
      <c r="A8" s="39"/>
    </row>
    <row r="9" spans="1:4" x14ac:dyDescent="0.35">
      <c r="A9" s="39"/>
    </row>
    <row r="10" spans="1:4" x14ac:dyDescent="0.35">
      <c r="A10" s="40" t="s">
        <v>259</v>
      </c>
      <c r="C10" s="498"/>
      <c r="D10" s="498"/>
    </row>
    <row r="11" spans="1:4" x14ac:dyDescent="0.35">
      <c r="A11" s="41"/>
    </row>
    <row r="12" spans="1:4" x14ac:dyDescent="0.35">
      <c r="A12" s="40" t="s">
        <v>260</v>
      </c>
    </row>
    <row r="13" spans="1:4" x14ac:dyDescent="0.35">
      <c r="A13" s="42" t="s">
        <v>261</v>
      </c>
    </row>
    <row r="14" spans="1:4" x14ac:dyDescent="0.35">
      <c r="A14" s="42" t="s">
        <v>262</v>
      </c>
    </row>
    <row r="15" spans="1:4" x14ac:dyDescent="0.35">
      <c r="A15" s="42" t="s">
        <v>263</v>
      </c>
    </row>
    <row r="16" spans="1:4" x14ac:dyDescent="0.35">
      <c r="A16" s="42"/>
    </row>
    <row r="17" spans="1:8" x14ac:dyDescent="0.35">
      <c r="A17" s="40" t="s">
        <v>264</v>
      </c>
    </row>
    <row r="18" spans="1:8" x14ac:dyDescent="0.35">
      <c r="A18" s="42" t="s">
        <v>265</v>
      </c>
    </row>
    <row r="19" spans="1:8" x14ac:dyDescent="0.35">
      <c r="A19" s="42" t="s">
        <v>266</v>
      </c>
    </row>
    <row r="20" spans="1:8" x14ac:dyDescent="0.35">
      <c r="A20" s="42" t="s">
        <v>263</v>
      </c>
    </row>
    <row r="21" spans="1:8" x14ac:dyDescent="0.35">
      <c r="A21" s="42"/>
    </row>
    <row r="22" spans="1:8" x14ac:dyDescent="0.35">
      <c r="A22" s="40" t="s">
        <v>267</v>
      </c>
    </row>
    <row r="23" spans="1:8" x14ac:dyDescent="0.35">
      <c r="A23" s="42"/>
    </row>
    <row r="24" spans="1:8" x14ac:dyDescent="0.35">
      <c r="A24" s="40" t="s">
        <v>268</v>
      </c>
    </row>
    <row r="25" spans="1:8" x14ac:dyDescent="0.35">
      <c r="A25" s="41"/>
    </row>
    <row r="26" spans="1:8" x14ac:dyDescent="0.35">
      <c r="A26" s="41"/>
    </row>
    <row r="27" spans="1:8" ht="15.75" customHeight="1" x14ac:dyDescent="0.35">
      <c r="A27" s="43" t="s">
        <v>269</v>
      </c>
    </row>
    <row r="28" spans="1:8" x14ac:dyDescent="0.35">
      <c r="A28" s="44"/>
    </row>
    <row r="29" spans="1:8" x14ac:dyDescent="0.35">
      <c r="A29" s="44"/>
    </row>
    <row r="30" spans="1:8" x14ac:dyDescent="0.35">
      <c r="A30" s="44"/>
    </row>
    <row r="31" spans="1:8" x14ac:dyDescent="0.35">
      <c r="A31" s="41"/>
      <c r="B31" s="498"/>
      <c r="C31" s="498"/>
      <c r="D31" s="498"/>
      <c r="G31" s="498"/>
      <c r="H31" s="498"/>
    </row>
    <row r="32" spans="1:8" x14ac:dyDescent="0.35">
      <c r="B32" s="495" t="s">
        <v>270</v>
      </c>
      <c r="C32" s="495"/>
      <c r="D32" s="495"/>
      <c r="G32" s="495" t="s">
        <v>187</v>
      </c>
      <c r="H32" s="495"/>
    </row>
    <row r="33" spans="1:1" x14ac:dyDescent="0.35">
      <c r="A33" s="45"/>
    </row>
    <row r="34" spans="1:1" x14ac:dyDescent="0.35">
      <c r="A34" s="45"/>
    </row>
    <row r="35" spans="1:1" x14ac:dyDescent="0.35">
      <c r="A35" s="45"/>
    </row>
    <row r="36" spans="1:1" x14ac:dyDescent="0.35">
      <c r="A36" s="45"/>
    </row>
    <row r="37" spans="1:1" x14ac:dyDescent="0.35">
      <c r="A37" s="45"/>
    </row>
    <row r="38" spans="1:1" x14ac:dyDescent="0.35">
      <c r="A38" s="45"/>
    </row>
    <row r="39" spans="1:1" x14ac:dyDescent="0.35">
      <c r="A39" s="45"/>
    </row>
    <row r="40" spans="1:1" x14ac:dyDescent="0.35">
      <c r="A40" s="45"/>
    </row>
    <row r="41" spans="1:1" x14ac:dyDescent="0.35">
      <c r="A41" s="46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33" type="noConversion"/>
  <pageMargins left="0.62" right="0.53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"/>
  <sheetViews>
    <sheetView zoomScale="75" workbookViewId="0">
      <selection activeCell="K13" sqref="K13"/>
    </sheetView>
  </sheetViews>
  <sheetFormatPr defaultColWidth="9.1796875" defaultRowHeight="10.5" x14ac:dyDescent="0.3"/>
  <cols>
    <col min="1" max="1" width="16.54296875" style="20" customWidth="1"/>
    <col min="2" max="2" width="15.7265625" style="20" customWidth="1"/>
    <col min="3" max="3" width="18" style="20" customWidth="1"/>
    <col min="4" max="4" width="14.54296875" style="20" customWidth="1"/>
    <col min="5" max="5" width="23" style="20" customWidth="1"/>
    <col min="6" max="6" width="7.7265625" style="20" customWidth="1"/>
    <col min="7" max="7" width="7.1796875" style="20" customWidth="1"/>
    <col min="8" max="16384" width="9.1796875" style="20"/>
  </cols>
  <sheetData>
    <row r="1" spans="1:9" ht="25" customHeight="1" x14ac:dyDescent="0.3">
      <c r="E1" s="500" t="s">
        <v>317</v>
      </c>
      <c r="F1" s="500"/>
      <c r="G1" s="500"/>
      <c r="H1" s="500"/>
      <c r="I1" s="500"/>
    </row>
    <row r="2" spans="1:9" ht="25" customHeight="1" thickBot="1" x14ac:dyDescent="0.35">
      <c r="A2" s="21"/>
      <c r="F2" s="499"/>
      <c r="G2" s="499"/>
      <c r="H2" s="499"/>
      <c r="I2" s="499"/>
    </row>
    <row r="3" spans="1:9" ht="35.15" customHeight="1" thickTop="1" x14ac:dyDescent="0.3">
      <c r="A3" s="501" t="s">
        <v>197</v>
      </c>
      <c r="B3" s="502"/>
      <c r="C3" s="503"/>
      <c r="D3" s="22" t="s">
        <v>198</v>
      </c>
      <c r="E3" s="23" t="s">
        <v>199</v>
      </c>
    </row>
    <row r="4" spans="1:9" ht="35.15" customHeight="1" x14ac:dyDescent="0.3">
      <c r="A4" s="510" t="s">
        <v>200</v>
      </c>
      <c r="B4" s="504" t="s">
        <v>201</v>
      </c>
      <c r="C4" s="504" t="s">
        <v>202</v>
      </c>
      <c r="D4" s="24" t="s">
        <v>203</v>
      </c>
      <c r="E4" s="25" t="s">
        <v>204</v>
      </c>
    </row>
    <row r="5" spans="1:9" ht="35.15" customHeight="1" x14ac:dyDescent="0.25">
      <c r="A5" s="511"/>
      <c r="B5" s="509"/>
      <c r="C5" s="505"/>
      <c r="D5" s="24" t="s">
        <v>205</v>
      </c>
      <c r="E5" s="25" t="s">
        <v>206</v>
      </c>
      <c r="G5" s="26" t="s">
        <v>6</v>
      </c>
    </row>
    <row r="6" spans="1:9" ht="35.15" customHeight="1" x14ac:dyDescent="0.3">
      <c r="A6" s="511"/>
      <c r="B6" s="509"/>
      <c r="C6" s="504" t="s">
        <v>207</v>
      </c>
      <c r="D6" s="24" t="s">
        <v>208</v>
      </c>
      <c r="E6" s="25" t="s">
        <v>209</v>
      </c>
    </row>
    <row r="7" spans="1:9" ht="35.15" customHeight="1" x14ac:dyDescent="0.3">
      <c r="A7" s="511"/>
      <c r="B7" s="505"/>
      <c r="C7" s="505"/>
      <c r="D7" s="24" t="s">
        <v>210</v>
      </c>
      <c r="E7" s="25" t="s">
        <v>211</v>
      </c>
    </row>
    <row r="8" spans="1:9" ht="35.15" customHeight="1" x14ac:dyDescent="0.3">
      <c r="A8" s="511"/>
      <c r="B8" s="504" t="s">
        <v>212</v>
      </c>
      <c r="C8" s="504" t="s">
        <v>213</v>
      </c>
      <c r="D8" s="24" t="s">
        <v>214</v>
      </c>
      <c r="E8" s="25" t="s">
        <v>215</v>
      </c>
    </row>
    <row r="9" spans="1:9" ht="35.15" customHeight="1" x14ac:dyDescent="0.25">
      <c r="A9" s="511"/>
      <c r="B9" s="509"/>
      <c r="C9" s="505"/>
      <c r="D9" s="24" t="s">
        <v>216</v>
      </c>
      <c r="E9" s="25" t="s">
        <v>217</v>
      </c>
      <c r="G9" s="26" t="s">
        <v>188</v>
      </c>
    </row>
    <row r="10" spans="1:9" ht="35.15" customHeight="1" x14ac:dyDescent="0.3">
      <c r="A10" s="511"/>
      <c r="B10" s="509"/>
      <c r="C10" s="504" t="s">
        <v>218</v>
      </c>
      <c r="D10" s="24" t="s">
        <v>219</v>
      </c>
      <c r="E10" s="25" t="s">
        <v>220</v>
      </c>
    </row>
    <row r="11" spans="1:9" ht="35.15" customHeight="1" x14ac:dyDescent="0.3">
      <c r="A11" s="512"/>
      <c r="B11" s="505"/>
      <c r="C11" s="505"/>
      <c r="D11" s="24" t="s">
        <v>221</v>
      </c>
      <c r="E11" s="25" t="s">
        <v>222</v>
      </c>
    </row>
    <row r="12" spans="1:9" ht="35.15" customHeight="1" x14ac:dyDescent="0.3">
      <c r="A12" s="510" t="s">
        <v>223</v>
      </c>
      <c r="B12" s="504" t="s">
        <v>224</v>
      </c>
      <c r="C12" s="504" t="s">
        <v>225</v>
      </c>
      <c r="D12" s="24" t="s">
        <v>226</v>
      </c>
      <c r="E12" s="25" t="s">
        <v>191</v>
      </c>
      <c r="F12" s="27" t="s">
        <v>191</v>
      </c>
    </row>
    <row r="13" spans="1:9" ht="35.15" customHeight="1" x14ac:dyDescent="0.3">
      <c r="A13" s="511"/>
      <c r="B13" s="509"/>
      <c r="C13" s="505"/>
      <c r="D13" s="24" t="s">
        <v>227</v>
      </c>
      <c r="E13" s="25" t="s">
        <v>189</v>
      </c>
      <c r="F13" s="27" t="s">
        <v>189</v>
      </c>
    </row>
    <row r="14" spans="1:9" ht="35.15" customHeight="1" x14ac:dyDescent="0.3">
      <c r="A14" s="511"/>
      <c r="B14" s="505"/>
      <c r="C14" s="24" t="s">
        <v>190</v>
      </c>
      <c r="D14" s="24" t="s">
        <v>228</v>
      </c>
      <c r="E14" s="25" t="s">
        <v>229</v>
      </c>
      <c r="F14" s="27" t="s">
        <v>190</v>
      </c>
    </row>
    <row r="15" spans="1:9" ht="35.15" customHeight="1" x14ac:dyDescent="0.3">
      <c r="A15" s="511"/>
      <c r="B15" s="504" t="s">
        <v>230</v>
      </c>
      <c r="C15" s="504" t="s">
        <v>225</v>
      </c>
      <c r="D15" s="24" t="s">
        <v>231</v>
      </c>
      <c r="E15" s="25" t="s">
        <v>232</v>
      </c>
      <c r="F15" s="27" t="s">
        <v>191</v>
      </c>
    </row>
    <row r="16" spans="1:9" ht="35.15" customHeight="1" x14ac:dyDescent="0.3">
      <c r="A16" s="511"/>
      <c r="B16" s="509"/>
      <c r="C16" s="505"/>
      <c r="D16" s="24" t="s">
        <v>233</v>
      </c>
      <c r="E16" s="25" t="s">
        <v>234</v>
      </c>
      <c r="F16" s="27" t="s">
        <v>189</v>
      </c>
    </row>
    <row r="17" spans="1:6" ht="35.15" customHeight="1" x14ac:dyDescent="0.3">
      <c r="A17" s="512"/>
      <c r="B17" s="505"/>
      <c r="C17" s="24" t="s">
        <v>190</v>
      </c>
      <c r="D17" s="24" t="s">
        <v>235</v>
      </c>
      <c r="E17" s="25" t="s">
        <v>236</v>
      </c>
      <c r="F17" s="27" t="s">
        <v>190</v>
      </c>
    </row>
    <row r="18" spans="1:6" ht="35.15" customHeight="1" thickBot="1" x14ac:dyDescent="0.35">
      <c r="A18" s="506" t="s">
        <v>237</v>
      </c>
      <c r="B18" s="507"/>
      <c r="C18" s="508"/>
      <c r="D18" s="28" t="s">
        <v>238</v>
      </c>
      <c r="E18" s="29" t="s">
        <v>239</v>
      </c>
      <c r="F18" s="27" t="s">
        <v>190</v>
      </c>
    </row>
    <row r="19" spans="1:6" ht="11.5" thickTop="1" x14ac:dyDescent="0.3">
      <c r="A19" s="30"/>
    </row>
  </sheetData>
  <sheetProtection selectLockedCells="1"/>
  <mergeCells count="16">
    <mergeCell ref="F2:I2"/>
    <mergeCell ref="E1:I1"/>
    <mergeCell ref="A3:C3"/>
    <mergeCell ref="C4:C5"/>
    <mergeCell ref="A18:C18"/>
    <mergeCell ref="B8:B11"/>
    <mergeCell ref="B4:B7"/>
    <mergeCell ref="B15:B17"/>
    <mergeCell ref="B12:B14"/>
    <mergeCell ref="A12:A17"/>
    <mergeCell ref="A4:A11"/>
    <mergeCell ref="C10:C11"/>
    <mergeCell ref="C12:C13"/>
    <mergeCell ref="C15:C16"/>
    <mergeCell ref="C6:C7"/>
    <mergeCell ref="C8:C9"/>
  </mergeCells>
  <phoneticPr fontId="22" type="noConversion"/>
  <pageMargins left="0.32" right="0.28000000000000003" top="1" bottom="1" header="0.5" footer="0.5"/>
  <pageSetup orientation="portrait" r:id="rId1"/>
  <headerFooter alignWithMargins="0">
    <oddHeader>&amp;CUnified Soil Classification System;
from American Society for
 Testing and Materials, 1985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RC RATING SUMMARY</vt:lpstr>
      <vt:lpstr>TRAFFIC &amp; ACCIDENTS</vt:lpstr>
      <vt:lpstr>STRUCTURE</vt:lpstr>
      <vt:lpstr>GEOMETRY</vt:lpstr>
      <vt:lpstr>Dev. Request</vt:lpstr>
      <vt:lpstr>USCS</vt:lpstr>
      <vt:lpstr>GEOMETRY!Print_Area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2020-02-20T19:24:27Z</cp:lastPrinted>
  <dcterms:created xsi:type="dcterms:W3CDTF">2001-08-02T21:00:18Z</dcterms:created>
  <dcterms:modified xsi:type="dcterms:W3CDTF">2024-07-16T18:34:43Z</dcterms:modified>
</cp:coreProperties>
</file>