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W/"/>
    </mc:Choice>
  </mc:AlternateContent>
  <xr:revisionPtr revIDLastSave="207" documentId="11_0E2E98FFD57712F7C01C05240659B1AC65B229C9" xr6:coauthVersionLast="47" xr6:coauthVersionMax="47" xr10:uidLastSave="{BF3CC7A7-5C52-4151-993F-D2C367DEEFB0}"/>
  <bookViews>
    <workbookView xWindow="-110" yWindow="-110" windowWidth="38620" windowHeight="21100" activeTab="4" xr2:uid="{00000000-000D-0000-FFFF-FFFF00000000}"/>
  </bookViews>
  <sheets>
    <sheet name="BR Summary" sheetId="6" r:id="rId1"/>
    <sheet name="Traffic &amp; Accidents" sheetId="12" r:id="rId2"/>
    <sheet name="Structure" sheetId="13" r:id="rId3"/>
    <sheet name="Geometry" sheetId="14" r:id="rId4"/>
    <sheet name="BR Rehab." sheetId="7" r:id="rId5"/>
  </sheets>
  <definedNames>
    <definedName name="_xlnm.Print_Area" localSheetId="4">'BR Rehab.'!$A$1:$K$58</definedName>
    <definedName name="_xlnm.Print_Area" localSheetId="0">'BR Summary'!$B$3:$N$59</definedName>
    <definedName name="_xlnm.Print_Area" localSheetId="3">Geometry!$B$3:$L$36</definedName>
    <definedName name="_xlnm.Print_Area" localSheetId="2">Structure!$B$3:$M$10</definedName>
    <definedName name="_xlnm.Print_Area" localSheetId="1">'Traffic &amp; Accidents'!$B$3:$L$18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6" l="1"/>
  <c r="D11" i="7"/>
  <c r="D10" i="7"/>
  <c r="I12" i="7"/>
  <c r="I11" i="7"/>
  <c r="E21" i="7"/>
  <c r="E23" i="7"/>
  <c r="H33" i="7"/>
  <c r="H34" i="7"/>
  <c r="H35" i="7"/>
  <c r="H36" i="7"/>
  <c r="H37" i="7"/>
  <c r="H38" i="7"/>
  <c r="H32" i="7"/>
  <c r="J51" i="7"/>
  <c r="J50" i="7"/>
  <c r="J49" i="7"/>
  <c r="H22" i="13"/>
  <c r="D8" i="14"/>
  <c r="BC27" i="14" l="1"/>
  <c r="BB27" i="14" s="1"/>
  <c r="BA27" i="14" s="1"/>
  <c r="AX27" i="14"/>
  <c r="AW27" i="14" s="1"/>
  <c r="AV27" i="14" s="1"/>
  <c r="AU27" i="14" s="1"/>
  <c r="BC17" i="14"/>
  <c r="AX17" i="14"/>
  <c r="F9" i="13" l="1"/>
  <c r="AI20" i="14" l="1"/>
  <c r="AO26" i="14" s="1"/>
  <c r="AI19" i="14"/>
  <c r="AP20" i="14" s="1"/>
  <c r="AV9" i="14"/>
  <c r="V86" i="14"/>
  <c r="U86" i="14" s="1"/>
  <c r="T86" i="14" s="1"/>
  <c r="S86" i="14" s="1"/>
  <c r="R86" i="14" s="1"/>
  <c r="Q86" i="14" s="1"/>
  <c r="V85" i="14"/>
  <c r="U85" i="14" s="1"/>
  <c r="T85" i="14" s="1"/>
  <c r="S85" i="14" s="1"/>
  <c r="R85" i="14" s="1"/>
  <c r="Q85" i="14" s="1"/>
  <c r="V84" i="14"/>
  <c r="U84" i="14" s="1"/>
  <c r="T84" i="14" s="1"/>
  <c r="S84" i="14" s="1"/>
  <c r="R84" i="14" s="1"/>
  <c r="Q84" i="14" s="1"/>
  <c r="V83" i="14"/>
  <c r="U83" i="14"/>
  <c r="T83" i="14" s="1"/>
  <c r="S83" i="14" s="1"/>
  <c r="R83" i="14" s="1"/>
  <c r="Q83" i="14" s="1"/>
  <c r="Q64" i="14"/>
  <c r="Q63" i="14"/>
  <c r="Q62" i="14"/>
  <c r="Q61" i="14"/>
  <c r="Q60" i="14"/>
  <c r="Q59" i="14"/>
  <c r="V77" i="14" s="1"/>
  <c r="U77" i="14" s="1"/>
  <c r="Q58" i="14"/>
  <c r="Q57" i="14"/>
  <c r="V79" i="14" s="1"/>
  <c r="Q56" i="14"/>
  <c r="Q55" i="14"/>
  <c r="P49" i="14"/>
  <c r="P48" i="14"/>
  <c r="P47" i="14"/>
  <c r="P44" i="14"/>
  <c r="U47" i="14" s="1"/>
  <c r="T47" i="14" s="1"/>
  <c r="S47" i="14" s="1"/>
  <c r="R121" i="14"/>
  <c r="Q121" i="14"/>
  <c r="R120" i="14"/>
  <c r="Q120" i="14"/>
  <c r="R119" i="14"/>
  <c r="Q119" i="14"/>
  <c r="R118" i="14"/>
  <c r="Q118" i="14"/>
  <c r="R117" i="14"/>
  <c r="Q117" i="14"/>
  <c r="R116" i="14"/>
  <c r="Q116" i="14"/>
  <c r="R115" i="14"/>
  <c r="Q115" i="14"/>
  <c r="R114" i="14"/>
  <c r="Q114" i="14"/>
  <c r="R113" i="14"/>
  <c r="Q113" i="14"/>
  <c r="R112" i="14"/>
  <c r="Q112" i="14"/>
  <c r="AN27" i="14" l="1"/>
  <c r="AO20" i="14"/>
  <c r="AP26" i="14"/>
  <c r="AO27" i="14"/>
  <c r="AP25" i="14"/>
  <c r="AO25" i="14" s="1"/>
  <c r="AP27" i="14"/>
  <c r="AO19" i="14"/>
  <c r="AN20" i="14" s="1"/>
  <c r="AN21" i="14"/>
  <c r="AM21" i="14" s="1"/>
  <c r="AP19" i="14"/>
  <c r="AO21" i="14"/>
  <c r="AP21" i="14"/>
  <c r="AM27" i="14"/>
  <c r="R98" i="14"/>
  <c r="Q98" i="14" s="1"/>
  <c r="AZ22" i="14"/>
  <c r="R105" i="14"/>
  <c r="Q105" i="14" s="1"/>
  <c r="R103" i="14"/>
  <c r="Q103" i="14" s="1"/>
  <c r="R97" i="14"/>
  <c r="Q97" i="14" s="1"/>
  <c r="R99" i="14"/>
  <c r="Q99" i="14" s="1"/>
  <c r="T77" i="14"/>
  <c r="S77" i="14" s="1"/>
  <c r="R77" i="14" s="1"/>
  <c r="Q77" i="14" s="1"/>
  <c r="R59" i="14" s="1"/>
  <c r="U45" i="14"/>
  <c r="T45" i="14" s="1"/>
  <c r="R104" i="14"/>
  <c r="Q104" i="14" s="1"/>
  <c r="U46" i="14"/>
  <c r="T46" i="14" s="1"/>
  <c r="V73" i="14"/>
  <c r="U73" i="14" s="1"/>
  <c r="T73" i="14" s="1"/>
  <c r="S73" i="14" s="1"/>
  <c r="R73" i="14" s="1"/>
  <c r="Q73" i="14" s="1"/>
  <c r="R55" i="14" s="1"/>
  <c r="V81" i="14"/>
  <c r="U81" i="14" s="1"/>
  <c r="T81" i="14" s="1"/>
  <c r="S81" i="14" s="1"/>
  <c r="R81" i="14" s="1"/>
  <c r="Q81" i="14" s="1"/>
  <c r="R63" i="14" s="1"/>
  <c r="S46" i="14"/>
  <c r="V78" i="14"/>
  <c r="U78" i="14" s="1"/>
  <c r="T78" i="14" s="1"/>
  <c r="S78" i="14" s="1"/>
  <c r="R78" i="14" s="1"/>
  <c r="Q78" i="14" s="1"/>
  <c r="R60" i="14" s="1"/>
  <c r="V76" i="14"/>
  <c r="U76" i="14" s="1"/>
  <c r="T76" i="14" s="1"/>
  <c r="S76" i="14" s="1"/>
  <c r="R76" i="14" s="1"/>
  <c r="Q76" i="14" s="1"/>
  <c r="R58" i="14" s="1"/>
  <c r="V80" i="14"/>
  <c r="U80" i="14" s="1"/>
  <c r="T80" i="14" s="1"/>
  <c r="S80" i="14" s="1"/>
  <c r="R80" i="14" s="1"/>
  <c r="Q80" i="14" s="1"/>
  <c r="R62" i="14" s="1"/>
  <c r="V74" i="14"/>
  <c r="U74" i="14" s="1"/>
  <c r="T74" i="14" s="1"/>
  <c r="S74" i="14" s="1"/>
  <c r="R74" i="14" s="1"/>
  <c r="Q74" i="14" s="1"/>
  <c r="R56" i="14" s="1"/>
  <c r="U79" i="14"/>
  <c r="T79" i="14" s="1"/>
  <c r="S79" i="14" s="1"/>
  <c r="R79" i="14" s="1"/>
  <c r="V82" i="14"/>
  <c r="U82" i="14" s="1"/>
  <c r="T82" i="14" s="1"/>
  <c r="S82" i="14" s="1"/>
  <c r="R82" i="14" s="1"/>
  <c r="Q82" i="14" s="1"/>
  <c r="R64" i="14" s="1"/>
  <c r="V75" i="14"/>
  <c r="U75" i="14" s="1"/>
  <c r="T75" i="14" s="1"/>
  <c r="S75" i="14" s="1"/>
  <c r="R75" i="14" s="1"/>
  <c r="Q75" i="14" s="1"/>
  <c r="R57" i="14" s="1"/>
  <c r="AM20" i="14" l="1"/>
  <c r="S45" i="14"/>
  <c r="T50" i="14" s="1"/>
  <c r="Q79" i="14"/>
  <c r="R61" i="14" s="1"/>
  <c r="AN19" i="14"/>
  <c r="AN25" i="14"/>
  <c r="AN26" i="14"/>
  <c r="AM26" i="14" s="1"/>
  <c r="AM25" i="14" s="1"/>
  <c r="AM19" i="14" l="1"/>
  <c r="AN15" i="14" s="1"/>
  <c r="S56" i="14"/>
  <c r="T56" i="14" s="1"/>
  <c r="S64" i="14"/>
  <c r="T64" i="14" s="1"/>
  <c r="S63" i="14"/>
  <c r="T63" i="14" s="1"/>
  <c r="S61" i="14"/>
  <c r="T61" i="14" s="1"/>
  <c r="BB18" i="14"/>
  <c r="BB17" i="14" s="1"/>
  <c r="BA18" i="14" s="1"/>
  <c r="S55" i="14"/>
  <c r="T55" i="14" s="1"/>
  <c r="S59" i="14"/>
  <c r="T59" i="14" s="1"/>
  <c r="BA17" i="14"/>
  <c r="W50" i="14"/>
  <c r="W49" i="14" s="1"/>
  <c r="W48" i="14" s="1"/>
  <c r="W47" i="14" s="1"/>
  <c r="W46" i="14" s="1"/>
  <c r="S60" i="14"/>
  <c r="T60" i="14" s="1"/>
  <c r="AW18" i="14"/>
  <c r="AW17" i="14" s="1"/>
  <c r="AV18" i="14" s="1"/>
  <c r="AV17" i="14" s="1"/>
  <c r="AU18" i="14" s="1"/>
  <c r="AU17" i="14" s="1"/>
  <c r="S58" i="14"/>
  <c r="T58" i="14" s="1"/>
  <c r="S62" i="14"/>
  <c r="T62" i="14" s="1"/>
  <c r="S57" i="14"/>
  <c r="T57" i="14" s="1"/>
  <c r="F26" i="12"/>
  <c r="L36" i="12" s="1"/>
  <c r="J26" i="12"/>
  <c r="F28" i="12"/>
  <c r="J28" i="12"/>
  <c r="C67" i="12"/>
  <c r="C65" i="12" s="1"/>
  <c r="F69" i="12"/>
  <c r="F72" i="12" s="1"/>
  <c r="H69" i="12"/>
  <c r="H72" i="12" s="1"/>
  <c r="J69" i="12"/>
  <c r="J72" i="12" s="1"/>
  <c r="AZ12" i="14" l="1"/>
  <c r="T65" i="14"/>
  <c r="K76" i="12"/>
  <c r="L37" i="12"/>
  <c r="L35" i="12"/>
  <c r="L34" i="12" s="1"/>
  <c r="L33" i="12" s="1"/>
  <c r="L32" i="12" s="1"/>
  <c r="M37" i="12"/>
  <c r="M36" i="12" s="1"/>
  <c r="M35" i="12" s="1"/>
  <c r="M34" i="12" s="1"/>
  <c r="M33" i="12" s="1"/>
  <c r="M32" i="12" s="1"/>
  <c r="C66" i="12"/>
  <c r="J54" i="14" l="1"/>
  <c r="I54" i="14" s="1"/>
  <c r="J55" i="14"/>
  <c r="I55" i="14" s="1"/>
  <c r="J56" i="14"/>
  <c r="I56" i="14" s="1"/>
  <c r="H56" i="14" s="1"/>
  <c r="H55" i="14" s="1"/>
  <c r="G35" i="14"/>
  <c r="E35" i="14"/>
  <c r="H54" i="14" l="1"/>
  <c r="H12" i="12" s="1"/>
  <c r="H29" i="14"/>
  <c r="H29" i="6"/>
  <c r="H42" i="6"/>
  <c r="Y33" i="14"/>
  <c r="E10" i="7"/>
  <c r="E11" i="7"/>
  <c r="E19" i="7"/>
  <c r="F19" i="7"/>
  <c r="E20" i="7"/>
  <c r="F20" i="7" s="1"/>
  <c r="F21" i="7"/>
  <c r="E22" i="7"/>
  <c r="F22" i="7" s="1"/>
  <c r="F23" i="7"/>
  <c r="I9" i="7"/>
  <c r="J9" i="7" s="1"/>
  <c r="I10" i="7"/>
  <c r="J10" i="7" s="1"/>
  <c r="J11" i="7"/>
  <c r="J12" i="7"/>
  <c r="D9" i="7"/>
  <c r="E9" i="7" s="1"/>
  <c r="I38" i="7"/>
  <c r="I34" i="7"/>
  <c r="K51" i="7"/>
  <c r="E51" i="7"/>
  <c r="F51" i="7" s="1"/>
  <c r="I32" i="7"/>
  <c r="I33" i="7"/>
  <c r="I35" i="7"/>
  <c r="I36" i="7"/>
  <c r="I37" i="7"/>
  <c r="E47" i="7"/>
  <c r="F47" i="7" s="1"/>
  <c r="J47" i="7"/>
  <c r="K47" i="7"/>
  <c r="E48" i="7"/>
  <c r="F48" i="7" s="1"/>
  <c r="J48" i="7"/>
  <c r="K48" i="7" s="1"/>
  <c r="E49" i="7"/>
  <c r="F49" i="7" s="1"/>
  <c r="K49" i="7"/>
  <c r="E50" i="7"/>
  <c r="F50" i="7" s="1"/>
  <c r="K50" i="7"/>
  <c r="F52" i="7" l="1"/>
  <c r="D53" i="7" s="1"/>
  <c r="K52" i="7"/>
  <c r="I55" i="7" s="1"/>
  <c r="J13" i="7"/>
  <c r="H13" i="7" s="1"/>
  <c r="I39" i="7"/>
  <c r="G40" i="7" s="1"/>
  <c r="E12" i="7"/>
  <c r="D13" i="7" s="1"/>
  <c r="F24" i="7"/>
  <c r="E25" i="7" s="1"/>
  <c r="H49" i="6"/>
  <c r="Y35" i="14"/>
  <c r="P105" i="14"/>
  <c r="P104" i="14" s="1"/>
  <c r="P103" i="14" s="1"/>
  <c r="P99" i="14"/>
  <c r="P98" i="14" s="1"/>
  <c r="P97" i="14" s="1"/>
  <c r="H34" i="14"/>
  <c r="I34" i="14" s="1"/>
  <c r="K27" i="6"/>
  <c r="J58" i="7" l="1"/>
  <c r="P93" i="14"/>
  <c r="S112" i="14" s="1"/>
  <c r="T112" i="14" s="1"/>
  <c r="J9" i="13"/>
  <c r="K34" i="6" s="1"/>
  <c r="AB33" i="14"/>
  <c r="J14" i="14"/>
  <c r="K47" i="12"/>
  <c r="K26" i="6" s="1"/>
  <c r="H12" i="14" l="1"/>
  <c r="K19" i="14" s="1"/>
  <c r="J19" i="14" s="1"/>
  <c r="S118" i="14"/>
  <c r="T118" i="14" s="1"/>
  <c r="S120" i="14"/>
  <c r="T120" i="14" s="1"/>
  <c r="S116" i="14"/>
  <c r="T116" i="14" s="1"/>
  <c r="S113" i="14"/>
  <c r="T113" i="14" s="1"/>
  <c r="S115" i="14"/>
  <c r="T115" i="14" s="1"/>
  <c r="S117" i="14"/>
  <c r="T117" i="14" s="1"/>
  <c r="S119" i="14"/>
  <c r="T119" i="14" s="1"/>
  <c r="S121" i="14"/>
  <c r="T121" i="14" s="1"/>
  <c r="S114" i="14"/>
  <c r="T114" i="14" s="1"/>
  <c r="AB35" i="14"/>
  <c r="AE38" i="14" s="1"/>
  <c r="C12" i="14"/>
  <c r="F19" i="14" s="1"/>
  <c r="K29" i="6"/>
  <c r="H33" i="14"/>
  <c r="I33" i="14" s="1"/>
  <c r="J22" i="14" l="1"/>
  <c r="K26" i="14"/>
  <c r="J25" i="14"/>
  <c r="K27" i="14"/>
  <c r="K25" i="14"/>
  <c r="J26" i="14"/>
  <c r="K22" i="14"/>
  <c r="J24" i="14"/>
  <c r="T122" i="14"/>
  <c r="N119" i="14" s="1"/>
  <c r="K21" i="14"/>
  <c r="J21" i="14"/>
  <c r="K20" i="14"/>
  <c r="J20" i="14"/>
  <c r="J28" i="14"/>
  <c r="K24" i="14"/>
  <c r="J23" i="14"/>
  <c r="K23" i="14"/>
  <c r="J27" i="14"/>
  <c r="K28" i="14"/>
  <c r="P32" i="14"/>
  <c r="O32" i="14" s="1"/>
  <c r="P31" i="14"/>
  <c r="O31" i="14" s="1"/>
  <c r="E19" i="14"/>
  <c r="F27" i="14"/>
  <c r="F20" i="14"/>
  <c r="E20" i="14" s="1"/>
  <c r="E23" i="14"/>
  <c r="E21" i="14"/>
  <c r="F21" i="14"/>
  <c r="E26" i="14"/>
  <c r="F22" i="14"/>
  <c r="E25" i="14"/>
  <c r="E27" i="14"/>
  <c r="F28" i="14"/>
  <c r="F25" i="14"/>
  <c r="F26" i="14"/>
  <c r="E28" i="14"/>
  <c r="F23" i="14"/>
  <c r="E22" i="14"/>
  <c r="F24" i="14"/>
  <c r="E24" i="14"/>
  <c r="H35" i="14"/>
  <c r="I35" i="14" s="1"/>
  <c r="J29" i="14" l="1"/>
  <c r="I15" i="14" s="1"/>
  <c r="K38" i="6" s="1"/>
  <c r="K31" i="14"/>
  <c r="K39" i="6" s="1"/>
  <c r="N85" i="14"/>
  <c r="E29" i="14"/>
  <c r="D15" i="14" l="1"/>
  <c r="K37" i="6" s="1"/>
  <c r="K42" i="6" l="1"/>
  <c r="M10" i="6" s="1"/>
  <c r="K4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randy</author>
  </authors>
  <commentList>
    <comment ref="C8" authorId="0" shapeId="0" xr:uid="{00000000-0006-0000-0100-000001000000}">
      <text>
        <r>
          <rPr>
            <sz val="8"/>
            <color indexed="81"/>
            <rFont val="Tahoma"/>
            <family val="2"/>
          </rPr>
          <t>This is not the design year volume (12, 20) you will use for design.  Rather, use the current 30th highest volume of the year, or estimate for a seasonal volume.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randy</author>
  </authors>
  <commentList>
    <comment ref="H7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AASHTO 2001, page 235
</t>
        </r>
      </text>
    </comment>
    <comment ref="D34" authorId="0" shapeId="0" xr:uid="{00000000-0006-0000-0300-000002000000}">
      <text>
        <r>
          <rPr>
            <sz val="8"/>
            <color indexed="81"/>
            <rFont val="Tahoma"/>
            <family val="2"/>
          </rPr>
          <t>Shoulders can be paved or gravel or both.</t>
        </r>
      </text>
    </comment>
  </commentList>
</comments>
</file>

<file path=xl/sharedStrings.xml><?xml version="1.0" encoding="utf-8"?>
<sst xmlns="http://schemas.openxmlformats.org/spreadsheetml/2006/main" count="436" uniqueCount="312">
  <si>
    <t>County:</t>
  </si>
  <si>
    <t>Project Name:</t>
  </si>
  <si>
    <t>Possible</t>
  </si>
  <si>
    <t xml:space="preserve"> Points:</t>
  </si>
  <si>
    <t>Points:</t>
  </si>
  <si>
    <t>SERVICE RATING</t>
  </si>
  <si>
    <t>Traffic Volume</t>
  </si>
  <si>
    <t>Accident History</t>
  </si>
  <si>
    <t>Subtotal</t>
  </si>
  <si>
    <t>CONDITION RATING</t>
  </si>
  <si>
    <t>(possible)</t>
  </si>
  <si>
    <t>Rating points may be assigned only to the extent that the deficient condition will be improved.</t>
  </si>
  <si>
    <t xml:space="preserve"> </t>
  </si>
  <si>
    <t>Traffic Volume (20 Points Max.)</t>
  </si>
  <si>
    <t>Existing ADT</t>
  </si>
  <si>
    <t xml:space="preserve">ADT Year </t>
  </si>
  <si>
    <t>or</t>
  </si>
  <si>
    <t>Existing Truck ADT</t>
  </si>
  <si>
    <t>Truck ADT Yr</t>
  </si>
  <si>
    <t>Determine traffic volume rating using table below</t>
  </si>
  <si>
    <t>ADT = Average Weekday Traffic Volumes</t>
  </si>
  <si>
    <t>TRAFFIC VOLUME RATING TABLE</t>
  </si>
  <si>
    <t>Average</t>
  </si>
  <si>
    <t xml:space="preserve">  </t>
  </si>
  <si>
    <t>ADT</t>
  </si>
  <si>
    <t>Truck ADT</t>
  </si>
  <si>
    <t>Points</t>
  </si>
  <si>
    <t xml:space="preserve">   </t>
  </si>
  <si>
    <t>501 - 1000</t>
  </si>
  <si>
    <t>51 - 100</t>
  </si>
  <si>
    <t>1001 - 2000</t>
  </si>
  <si>
    <t>101 - 200</t>
  </si>
  <si>
    <t>2001 - 5000</t>
  </si>
  <si>
    <t>201 - 500</t>
  </si>
  <si>
    <t>TRAFFIC VOLUME RATING</t>
  </si>
  <si>
    <t>Accident History (25 Points Max.)</t>
  </si>
  <si>
    <t>Accident history for the three most recent consecutive years.</t>
  </si>
  <si>
    <t>Property</t>
  </si>
  <si>
    <t>Damage</t>
  </si>
  <si>
    <t>Year</t>
  </si>
  <si>
    <t>Only</t>
  </si>
  <si>
    <t>Injury</t>
  </si>
  <si>
    <t>Fatal</t>
  </si>
  <si>
    <t xml:space="preserve">SUBTOTALS: </t>
  </si>
  <si>
    <t>x 1</t>
  </si>
  <si>
    <t>x 2</t>
  </si>
  <si>
    <t>x 5</t>
  </si>
  <si>
    <t>TOTAL  =</t>
  </si>
  <si>
    <t>+</t>
  </si>
  <si>
    <t>ACCIDENT HISTORY RATING</t>
  </si>
  <si>
    <t>(from Total above)</t>
  </si>
  <si>
    <t>For Structural Rating of stand alone bridge projects use the following formula:</t>
  </si>
  <si>
    <t>OR</t>
  </si>
  <si>
    <t>Lifeline Route</t>
  </si>
  <si>
    <t>Utility Crossing</t>
  </si>
  <si>
    <t>Approach Horizontal Alignment (5 Points Max.)</t>
  </si>
  <si>
    <t xml:space="preserve">Using the DESIGN STANDARDS table below as a guide, determine the adequacy </t>
  </si>
  <si>
    <t>of the horizontal alignment</t>
  </si>
  <si>
    <t xml:space="preserve">                            </t>
  </si>
  <si>
    <t>Minimum Design Speed For:</t>
  </si>
  <si>
    <t>ADT:</t>
  </si>
  <si>
    <t>TERRAIN:</t>
  </si>
  <si>
    <t>&lt; 400</t>
  </si>
  <si>
    <t>400 - 2000</t>
  </si>
  <si>
    <t>&gt; 2000</t>
  </si>
  <si>
    <t>FLAT</t>
  </si>
  <si>
    <t>ROLLING</t>
  </si>
  <si>
    <t>MOUNTAINOUS</t>
  </si>
  <si>
    <t>Condition</t>
  </si>
  <si>
    <t>Existing horizontal approach alignment meets design standards.</t>
  </si>
  <si>
    <t>Existing horizontal approach alignment deviates from design standards.</t>
  </si>
  <si>
    <t>HORIZONTAL ALIGNMENT POINTS</t>
  </si>
  <si>
    <t>Approach Vertical Alignment (5 Points Max.)</t>
  </si>
  <si>
    <t>of the vertical alignment.</t>
  </si>
  <si>
    <t xml:space="preserve">                         </t>
  </si>
  <si>
    <t>Standard Grades (% max.):</t>
  </si>
  <si>
    <t>Required Stopping Sight Distance:</t>
  </si>
  <si>
    <t>TERRAIN</t>
  </si>
  <si>
    <t>&lt;400</t>
  </si>
  <si>
    <t>&gt;2000</t>
  </si>
  <si>
    <t xml:space="preserve">                                 </t>
  </si>
  <si>
    <t>Design Speed</t>
  </si>
  <si>
    <t xml:space="preserve">Flat </t>
  </si>
  <si>
    <t>Rolling</t>
  </si>
  <si>
    <t>Mountain</t>
  </si>
  <si>
    <t>Condition:</t>
  </si>
  <si>
    <t xml:space="preserve">                                                                        </t>
  </si>
  <si>
    <t>No portion of approach deviates from design standards</t>
  </si>
  <si>
    <t>Sections of the project deviate from design standards</t>
  </si>
  <si>
    <t>VERTICAL ALIGNMENT POINTS</t>
  </si>
  <si>
    <t>Roadway Width (10 Points Max.)</t>
  </si>
  <si>
    <t xml:space="preserve">Using the DESIGN STANDARDS table below, determine the adequacy of the </t>
  </si>
  <si>
    <t>existing bridge lane and shoulder widths</t>
  </si>
  <si>
    <t xml:space="preserve">  Bridge Total Lane Width (ft)</t>
  </si>
  <si>
    <t xml:space="preserve">  Approach Shoulder Width (ft)</t>
  </si>
  <si>
    <t>Good</t>
  </si>
  <si>
    <t>Fair</t>
  </si>
  <si>
    <t>Poor</t>
  </si>
  <si>
    <t xml:space="preserve">                                                                </t>
  </si>
  <si>
    <t>&gt;22</t>
  </si>
  <si>
    <t>20 - 22</t>
  </si>
  <si>
    <t xml:space="preserve"> &lt;20</t>
  </si>
  <si>
    <t>&gt;3</t>
  </si>
  <si>
    <t xml:space="preserve"> 2 - 3</t>
  </si>
  <si>
    <t xml:space="preserve"> &lt;2</t>
  </si>
  <si>
    <t>&gt;6</t>
  </si>
  <si>
    <t xml:space="preserve"> 4 - 6</t>
  </si>
  <si>
    <t xml:space="preserve"> &lt;4</t>
  </si>
  <si>
    <t>&gt;24</t>
  </si>
  <si>
    <t>22 - 24</t>
  </si>
  <si>
    <t xml:space="preserve"> &lt;22</t>
  </si>
  <si>
    <t>&gt;8</t>
  </si>
  <si>
    <t xml:space="preserve"> 6 - 8</t>
  </si>
  <si>
    <t xml:space="preserve"> &lt;6</t>
  </si>
  <si>
    <t xml:space="preserve">     </t>
  </si>
  <si>
    <t>Rating</t>
  </si>
  <si>
    <t xml:space="preserve">Good (0) Fair (3) Poor (6) </t>
  </si>
  <si>
    <t xml:space="preserve">Good (0) Fair (2) Poor (4)  </t>
  </si>
  <si>
    <t>ROADWAY WIDTH POINTS</t>
  </si>
  <si>
    <t>Horizontal Alignment</t>
  </si>
  <si>
    <t>Vertical Alignment</t>
  </si>
  <si>
    <t>Roadway Width</t>
  </si>
  <si>
    <t>Roadway</t>
  </si>
  <si>
    <t>Total Lane Width =</t>
  </si>
  <si>
    <t xml:space="preserve">Shoulder Width   = </t>
  </si>
  <si>
    <t>Traffic Volume:</t>
  </si>
  <si>
    <t>AADT</t>
  </si>
  <si>
    <t>Truck AADT</t>
  </si>
  <si>
    <t>Injury, non fatal</t>
  </si>
  <si>
    <t>Minimum Design Speed Table</t>
  </si>
  <si>
    <t>Existing</t>
  </si>
  <si>
    <t>Speed</t>
  </si>
  <si>
    <t>Curves</t>
  </si>
  <si>
    <t>HORIZONTAL ALIGNMENT CALCULATION:</t>
  </si>
  <si>
    <t>Required Radius:</t>
  </si>
  <si>
    <t>Flat</t>
  </si>
  <si>
    <t>Mountainous</t>
  </si>
  <si>
    <t>Minimum Design Speed:</t>
  </si>
  <si>
    <t>Safe</t>
  </si>
  <si>
    <t>MPH</t>
  </si>
  <si>
    <t xml:space="preserve">Existing </t>
  </si>
  <si>
    <t>below</t>
  </si>
  <si>
    <t>Curve No.</t>
  </si>
  <si>
    <t>Radius</t>
  </si>
  <si>
    <t>standard</t>
  </si>
  <si>
    <t>below std</t>
  </si>
  <si>
    <r>
      <t xml:space="preserve">MIN, </t>
    </r>
    <r>
      <rPr>
        <b/>
        <sz val="10"/>
        <color indexed="14"/>
        <rFont val="Arial"/>
        <family val="2"/>
      </rPr>
      <t>RADIUS</t>
    </r>
  </si>
  <si>
    <t>400-2000</t>
  </si>
  <si>
    <t>FOR 6% SUPER.</t>
  </si>
  <si>
    <t>Safe Speed Calculation Table</t>
  </si>
  <si>
    <t>Collectors</t>
  </si>
  <si>
    <t>Arterials</t>
  </si>
  <si>
    <t>Safe Speed</t>
  </si>
  <si>
    <t>Exist. Sight</t>
  </si>
  <si>
    <t>(Vs)</t>
  </si>
  <si>
    <t>Dist.  (S)</t>
  </si>
  <si>
    <t>~</t>
  </si>
  <si>
    <t>FUNCTIONAL CLASS</t>
  </si>
  <si>
    <t>% GRADE</t>
  </si>
  <si>
    <t>Grade</t>
  </si>
  <si>
    <t>% Grade</t>
  </si>
  <si>
    <t>Length</t>
  </si>
  <si>
    <t>Std</t>
  </si>
  <si>
    <t>Deficient</t>
  </si>
  <si>
    <t>Total</t>
  </si>
  <si>
    <t>Grade Deficiency</t>
  </si>
  <si>
    <t>Substnd</t>
  </si>
  <si>
    <t xml:space="preserve">Curve#  </t>
  </si>
  <si>
    <t>Calculation Table</t>
  </si>
  <si>
    <t>CALC</t>
  </si>
  <si>
    <t>TRUCK AADT</t>
  </si>
  <si>
    <t>POINTS</t>
  </si>
  <si>
    <t>Lane Width Points</t>
  </si>
  <si>
    <t>Lane width table</t>
  </si>
  <si>
    <t>Seismic Retrofit:</t>
  </si>
  <si>
    <t>% of pier</t>
  </si>
  <si>
    <t>Available</t>
  </si>
  <si>
    <t xml:space="preserve">Assigned </t>
  </si>
  <si>
    <t>% of Columns</t>
  </si>
  <si>
    <t>&lt;25%</t>
  </si>
  <si>
    <t>&lt;10%</t>
  </si>
  <si>
    <t>25% - 50%</t>
  </si>
  <si>
    <t>10% - 24%</t>
  </si>
  <si>
    <t>&gt;50%</t>
  </si>
  <si>
    <t>Add / Replace Guardrail:</t>
  </si>
  <si>
    <t>Anchors only</t>
  </si>
  <si>
    <t>Anchors and posts</t>
  </si>
  <si>
    <t>Upgrade terminal ends</t>
  </si>
  <si>
    <t>Rail only</t>
  </si>
  <si>
    <t xml:space="preserve">Replace entire system </t>
  </si>
  <si>
    <t>Guardrail Points:</t>
  </si>
  <si>
    <t>Add Pedestrian / Bike Facilities</t>
  </si>
  <si>
    <t>Provide one bike lane</t>
  </si>
  <si>
    <t>Provide two bike lanes (each side)</t>
  </si>
  <si>
    <t>Provide one bike lane, one sidewalk</t>
  </si>
  <si>
    <t>Provide two bike lanes, sidewalks (each side)</t>
  </si>
  <si>
    <t>Pedestriam undercrossing</t>
  </si>
  <si>
    <t>Bike/Pedestrian separate structure (one side)</t>
  </si>
  <si>
    <t>Bike/Pedestrian separate structure (two sides)</t>
  </si>
  <si>
    <t>Bike / Ped Points</t>
  </si>
  <si>
    <t xml:space="preserve">Miles* to  </t>
  </si>
  <si>
    <t xml:space="preserve">Number  </t>
  </si>
  <si>
    <t>Alternate</t>
  </si>
  <si>
    <t>of Utilities</t>
  </si>
  <si>
    <t>Route</t>
  </si>
  <si>
    <t>&lt;2</t>
  </si>
  <si>
    <t>2 - 4</t>
  </si>
  <si>
    <t>4 - 6</t>
  </si>
  <si>
    <t>6 - 8</t>
  </si>
  <si>
    <t>Utility Points</t>
  </si>
  <si>
    <t>* Round to nearest 0.5 miles</t>
  </si>
  <si>
    <t>Lifeline Points</t>
  </si>
  <si>
    <t>Geometric Rating:</t>
  </si>
  <si>
    <t>Assigned</t>
  </si>
  <si>
    <t>Approach Shoulder width table</t>
  </si>
  <si>
    <t>Existing approach shoulder width</t>
  </si>
  <si>
    <t>Existing total lane width</t>
  </si>
  <si>
    <r>
      <t>&gt;</t>
    </r>
    <r>
      <rPr>
        <sz val="10"/>
        <rFont val="MS Sans Serif"/>
      </rPr>
      <t>5001</t>
    </r>
  </si>
  <si>
    <r>
      <t>&gt;</t>
    </r>
    <r>
      <rPr>
        <sz val="10"/>
        <rFont val="MS Sans Serif"/>
      </rPr>
      <t>501</t>
    </r>
  </si>
  <si>
    <r>
      <t>&lt;</t>
    </r>
    <r>
      <rPr>
        <sz val="10"/>
        <rFont val="MS Sans Serif"/>
      </rPr>
      <t xml:space="preserve"> 50</t>
    </r>
  </si>
  <si>
    <r>
      <t>&lt;</t>
    </r>
    <r>
      <rPr>
        <sz val="10"/>
        <rFont val="MS Sans Serif"/>
      </rPr>
      <t xml:space="preserve"> 500</t>
    </r>
  </si>
  <si>
    <t>Length ft</t>
  </si>
  <si>
    <t>AASHTO 2001</t>
  </si>
  <si>
    <t>(p 145)</t>
  </si>
  <si>
    <t>(AASHTO 2001, p 427)</t>
  </si>
  <si>
    <t>(AASHTO 2001, p 450)</t>
  </si>
  <si>
    <t>Road Log Number</t>
  </si>
  <si>
    <t>Total Rehabilitation Points</t>
  </si>
  <si>
    <t>(check one)</t>
  </si>
  <si>
    <t>CAP Retrofit Points:</t>
  </si>
  <si>
    <t>COLUMN Retrofit Points:</t>
  </si>
  <si>
    <t>TOTAL RATING</t>
  </si>
  <si>
    <t>LANE WIDTH CALCULATION</t>
  </si>
  <si>
    <t>DESIGN LANE WIDTH</t>
  </si>
  <si>
    <t>COLLECTORS</t>
  </si>
  <si>
    <t>ARTERIALS</t>
  </si>
  <si>
    <t>400 - 1500</t>
  </si>
  <si>
    <t>1500 - 2000</t>
  </si>
  <si>
    <t>&lt; 1501</t>
  </si>
  <si>
    <t>1501 - 2000</t>
  </si>
  <si>
    <t>SHOULDER WIDTH CALCULATION</t>
  </si>
  <si>
    <t>DESIGN SHOULDER WIDTH</t>
  </si>
  <si>
    <t>REFERRENCE TABLES</t>
  </si>
  <si>
    <t>DESIGN</t>
  </si>
  <si>
    <t>LANE WIDTHS PER ADT</t>
  </si>
  <si>
    <t>SHOULDER WIDTHS PER ADT</t>
  </si>
  <si>
    <t>SPEED</t>
  </si>
  <si>
    <t>ALL SPEEDS</t>
  </si>
  <si>
    <t>Shoulder width, 1 side</t>
  </si>
  <si>
    <t>Width Reduction Calcs</t>
  </si>
  <si>
    <t>BRIDGE</t>
  </si>
  <si>
    <t>caps to be rebuilt:</t>
  </si>
  <si>
    <t>to be Retrofitted</t>
  </si>
  <si>
    <t>HORIZONTAL</t>
  </si>
  <si>
    <t>Accidents:</t>
  </si>
  <si>
    <t>Minimum Radius, Ft.</t>
  </si>
  <si>
    <t>Maximum Grade</t>
  </si>
  <si>
    <t>Proposed</t>
  </si>
  <si>
    <t>Impr.</t>
  </si>
  <si>
    <t>Bridge Rehabiltation Rating</t>
  </si>
  <si>
    <t>Avg.</t>
  </si>
  <si>
    <t>Pts Assigned</t>
  </si>
  <si>
    <t>Road Width:</t>
  </si>
  <si>
    <t>Proposed:</t>
  </si>
  <si>
    <t>Existing:</t>
  </si>
  <si>
    <t>LIST ALL DEFICIENT ALIGNMENT</t>
  </si>
  <si>
    <t>Cum.</t>
  </si>
  <si>
    <t>weighted %</t>
  </si>
  <si>
    <t>Geometric Condition:</t>
  </si>
  <si>
    <t>Terrain (check one)</t>
  </si>
  <si>
    <t>FED F/C</t>
  </si>
  <si>
    <t>miles</t>
  </si>
  <si>
    <t>AADT Year</t>
  </si>
  <si>
    <t>Truck AADT Year</t>
  </si>
  <si>
    <t>Prop. Damage only</t>
  </si>
  <si>
    <t>Horizontal Points</t>
  </si>
  <si>
    <r>
      <t xml:space="preserve">% </t>
    </r>
    <r>
      <rPr>
        <b/>
        <sz val="8"/>
        <rFont val="MS Sans Serif"/>
        <family val="2"/>
      </rPr>
      <t>Grade</t>
    </r>
  </si>
  <si>
    <t>=</t>
  </si>
  <si>
    <t>Structural Rating 
For Bridge Rehab.</t>
  </si>
  <si>
    <t xml:space="preserve">(100 - Sufficiency Rating)    </t>
  </si>
  <si>
    <t>Sufficiancy Rating For 
Bridge Replacement:</t>
  </si>
  <si>
    <t>Total lane width, both sides</t>
  </si>
  <si>
    <t>miles in 1 / 100s</t>
  </si>
  <si>
    <t>Project Length</t>
  </si>
  <si>
    <t>LOCAL SIGNIFICANCE</t>
  </si>
  <si>
    <t xml:space="preserve">Year  </t>
  </si>
  <si>
    <t>measured</t>
  </si>
  <si>
    <r>
      <t>BR</t>
    </r>
    <r>
      <rPr>
        <b/>
        <sz val="12"/>
        <rFont val="MS Sans Serif"/>
        <family val="2"/>
      </rPr>
      <t xml:space="preserve"> PROJECT SUBMITTAL</t>
    </r>
  </si>
  <si>
    <t>BRIDGE RATING SUMMARY:</t>
  </si>
  <si>
    <t>(Click on underlined text to input project data)</t>
  </si>
  <si>
    <t>(assigned)</t>
  </si>
  <si>
    <t>BR Replacement Proposals below design standards require WSDOT deviation approval.</t>
  </si>
  <si>
    <t>% Grade for Rating</t>
  </si>
  <si>
    <t>Bridge Replacement</t>
  </si>
  <si>
    <t>Score for Replacement</t>
  </si>
  <si>
    <t>Score for Rehabilitation</t>
  </si>
  <si>
    <t>Fill out the BR Rehab. Worksheet</t>
  </si>
  <si>
    <t>Suff. Rating</t>
  </si>
  <si>
    <t>Width Points</t>
  </si>
  <si>
    <t>Standard:</t>
  </si>
  <si>
    <t>Calc.</t>
  </si>
  <si>
    <t>Not Used For Bridge Proposals</t>
  </si>
  <si>
    <t>Use the last three 
full years' reports</t>
  </si>
  <si>
    <r>
      <rPr>
        <b/>
        <sz val="14"/>
        <color indexed="12"/>
        <rFont val="MS Sans Serif"/>
      </rPr>
      <t xml:space="preserve">&lt;  </t>
    </r>
    <r>
      <rPr>
        <b/>
        <sz val="12"/>
        <color indexed="12"/>
        <rFont val="MS Sans Serif"/>
      </rPr>
      <t xml:space="preserve">     </t>
    </r>
    <r>
      <rPr>
        <b/>
        <sz val="12"/>
        <color rgb="FFFF0000"/>
        <rFont val="MS Sans Serif"/>
      </rPr>
      <t>OR</t>
    </r>
    <r>
      <rPr>
        <b/>
        <sz val="12"/>
        <color indexed="12"/>
        <rFont val="MS Sans Serif"/>
      </rPr>
      <t xml:space="preserve">    </t>
    </r>
    <r>
      <rPr>
        <b/>
        <sz val="14"/>
        <color indexed="12"/>
        <rFont val="MS Sans Serif"/>
      </rPr>
      <t xml:space="preserve">   &gt;</t>
    </r>
  </si>
  <si>
    <t>Structural Condition</t>
  </si>
  <si>
    <t>x</t>
  </si>
  <si>
    <t>NW Region</t>
  </si>
  <si>
    <t>(maximum 40 points)</t>
  </si>
  <si>
    <t>Bridge Replacement Structural Condition ( 40 Points Max.)</t>
  </si>
  <si>
    <t>(Maximum 40 points)</t>
  </si>
  <si>
    <t>1 Project per County per Biennium</t>
  </si>
  <si>
    <t>Mark here to assign Local Significance pts to this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</si>
</sst>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0#"/>
    <numFmt numFmtId="166" formatCode="yyyy"/>
  </numFmts>
  <fonts count="77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u/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0"/>
      <name val="Arial"/>
      <family val="2"/>
    </font>
    <font>
      <b/>
      <sz val="10"/>
      <color indexed="61"/>
      <name val="MS Sans Serif"/>
      <family val="2"/>
    </font>
    <font>
      <sz val="10"/>
      <color indexed="61"/>
      <name val="MS Sans Serif"/>
      <family val="2"/>
    </font>
    <font>
      <sz val="10"/>
      <name val="Arial"/>
      <family val="2"/>
    </font>
    <font>
      <sz val="12"/>
      <name val="MS Sans Serif"/>
      <family val="2"/>
    </font>
    <font>
      <sz val="8"/>
      <color indexed="81"/>
      <name val="Tahoma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u/>
      <sz val="8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14"/>
      <name val="MS Sans Serif"/>
      <family val="2"/>
    </font>
    <font>
      <b/>
      <u/>
      <sz val="10"/>
      <color indexed="14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0"/>
      <color indexed="14"/>
      <name val="Arial"/>
      <family val="2"/>
    </font>
    <font>
      <b/>
      <sz val="8"/>
      <name val="Arial"/>
      <family val="2"/>
    </font>
    <font>
      <sz val="10"/>
      <color indexed="14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sz val="8"/>
      <color indexed="14"/>
      <name val="MS Sans Serif"/>
      <family val="2"/>
    </font>
    <font>
      <b/>
      <sz val="10"/>
      <color indexed="10"/>
      <name val="MS Sans Serif"/>
      <family val="2"/>
    </font>
    <font>
      <u/>
      <sz val="7.5"/>
      <color indexed="12"/>
      <name val="MS Sans Serif"/>
      <family val="2"/>
    </font>
    <font>
      <b/>
      <sz val="10"/>
      <color indexed="11"/>
      <name val="MS Sans Serif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sz val="10"/>
      <color indexed="9"/>
      <name val="MS Sans Serif"/>
      <family val="2"/>
    </font>
    <font>
      <b/>
      <sz val="8"/>
      <color indexed="10"/>
      <name val="MS Sans Serif"/>
      <family val="2"/>
    </font>
    <font>
      <b/>
      <u/>
      <sz val="10"/>
      <color indexed="12"/>
      <name val="MS Sans Serif"/>
      <family val="2"/>
    </font>
    <font>
      <b/>
      <u/>
      <sz val="10"/>
      <color indexed="12"/>
      <name val="MS Sans Serif"/>
      <family val="2"/>
    </font>
    <font>
      <u/>
      <sz val="8"/>
      <name val="MS Sans Serif"/>
      <family val="2"/>
    </font>
    <font>
      <b/>
      <u/>
      <sz val="12"/>
      <color indexed="10"/>
      <name val="MS Sans Serif"/>
      <family val="2"/>
    </font>
    <font>
      <sz val="6"/>
      <name val="MS Sans Serif"/>
      <family val="2"/>
    </font>
    <font>
      <b/>
      <u/>
      <sz val="8"/>
      <name val="Arial"/>
      <family val="2"/>
    </font>
    <font>
      <sz val="10"/>
      <name val="MS Sans Serif"/>
      <family val="2"/>
    </font>
    <font>
      <b/>
      <sz val="14"/>
      <name val="MS Sans Serif"/>
      <family val="2"/>
    </font>
    <font>
      <b/>
      <u/>
      <sz val="8"/>
      <name val="MS Sans Serif"/>
      <family val="2"/>
    </font>
    <font>
      <b/>
      <sz val="8"/>
      <color indexed="81"/>
      <name val="Tahoma"/>
      <family val="2"/>
    </font>
    <font>
      <sz val="6"/>
      <color indexed="14"/>
      <name val="MS Sans Serif"/>
      <family val="2"/>
    </font>
    <font>
      <sz val="10"/>
      <color indexed="47"/>
      <name val="MS Sans Serif"/>
      <family val="2"/>
    </font>
    <font>
      <u/>
      <sz val="10"/>
      <color indexed="47"/>
      <name val="MS Sans Serif"/>
      <family val="2"/>
    </font>
    <font>
      <sz val="9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2"/>
      <color indexed="10"/>
      <name val="MS Sans Serif"/>
      <family val="2"/>
    </font>
    <font>
      <b/>
      <u/>
      <sz val="10"/>
      <color indexed="12"/>
      <name val="MS Sans Serif"/>
    </font>
    <font>
      <sz val="12"/>
      <color rgb="FFFF0000"/>
      <name val="MS Sans Serif"/>
      <family val="2"/>
    </font>
    <font>
      <sz val="10"/>
      <name val="MS Sans Serif"/>
    </font>
    <font>
      <sz val="10"/>
      <color theme="0"/>
      <name val="MS Sans Serif"/>
      <family val="2"/>
    </font>
    <font>
      <u/>
      <sz val="12"/>
      <name val="MS Sans Serif"/>
      <family val="2"/>
    </font>
    <font>
      <b/>
      <u/>
      <sz val="7.5"/>
      <color indexed="12"/>
      <name val="MS Sans Serif"/>
    </font>
    <font>
      <b/>
      <sz val="12"/>
      <name val="MS Sans Serif"/>
      <family val="2"/>
    </font>
    <font>
      <sz val="10"/>
      <color theme="0" tint="-0.14999847407452621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MS Sans Serif"/>
    </font>
    <font>
      <sz val="8"/>
      <name val="MS Sans Serif"/>
    </font>
    <font>
      <sz val="12"/>
      <name val="MS Sans Serif"/>
    </font>
    <font>
      <b/>
      <sz val="8"/>
      <color rgb="FFFF0000"/>
      <name val="MS Sans Serif"/>
    </font>
    <font>
      <b/>
      <sz val="14"/>
      <color indexed="12"/>
      <name val="MS Sans Serif"/>
    </font>
    <font>
      <b/>
      <sz val="12"/>
      <color rgb="FFFF0000"/>
      <name val="MS Sans Serif"/>
    </font>
    <font>
      <b/>
      <u/>
      <sz val="8"/>
      <color indexed="12"/>
      <name val="MS Sans Serif"/>
      <family val="2"/>
    </font>
    <font>
      <b/>
      <sz val="10"/>
      <color rgb="FFFF0000"/>
      <name val="MS Sans Serif"/>
    </font>
    <font>
      <b/>
      <sz val="10"/>
      <color rgb="FFFF0000"/>
      <name val="Arial"/>
      <family val="2"/>
    </font>
    <font>
      <sz val="10"/>
      <color rgb="FFFF0000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double">
        <color auto="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2" fillId="0" borderId="0" applyFont="0" applyFill="0" applyBorder="0" applyAlignment="0" applyProtection="0"/>
  </cellStyleXfs>
  <cellXfs count="4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4" fillId="0" borderId="12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3" borderId="13" xfId="2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65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17" fillId="0" borderId="0" xfId="0" applyNumberFormat="1" applyFont="1" applyAlignment="1">
      <alignment horizontal="center"/>
    </xf>
    <xf numFmtId="0" fontId="41" fillId="0" borderId="0" xfId="1" applyFont="1" applyFill="1" applyBorder="1" applyAlignment="1" applyProtection="1">
      <alignment horizontal="left"/>
    </xf>
    <xf numFmtId="0" fontId="3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25" fillId="0" borderId="0" xfId="0" applyFont="1"/>
    <xf numFmtId="9" fontId="0" fillId="0" borderId="0" xfId="3" applyFont="1" applyFill="1" applyBorder="1" applyAlignment="1" applyProtection="1">
      <alignment horizontal="left"/>
    </xf>
    <xf numFmtId="9" fontId="3" fillId="0" borderId="0" xfId="3" applyFont="1" applyFill="1" applyBorder="1" applyAlignment="1" applyProtection="1">
      <alignment horizontal="left"/>
    </xf>
    <xf numFmtId="0" fontId="34" fillId="0" borderId="4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4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left"/>
    </xf>
    <xf numFmtId="0" fontId="42" fillId="0" borderId="0" xfId="1" applyFont="1" applyFill="1" applyBorder="1" applyAlignment="1" applyProtection="1"/>
    <xf numFmtId="0" fontId="45" fillId="0" borderId="0" xfId="0" quotePrefix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45" fillId="0" borderId="0" xfId="0" quotePrefix="1" applyFont="1" applyAlignment="1">
      <alignment horizontal="center" vertical="top"/>
    </xf>
    <xf numFmtId="1" fontId="5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/>
    <xf numFmtId="0" fontId="49" fillId="0" borderId="0" xfId="0" applyFont="1" applyAlignment="1">
      <alignment horizontal="left"/>
    </xf>
    <xf numFmtId="0" fontId="42" fillId="0" borderId="0" xfId="1" applyFont="1" applyFill="1" applyBorder="1" applyAlignment="1" applyProtection="1">
      <alignment horizontal="center"/>
    </xf>
    <xf numFmtId="0" fontId="40" fillId="0" borderId="0" xfId="0" applyFont="1" applyAlignment="1">
      <alignment horizontal="left"/>
    </xf>
    <xf numFmtId="0" fontId="28" fillId="0" borderId="0" xfId="0" applyFont="1"/>
    <xf numFmtId="0" fontId="54" fillId="0" borderId="0" xfId="0" applyFont="1" applyAlignment="1">
      <alignment horizontal="left"/>
    </xf>
    <xf numFmtId="0" fontId="14" fillId="0" borderId="6" xfId="2" applyBorder="1"/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4" fillId="0" borderId="2" xfId="2" applyBorder="1"/>
    <xf numFmtId="0" fontId="14" fillId="0" borderId="0" xfId="2" applyAlignment="1">
      <alignment horizontal="center"/>
    </xf>
    <xf numFmtId="0" fontId="14" fillId="0" borderId="0" xfId="2"/>
    <xf numFmtId="0" fontId="14" fillId="0" borderId="3" xfId="2" applyBorder="1"/>
    <xf numFmtId="0" fontId="14" fillId="0" borderId="2" xfId="2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14" fillId="0" borderId="0" xfId="2" applyAlignment="1">
      <alignment horizontal="right"/>
    </xf>
    <xf numFmtId="0" fontId="4" fillId="0" borderId="3" xfId="2" applyFont="1" applyBorder="1"/>
    <xf numFmtId="0" fontId="4" fillId="0" borderId="2" xfId="2" applyFont="1" applyBorder="1" applyAlignment="1">
      <alignment horizontal="left"/>
    </xf>
    <xf numFmtId="0" fontId="4" fillId="0" borderId="0" xfId="2" applyFont="1" applyAlignment="1">
      <alignment horizontal="right"/>
    </xf>
    <xf numFmtId="0" fontId="38" fillId="0" borderId="0" xfId="2" applyFont="1" applyAlignment="1">
      <alignment horizontal="center"/>
    </xf>
    <xf numFmtId="0" fontId="38" fillId="0" borderId="3" xfId="2" applyFont="1" applyBorder="1" applyAlignment="1">
      <alignment horizontal="center"/>
    </xf>
    <xf numFmtId="0" fontId="37" fillId="0" borderId="0" xfId="2" applyFont="1" applyAlignment="1">
      <alignment horizontal="center"/>
    </xf>
    <xf numFmtId="0" fontId="14" fillId="0" borderId="3" xfId="2" applyBorder="1" applyAlignment="1">
      <alignment horizontal="center"/>
    </xf>
    <xf numFmtId="0" fontId="14" fillId="0" borderId="15" xfId="2" applyBorder="1" applyAlignment="1">
      <alignment horizontal="center"/>
    </xf>
    <xf numFmtId="0" fontId="14" fillId="0" borderId="9" xfId="2" applyBorder="1"/>
    <xf numFmtId="0" fontId="14" fillId="0" borderId="1" xfId="2" applyBorder="1"/>
    <xf numFmtId="0" fontId="14" fillId="0" borderId="5" xfId="2" applyBorder="1"/>
    <xf numFmtId="0" fontId="14" fillId="0" borderId="7" xfId="2" applyBorder="1"/>
    <xf numFmtId="0" fontId="14" fillId="0" borderId="8" xfId="2" applyBorder="1"/>
    <xf numFmtId="0" fontId="37" fillId="0" borderId="3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16" fontId="14" fillId="0" borderId="2" xfId="2" quotePrefix="1" applyNumberFormat="1" applyBorder="1" applyAlignment="1">
      <alignment horizontal="center"/>
    </xf>
    <xf numFmtId="0" fontId="14" fillId="0" borderId="2" xfId="2" quotePrefix="1" applyBorder="1" applyAlignment="1">
      <alignment horizontal="center"/>
    </xf>
    <xf numFmtId="0" fontId="25" fillId="0" borderId="2" xfId="2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36" fillId="0" borderId="22" xfId="0" applyFont="1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23" xfId="0" applyBorder="1"/>
    <xf numFmtId="0" fontId="22" fillId="0" borderId="0" xfId="0" applyFont="1" applyAlignment="1">
      <alignment horizontal="right"/>
    </xf>
    <xf numFmtId="0" fontId="19" fillId="0" borderId="0" xfId="0" applyFont="1"/>
    <xf numFmtId="0" fontId="6" fillId="0" borderId="19" xfId="0" applyFont="1" applyBorder="1" applyAlignment="1">
      <alignment textRotation="90"/>
    </xf>
    <xf numFmtId="0" fontId="20" fillId="0" borderId="20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31" fillId="0" borderId="0" xfId="0" applyFont="1" applyAlignment="1">
      <alignment horizontal="center"/>
    </xf>
    <xf numFmtId="0" fontId="43" fillId="0" borderId="20" xfId="0" applyFont="1" applyBorder="1" applyAlignment="1">
      <alignment horizontal="left"/>
    </xf>
    <xf numFmtId="0" fontId="0" fillId="0" borderId="19" xfId="0" applyBorder="1" applyAlignment="1">
      <alignment horizontal="center"/>
    </xf>
    <xf numFmtId="9" fontId="55" fillId="0" borderId="20" xfId="3" applyFont="1" applyFill="1" applyBorder="1" applyAlignment="1" applyProtection="1">
      <alignment horizontal="left"/>
    </xf>
    <xf numFmtId="9" fontId="17" fillId="0" borderId="20" xfId="3" applyFont="1" applyFill="1" applyBorder="1" applyAlignment="1" applyProtection="1">
      <alignment horizontal="left"/>
    </xf>
    <xf numFmtId="0" fontId="32" fillId="0" borderId="19" xfId="0" applyFont="1" applyBorder="1" applyAlignment="1">
      <alignment horizontal="center"/>
    </xf>
    <xf numFmtId="9" fontId="0" fillId="0" borderId="0" xfId="0" applyNumberFormat="1" applyAlignment="1">
      <alignment horizontal="left"/>
    </xf>
    <xf numFmtId="9" fontId="3" fillId="0" borderId="20" xfId="3" applyFont="1" applyFill="1" applyBorder="1" applyAlignment="1" applyProtection="1">
      <alignment horizontal="left"/>
    </xf>
    <xf numFmtId="0" fontId="30" fillId="0" borderId="22" xfId="0" applyFont="1" applyBorder="1"/>
    <xf numFmtId="0" fontId="40" fillId="0" borderId="22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left"/>
    </xf>
    <xf numFmtId="2" fontId="39" fillId="0" borderId="0" xfId="0" applyNumberFormat="1" applyFont="1"/>
    <xf numFmtId="1" fontId="0" fillId="0" borderId="22" xfId="0" applyNumberFormat="1" applyBorder="1" applyAlignment="1">
      <alignment horizontal="left"/>
    </xf>
    <xf numFmtId="0" fontId="36" fillId="0" borderId="17" xfId="0" applyFont="1" applyBorder="1"/>
    <xf numFmtId="0" fontId="5" fillId="3" borderId="13" xfId="2" applyFont="1" applyFill="1" applyBorder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22" fillId="0" borderId="20" xfId="0" applyFont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0" fontId="22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30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47" fillId="5" borderId="0" xfId="0" applyFont="1" applyFill="1"/>
    <xf numFmtId="9" fontId="47" fillId="5" borderId="0" xfId="3" applyFont="1" applyFill="1" applyBorder="1" applyAlignment="1" applyProtection="1">
      <alignment horizontal="center"/>
    </xf>
    <xf numFmtId="9" fontId="39" fillId="5" borderId="0" xfId="3" applyFont="1" applyFill="1" applyBorder="1" applyAlignment="1" applyProtection="1">
      <alignment horizontal="center"/>
    </xf>
    <xf numFmtId="9" fontId="60" fillId="0" borderId="0" xfId="3" applyFont="1" applyFill="1" applyBorder="1" applyAlignment="1" applyProtection="1">
      <alignment horizontal="left"/>
    </xf>
    <xf numFmtId="0" fontId="21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46" fillId="5" borderId="0" xfId="0" applyFont="1" applyFill="1"/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9" fontId="55" fillId="5" borderId="0" xfId="3" applyFont="1" applyFill="1" applyBorder="1" applyAlignment="1" applyProtection="1">
      <alignment horizontal="left"/>
    </xf>
    <xf numFmtId="9" fontId="17" fillId="5" borderId="0" xfId="3" applyFont="1" applyFill="1" applyBorder="1" applyAlignment="1" applyProtection="1">
      <alignment horizontal="left"/>
    </xf>
    <xf numFmtId="0" fontId="0" fillId="5" borderId="0" xfId="0" applyFill="1" applyAlignment="1">
      <alignment horizontal="right"/>
    </xf>
    <xf numFmtId="9" fontId="3" fillId="5" borderId="0" xfId="3" applyFont="1" applyFill="1" applyBorder="1" applyAlignment="1" applyProtection="1">
      <alignment horizontal="left"/>
    </xf>
    <xf numFmtId="0" fontId="61" fillId="0" borderId="0" xfId="0" applyFont="1"/>
    <xf numFmtId="0" fontId="2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2" fillId="0" borderId="0" xfId="0" applyFont="1"/>
    <xf numFmtId="0" fontId="30" fillId="0" borderId="0" xfId="0" applyFont="1" applyAlignment="1">
      <alignment horizontal="center"/>
    </xf>
    <xf numFmtId="166" fontId="17" fillId="4" borderId="0" xfId="0" applyNumberFormat="1" applyFont="1" applyFill="1" applyAlignment="1">
      <alignment horizontal="center"/>
    </xf>
    <xf numFmtId="0" fontId="42" fillId="4" borderId="0" xfId="0" applyFont="1" applyFill="1" applyAlignment="1">
      <alignment horizontal="left"/>
    </xf>
    <xf numFmtId="0" fontId="0" fillId="4" borderId="4" xfId="0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0" fillId="4" borderId="8" xfId="0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/>
    <xf numFmtId="0" fontId="20" fillId="4" borderId="2" xfId="0" applyFont="1" applyFill="1" applyBorder="1" applyAlignment="1">
      <alignment horizontal="left"/>
    </xf>
    <xf numFmtId="0" fontId="20" fillId="4" borderId="0" xfId="0" applyFont="1" applyFill="1" applyAlignment="1">
      <alignment horizontal="left"/>
    </xf>
    <xf numFmtId="0" fontId="31" fillId="4" borderId="2" xfId="0" applyFont="1" applyFill="1" applyBorder="1"/>
    <xf numFmtId="0" fontId="31" fillId="4" borderId="0" xfId="0" applyFont="1" applyFill="1"/>
    <xf numFmtId="0" fontId="0" fillId="4" borderId="2" xfId="0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0" fillId="4" borderId="5" xfId="0" applyFill="1" applyBorder="1"/>
    <xf numFmtId="0" fontId="3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4" borderId="0" xfId="0" applyFont="1" applyFill="1" applyAlignment="1">
      <alignment horizontal="left"/>
    </xf>
    <xf numFmtId="0" fontId="22" fillId="0" borderId="0" xfId="0" applyFont="1" applyAlignment="1">
      <alignment horizontal="center"/>
    </xf>
    <xf numFmtId="0" fontId="42" fillId="0" borderId="17" xfId="1" applyFont="1" applyFill="1" applyBorder="1" applyAlignment="1" applyProtection="1"/>
    <xf numFmtId="165" fontId="9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1" fillId="0" borderId="0" xfId="0" applyFont="1"/>
    <xf numFmtId="0" fontId="30" fillId="0" borderId="19" xfId="0" applyFont="1" applyBorder="1" applyAlignment="1">
      <alignment horizontal="right"/>
    </xf>
    <xf numFmtId="9" fontId="61" fillId="0" borderId="3" xfId="3" applyFont="1" applyFill="1" applyBorder="1" applyAlignment="1" applyProtection="1">
      <alignment horizontal="center"/>
    </xf>
    <xf numFmtId="9" fontId="61" fillId="0" borderId="0" xfId="3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56" fillId="0" borderId="0" xfId="1" applyFont="1" applyFill="1" applyBorder="1" applyAlignment="1" applyProtection="1">
      <alignment horizontal="left"/>
      <protection locked="0"/>
    </xf>
    <xf numFmtId="0" fontId="0" fillId="7" borderId="0" xfId="0" applyFill="1"/>
    <xf numFmtId="0" fontId="0" fillId="7" borderId="0" xfId="0" applyFill="1" applyAlignment="1">
      <alignment horizontal="left"/>
    </xf>
    <xf numFmtId="0" fontId="0" fillId="7" borderId="19" xfId="0" applyFill="1" applyBorder="1"/>
    <xf numFmtId="2" fontId="0" fillId="7" borderId="0" xfId="0" applyNumberFormat="1" applyFill="1" applyAlignment="1">
      <alignment horizontal="center"/>
    </xf>
    <xf numFmtId="0" fontId="47" fillId="4" borderId="0" xfId="0" applyFont="1" applyFill="1"/>
    <xf numFmtId="2" fontId="0" fillId="4" borderId="0" xfId="0" applyNumberFormat="1" applyFill="1"/>
    <xf numFmtId="2" fontId="0" fillId="4" borderId="0" xfId="0" applyNumberFormat="1" applyFill="1" applyAlignment="1">
      <alignment horizontal="right"/>
    </xf>
    <xf numFmtId="0" fontId="7" fillId="5" borderId="6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3" xfId="0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0" fillId="5" borderId="2" xfId="0" applyFill="1" applyBorder="1" applyAlignment="1">
      <alignment horizontal="left"/>
    </xf>
    <xf numFmtId="2" fontId="0" fillId="5" borderId="0" xfId="0" applyNumberFormat="1" applyFill="1"/>
    <xf numFmtId="0" fontId="0" fillId="5" borderId="9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2" fontId="0" fillId="5" borderId="0" xfId="0" applyNumberFormat="1" applyFill="1" applyAlignment="1">
      <alignment horizontal="right"/>
    </xf>
    <xf numFmtId="0" fontId="5" fillId="0" borderId="4" xfId="0" quotePrefix="1" applyFont="1" applyBorder="1" applyAlignment="1">
      <alignment horizontal="center"/>
    </xf>
    <xf numFmtId="0" fontId="58" fillId="0" borderId="0" xfId="1" applyFont="1" applyFill="1" applyBorder="1" applyAlignment="1" applyProtection="1"/>
    <xf numFmtId="0" fontId="52" fillId="4" borderId="0" xfId="0" applyFont="1" applyFill="1"/>
    <xf numFmtId="0" fontId="52" fillId="4" borderId="0" xfId="0" applyFont="1" applyFill="1" applyAlignment="1">
      <alignment horizontal="center"/>
    </xf>
    <xf numFmtId="0" fontId="53" fillId="4" borderId="0" xfId="0" applyFont="1" applyFill="1" applyAlignment="1">
      <alignment horizontal="center"/>
    </xf>
    <xf numFmtId="2" fontId="52" fillId="4" borderId="0" xfId="0" applyNumberFormat="1" applyFont="1" applyFill="1"/>
    <xf numFmtId="2" fontId="52" fillId="4" borderId="0" xfId="0" applyNumberFormat="1" applyFont="1" applyFill="1" applyAlignment="1">
      <alignment horizontal="right"/>
    </xf>
    <xf numFmtId="0" fontId="48" fillId="0" borderId="0" xfId="0" applyFont="1" applyAlignment="1">
      <alignment horizontal="center"/>
    </xf>
    <xf numFmtId="165" fontId="2" fillId="3" borderId="4" xfId="0" applyNumberFormat="1" applyFont="1" applyFill="1" applyBorder="1" applyAlignment="1" applyProtection="1">
      <alignment horizontal="center"/>
      <protection locked="0"/>
    </xf>
    <xf numFmtId="0" fontId="0" fillId="7" borderId="16" xfId="0" applyFill="1" applyBorder="1"/>
    <xf numFmtId="0" fontId="8" fillId="7" borderId="0" xfId="0" applyFont="1" applyFill="1"/>
    <xf numFmtId="0" fontId="6" fillId="7" borderId="0" xfId="0" applyFont="1" applyFill="1"/>
    <xf numFmtId="0" fontId="1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62" fillId="0" borderId="0" xfId="0" applyFont="1" applyAlignment="1">
      <alignment horizontal="right"/>
    </xf>
    <xf numFmtId="0" fontId="62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22" fillId="7" borderId="0" xfId="0" applyFont="1" applyFill="1" applyAlignment="1">
      <alignment horizontal="center"/>
    </xf>
    <xf numFmtId="0" fontId="63" fillId="7" borderId="0" xfId="1" applyFont="1" applyFill="1" applyBorder="1" applyAlignment="1" applyProtection="1">
      <alignment horizontal="left"/>
    </xf>
    <xf numFmtId="1" fontId="25" fillId="7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0" fillId="7" borderId="0" xfId="0" applyFont="1" applyFill="1"/>
    <xf numFmtId="1" fontId="0" fillId="7" borderId="0" xfId="0" applyNumberFormat="1" applyFill="1" applyAlignment="1">
      <alignment horizontal="center"/>
    </xf>
    <xf numFmtId="1" fontId="5" fillId="7" borderId="0" xfId="0" applyNumberFormat="1" applyFont="1" applyFill="1" applyAlignment="1">
      <alignment horizontal="center"/>
    </xf>
    <xf numFmtId="0" fontId="51" fillId="7" borderId="0" xfId="0" applyFont="1" applyFill="1" applyAlignment="1">
      <alignment horizontal="right"/>
    </xf>
    <xf numFmtId="0" fontId="20" fillId="7" borderId="0" xfId="0" applyFont="1" applyFill="1" applyAlignment="1">
      <alignment horizontal="left"/>
    </xf>
    <xf numFmtId="0" fontId="35" fillId="7" borderId="0" xfId="1" applyFill="1" applyBorder="1" applyAlignment="1" applyProtection="1">
      <alignment horizontal="right"/>
    </xf>
    <xf numFmtId="0" fontId="0" fillId="7" borderId="0" xfId="0" applyFill="1" applyAlignment="1">
      <alignment textRotation="90"/>
    </xf>
    <xf numFmtId="2" fontId="0" fillId="7" borderId="0" xfId="0" applyNumberFormat="1" applyFill="1"/>
    <xf numFmtId="0" fontId="11" fillId="7" borderId="0" xfId="0" applyFont="1" applyFill="1" applyAlignment="1">
      <alignment horizontal="center"/>
    </xf>
    <xf numFmtId="1" fontId="0" fillId="7" borderId="0" xfId="0" applyNumberFormat="1" applyFill="1"/>
    <xf numFmtId="0" fontId="20" fillId="0" borderId="19" xfId="0" applyFont="1" applyBorder="1" applyAlignment="1">
      <alignment horizontal="left"/>
    </xf>
    <xf numFmtId="0" fontId="20" fillId="0" borderId="0" xfId="0" applyFont="1" applyAlignment="1">
      <alignment horizontal="center"/>
    </xf>
    <xf numFmtId="1" fontId="20" fillId="7" borderId="0" xfId="0" applyNumberFormat="1" applyFont="1" applyFill="1" applyAlignment="1">
      <alignment horizontal="center"/>
    </xf>
    <xf numFmtId="0" fontId="0" fillId="7" borderId="21" xfId="0" applyFill="1" applyBorder="1"/>
    <xf numFmtId="0" fontId="56" fillId="0" borderId="19" xfId="1" applyFont="1" applyFill="1" applyBorder="1" applyAlignment="1" applyProtection="1">
      <protection locked="0"/>
    </xf>
    <xf numFmtId="0" fontId="56" fillId="0" borderId="0" xfId="1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58" fillId="0" borderId="0" xfId="1" applyFont="1" applyFill="1" applyBorder="1" applyAlignment="1" applyProtection="1"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7" borderId="1" xfId="0" applyFill="1" applyBorder="1"/>
    <xf numFmtId="0" fontId="0" fillId="7" borderId="24" xfId="0" applyFill="1" applyBorder="1" applyAlignment="1">
      <alignment horizontal="left"/>
    </xf>
    <xf numFmtId="0" fontId="0" fillId="0" borderId="24" xfId="0" applyBorder="1" applyAlignment="1">
      <alignment horizontal="left"/>
    </xf>
    <xf numFmtId="2" fontId="0" fillId="0" borderId="24" xfId="0" applyNumberFormat="1" applyBorder="1" applyAlignment="1">
      <alignment horizontal="center"/>
    </xf>
    <xf numFmtId="0" fontId="0" fillId="0" borderId="24" xfId="0" applyBorder="1"/>
    <xf numFmtId="1" fontId="0" fillId="7" borderId="24" xfId="0" applyNumberFormat="1" applyFill="1" applyBorder="1" applyAlignment="1">
      <alignment horizontal="center"/>
    </xf>
    <xf numFmtId="0" fontId="0" fillId="7" borderId="24" xfId="0" applyFill="1" applyBorder="1"/>
    <xf numFmtId="0" fontId="0" fillId="0" borderId="24" xfId="0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7" borderId="1" xfId="0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14" fillId="4" borderId="0" xfId="2" applyFill="1"/>
    <xf numFmtId="0" fontId="11" fillId="4" borderId="4" xfId="2" applyFont="1" applyFill="1" applyBorder="1"/>
    <xf numFmtId="0" fontId="11" fillId="4" borderId="0" xfId="2" applyFont="1" applyFill="1" applyAlignment="1">
      <alignment horizontal="center"/>
    </xf>
    <xf numFmtId="0" fontId="11" fillId="4" borderId="0" xfId="2" applyFont="1" applyFill="1" applyAlignment="1">
      <alignment horizontal="right"/>
    </xf>
    <xf numFmtId="0" fontId="65" fillId="4" borderId="0" xfId="2" applyFont="1" applyFill="1"/>
    <xf numFmtId="0" fontId="65" fillId="4" borderId="0" xfId="2" applyFont="1" applyFill="1" applyAlignment="1">
      <alignment horizontal="center"/>
    </xf>
    <xf numFmtId="0" fontId="25" fillId="0" borderId="0" xfId="2" applyFont="1" applyAlignment="1">
      <alignment horizontal="center"/>
    </xf>
    <xf numFmtId="0" fontId="25" fillId="0" borderId="2" xfId="2" applyFont="1" applyBorder="1" applyAlignment="1">
      <alignment horizontal="center"/>
    </xf>
    <xf numFmtId="0" fontId="25" fillId="0" borderId="2" xfId="2" applyFont="1" applyBorder="1" applyAlignment="1">
      <alignment horizontal="left"/>
    </xf>
    <xf numFmtId="0" fontId="66" fillId="4" borderId="0" xfId="2" applyFont="1" applyFill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/>
    <xf numFmtId="0" fontId="15" fillId="0" borderId="3" xfId="1" applyFont="1" applyFill="1" applyBorder="1" applyAlignment="1" applyProtection="1"/>
    <xf numFmtId="0" fontId="42" fillId="0" borderId="0" xfId="1" applyFont="1" applyFill="1" applyBorder="1" applyAlignment="1" applyProtection="1">
      <alignment horizontal="left"/>
    </xf>
    <xf numFmtId="0" fontId="19" fillId="0" borderId="0" xfId="0" applyFont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0" fontId="56" fillId="0" borderId="0" xfId="1" applyFont="1" applyFill="1" applyBorder="1" applyAlignment="1" applyProtection="1">
      <alignment horizontal="right"/>
    </xf>
    <xf numFmtId="0" fontId="56" fillId="0" borderId="0" xfId="1" applyFont="1" applyFill="1" applyBorder="1" applyAlignment="1" applyProtection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5" xfId="0" applyFill="1" applyBorder="1"/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42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68" fillId="0" borderId="0" xfId="0" applyNumberFormat="1" applyFont="1" applyAlignment="1">
      <alignment horizontal="left"/>
    </xf>
    <xf numFmtId="0" fontId="0" fillId="2" borderId="0" xfId="0" quotePrefix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2" xfId="0" applyFont="1" applyFill="1" applyBorder="1"/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2" xfId="0" applyFill="1" applyBorder="1" applyAlignment="1">
      <alignment horizontal="left"/>
    </xf>
    <xf numFmtId="0" fontId="5" fillId="2" borderId="4" xfId="0" applyFont="1" applyFill="1" applyBorder="1"/>
    <xf numFmtId="0" fontId="23" fillId="2" borderId="0" xfId="0" applyFont="1" applyFill="1" applyAlignment="1">
      <alignment horizontal="center"/>
    </xf>
    <xf numFmtId="0" fontId="25" fillId="2" borderId="2" xfId="0" applyFont="1" applyFill="1" applyBorder="1"/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6" fillId="2" borderId="2" xfId="0" applyFont="1" applyFill="1" applyBorder="1" applyAlignment="1">
      <alignment horizontal="left"/>
    </xf>
    <xf numFmtId="0" fontId="26" fillId="2" borderId="0" xfId="0" applyFont="1" applyFill="1"/>
    <xf numFmtId="0" fontId="0" fillId="2" borderId="2" xfId="0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2" fillId="5" borderId="0" xfId="0" applyFont="1" applyFill="1" applyAlignment="1">
      <alignment horizontal="left"/>
    </xf>
    <xf numFmtId="0" fontId="23" fillId="5" borderId="0" xfId="0" applyFont="1" applyFill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center"/>
    </xf>
    <xf numFmtId="1" fontId="11" fillId="2" borderId="0" xfId="0" applyNumberFormat="1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1" fontId="5" fillId="2" borderId="0" xfId="0" applyNumberFormat="1" applyFont="1" applyFill="1"/>
    <xf numFmtId="0" fontId="23" fillId="5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0" fillId="2" borderId="3" xfId="0" applyFill="1" applyBorder="1"/>
    <xf numFmtId="0" fontId="23" fillId="5" borderId="3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12" fillId="5" borderId="0" xfId="0" applyFont="1" applyFill="1" applyAlignment="1">
      <alignment horizontal="left"/>
    </xf>
    <xf numFmtId="0" fontId="0" fillId="5" borderId="4" xfId="0" applyFill="1" applyBorder="1" applyAlignment="1">
      <alignment horizontal="center"/>
    </xf>
    <xf numFmtId="0" fontId="5" fillId="2" borderId="9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5" borderId="4" xfId="0" quotePrefix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3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0" fontId="3" fillId="5" borderId="0" xfId="0" applyFont="1" applyFill="1"/>
    <xf numFmtId="0" fontId="30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6" xfId="0" applyFill="1" applyBorder="1" applyAlignment="1">
      <alignment horizontal="left"/>
    </xf>
    <xf numFmtId="0" fontId="42" fillId="5" borderId="7" xfId="0" applyFont="1" applyFill="1" applyBorder="1" applyAlignment="1">
      <alignment horizontal="left"/>
    </xf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1" fillId="0" borderId="0" xfId="1" applyFont="1" applyFill="1" applyBorder="1" applyAlignment="1" applyProtection="1">
      <alignment vertical="center" wrapText="1"/>
    </xf>
    <xf numFmtId="0" fontId="41" fillId="0" borderId="19" xfId="1" applyFont="1" applyFill="1" applyBorder="1" applyAlignment="1" applyProtection="1">
      <alignment vertical="center" wrapText="1"/>
    </xf>
    <xf numFmtId="0" fontId="41" fillId="0" borderId="19" xfId="1" applyFont="1" applyFill="1" applyBorder="1" applyAlignment="1" applyProtection="1">
      <alignment horizontal="center" vertical="center" wrapText="1"/>
    </xf>
    <xf numFmtId="0" fontId="41" fillId="0" borderId="0" xfId="1" applyFont="1" applyFill="1" applyBorder="1" applyAlignment="1" applyProtection="1">
      <alignment horizontal="center" vertical="center" wrapText="1"/>
    </xf>
    <xf numFmtId="0" fontId="67" fillId="0" borderId="0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 vertical="center"/>
    </xf>
    <xf numFmtId="0" fontId="59" fillId="4" borderId="0" xfId="0" applyFont="1" applyFill="1" applyAlignment="1">
      <alignment horizontal="right" vertical="center"/>
    </xf>
    <xf numFmtId="0" fontId="59" fillId="4" borderId="0" xfId="0" applyFont="1" applyFill="1" applyAlignment="1">
      <alignment horizontal="left" vertical="center"/>
    </xf>
    <xf numFmtId="0" fontId="59" fillId="4" borderId="0" xfId="0" applyFont="1" applyFill="1" applyAlignment="1">
      <alignment horizontal="center" vertical="center"/>
    </xf>
    <xf numFmtId="0" fontId="0" fillId="4" borderId="4" xfId="0" quotePrefix="1" applyFill="1" applyBorder="1" applyAlignment="1">
      <alignment horizontal="center"/>
    </xf>
    <xf numFmtId="0" fontId="12" fillId="4" borderId="0" xfId="0" applyFont="1" applyFill="1" applyAlignment="1">
      <alignment horizontal="right"/>
    </xf>
    <xf numFmtId="0" fontId="0" fillId="4" borderId="0" xfId="0" quotePrefix="1" applyFill="1" applyAlignment="1">
      <alignment horizontal="center"/>
    </xf>
    <xf numFmtId="0" fontId="5" fillId="3" borderId="14" xfId="2" applyFont="1" applyFill="1" applyBorder="1" applyAlignment="1" applyProtection="1">
      <alignment horizontal="center"/>
      <protection locked="0"/>
    </xf>
    <xf numFmtId="0" fontId="75" fillId="4" borderId="0" xfId="2" applyFont="1" applyFill="1"/>
    <xf numFmtId="0" fontId="11" fillId="4" borderId="0" xfId="2" applyFont="1" applyFill="1" applyAlignment="1">
      <alignment horizontal="left"/>
    </xf>
    <xf numFmtId="0" fontId="74" fillId="4" borderId="0" xfId="0" applyFont="1" applyFill="1"/>
    <xf numFmtId="2" fontId="74" fillId="0" borderId="0" xfId="0" applyNumberFormat="1" applyFont="1" applyAlignment="1">
      <alignment horizontal="center"/>
    </xf>
    <xf numFmtId="0" fontId="41" fillId="4" borderId="0" xfId="0" applyFont="1" applyFill="1" applyAlignment="1">
      <alignment horizontal="left"/>
    </xf>
    <xf numFmtId="0" fontId="8" fillId="0" borderId="19" xfId="0" applyFont="1" applyBorder="1"/>
    <xf numFmtId="0" fontId="17" fillId="0" borderId="2" xfId="0" applyFont="1" applyBorder="1"/>
    <xf numFmtId="0" fontId="8" fillId="0" borderId="0" xfId="0" applyFont="1" applyAlignment="1">
      <alignment horizontal="right"/>
    </xf>
    <xf numFmtId="0" fontId="35" fillId="0" borderId="22" xfId="1" applyBorder="1" applyAlignment="1" applyProtection="1">
      <alignment horizontal="center"/>
    </xf>
    <xf numFmtId="0" fontId="8" fillId="0" borderId="22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49" fontId="0" fillId="3" borderId="1" xfId="0" applyNumberFormat="1" applyFill="1" applyBorder="1" applyAlignment="1" applyProtection="1">
      <alignment horizontal="left"/>
      <protection locked="0"/>
    </xf>
    <xf numFmtId="0" fontId="63" fillId="0" borderId="0" xfId="1" applyFont="1" applyFill="1" applyBorder="1" applyAlignment="1" applyProtection="1">
      <alignment horizontal="left"/>
    </xf>
    <xf numFmtId="0" fontId="35" fillId="7" borderId="0" xfId="1" applyFill="1" applyBorder="1" applyAlignment="1" applyProtection="1">
      <alignment horizontal="left"/>
      <protection locked="0"/>
    </xf>
    <xf numFmtId="0" fontId="56" fillId="0" borderId="0" xfId="1" applyFont="1" applyFill="1" applyBorder="1" applyAlignment="1" applyProtection="1">
      <alignment horizontal="left"/>
      <protection locked="0"/>
    </xf>
    <xf numFmtId="0" fontId="6" fillId="7" borderId="1" xfId="0" applyFont="1" applyFill="1" applyBorder="1" applyAlignment="1">
      <alignment horizontal="center"/>
    </xf>
    <xf numFmtId="2" fontId="57" fillId="0" borderId="6" xfId="0" applyNumberFormat="1" applyFont="1" applyBorder="1" applyAlignment="1">
      <alignment horizontal="center" vertical="center"/>
    </xf>
    <xf numFmtId="2" fontId="57" fillId="0" borderId="8" xfId="0" applyNumberFormat="1" applyFont="1" applyBorder="1" applyAlignment="1">
      <alignment horizontal="center" vertical="center"/>
    </xf>
    <xf numFmtId="2" fontId="57" fillId="0" borderId="9" xfId="0" applyNumberFormat="1" applyFont="1" applyBorder="1" applyAlignment="1">
      <alignment horizontal="center" vertical="center"/>
    </xf>
    <xf numFmtId="2" fontId="57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6" fillId="0" borderId="0" xfId="1" applyFont="1" applyBorder="1" applyAlignment="1" applyProtection="1">
      <alignment horizontal="center"/>
    </xf>
    <xf numFmtId="0" fontId="48" fillId="4" borderId="0" xfId="0" applyFont="1" applyFill="1" applyAlignment="1">
      <alignment horizontal="center"/>
    </xf>
    <xf numFmtId="0" fontId="10" fillId="7" borderId="0" xfId="0" applyFont="1" applyFill="1" applyAlignment="1">
      <alignment horizontal="center" vertical="center" wrapText="1"/>
    </xf>
    <xf numFmtId="0" fontId="48" fillId="7" borderId="0" xfId="0" applyFont="1" applyFill="1" applyAlignment="1">
      <alignment horizontal="center"/>
    </xf>
    <xf numFmtId="0" fontId="0" fillId="0" borderId="17" xfId="0" applyBorder="1"/>
    <xf numFmtId="0" fontId="7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59" fillId="4" borderId="32" xfId="0" applyFont="1" applyFill="1" applyBorder="1" applyAlignment="1">
      <alignment horizontal="center" vertical="center"/>
    </xf>
    <xf numFmtId="0" fontId="59" fillId="4" borderId="34" xfId="0" applyFont="1" applyFill="1" applyBorder="1" applyAlignment="1">
      <alignment horizontal="center" vertical="center"/>
    </xf>
    <xf numFmtId="0" fontId="59" fillId="4" borderId="31" xfId="0" quotePrefix="1" applyFont="1" applyFill="1" applyBorder="1" applyAlignment="1">
      <alignment horizontal="right" vertical="center"/>
    </xf>
    <xf numFmtId="0" fontId="59" fillId="4" borderId="33" xfId="0" applyFont="1" applyFill="1" applyBorder="1" applyAlignment="1">
      <alignment horizontal="right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 vertical="center"/>
    </xf>
    <xf numFmtId="0" fontId="41" fillId="0" borderId="0" xfId="1" applyFont="1" applyFill="1" applyBorder="1" applyAlignment="1" applyProtection="1">
      <alignment horizontal="center" vertical="center" wrapText="1"/>
    </xf>
    <xf numFmtId="0" fontId="73" fillId="0" borderId="0" xfId="1" applyFont="1" applyFill="1" applyBorder="1" applyAlignment="1" applyProtection="1">
      <alignment horizontal="center" vertical="center" wrapText="1"/>
    </xf>
    <xf numFmtId="0" fontId="35" fillId="0" borderId="2" xfId="1" applyFill="1" applyBorder="1" applyAlignment="1" applyProtection="1">
      <alignment horizontal="left"/>
    </xf>
    <xf numFmtId="0" fontId="35" fillId="0" borderId="0" xfId="1" applyFill="1" applyBorder="1" applyAlignment="1" applyProtection="1">
      <alignment horizontal="left"/>
    </xf>
    <xf numFmtId="0" fontId="35" fillId="0" borderId="20" xfId="1" applyFill="1" applyBorder="1" applyAlignment="1" applyProtection="1">
      <alignment horizontal="left"/>
    </xf>
    <xf numFmtId="0" fontId="60" fillId="0" borderId="0" xfId="1" applyFont="1" applyFill="1" applyBorder="1" applyAlignment="1" applyProtection="1">
      <alignment horizontal="right" vertical="center" wrapText="1"/>
    </xf>
    <xf numFmtId="0" fontId="67" fillId="0" borderId="0" xfId="1" applyFont="1" applyFill="1" applyBorder="1" applyAlignment="1" applyProtection="1">
      <alignment horizontal="right" vertical="center" wrapText="1"/>
    </xf>
    <xf numFmtId="0" fontId="59" fillId="4" borderId="0" xfId="0" applyFont="1" applyFill="1" applyAlignment="1">
      <alignment horizontal="center" vertical="center"/>
    </xf>
    <xf numFmtId="0" fontId="76" fillId="4" borderId="0" xfId="0" applyFont="1" applyFill="1" applyAlignment="1">
      <alignment horizontal="center" vertical="center"/>
    </xf>
    <xf numFmtId="0" fontId="69" fillId="5" borderId="0" xfId="0" applyFont="1" applyFill="1" applyAlignment="1">
      <alignment horizontal="center" wrapText="1"/>
    </xf>
    <xf numFmtId="0" fontId="69" fillId="5" borderId="3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textRotation="90"/>
    </xf>
    <xf numFmtId="0" fontId="6" fillId="0" borderId="19" xfId="0" applyFont="1" applyBorder="1" applyAlignment="1">
      <alignment horizontal="center" textRotation="90"/>
    </xf>
    <xf numFmtId="0" fontId="0" fillId="5" borderId="0" xfId="0" applyFill="1" applyAlignment="1">
      <alignment horizontal="center"/>
    </xf>
    <xf numFmtId="0" fontId="42" fillId="0" borderId="0" xfId="1" applyFont="1" applyFill="1" applyBorder="1" applyAlignment="1" applyProtection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4" fillId="4" borderId="0" xfId="2" applyFill="1" applyAlignment="1" applyProtection="1">
      <alignment horizontal="center"/>
      <protection locked="0"/>
    </xf>
    <xf numFmtId="0" fontId="66" fillId="0" borderId="25" xfId="2" applyFont="1" applyBorder="1" applyAlignment="1" applyProtection="1">
      <alignment horizontal="center" vertical="center"/>
      <protection locked="0"/>
    </xf>
    <xf numFmtId="0" fontId="66" fillId="0" borderId="26" xfId="2" applyFont="1" applyBorder="1" applyAlignment="1" applyProtection="1">
      <alignment horizontal="center" vertical="center"/>
      <protection locked="0"/>
    </xf>
    <xf numFmtId="0" fontId="66" fillId="0" borderId="27" xfId="2" applyFont="1" applyBorder="1" applyAlignment="1" applyProtection="1">
      <alignment horizontal="center" vertical="center"/>
      <protection locked="0"/>
    </xf>
    <xf numFmtId="0" fontId="66" fillId="0" borderId="28" xfId="2" applyFont="1" applyBorder="1" applyAlignment="1" applyProtection="1">
      <alignment horizontal="center" vertical="center"/>
      <protection locked="0"/>
    </xf>
    <xf numFmtId="0" fontId="66" fillId="0" borderId="29" xfId="2" applyFont="1" applyBorder="1" applyAlignment="1" applyProtection="1">
      <alignment horizontal="center" vertical="center"/>
      <protection locked="0"/>
    </xf>
    <xf numFmtId="0" fontId="66" fillId="0" borderId="30" xfId="2" applyFont="1" applyBorder="1" applyAlignment="1" applyProtection="1">
      <alignment horizontal="center" vertical="center"/>
      <protection locked="0"/>
    </xf>
  </cellXfs>
  <cellStyles count="4">
    <cellStyle name="Hyperlink" xfId="1" builtinId="8"/>
    <cellStyle name="Normal" xfId="0" builtinId="0"/>
    <cellStyle name="Normal_PS Rehab Bridge sheet" xfId="2" xr:uid="{00000000-0005-0000-0000-000002000000}"/>
    <cellStyle name="Percent" xfId="3" builtin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5</xdr:row>
      <xdr:rowOff>47625</xdr:rowOff>
    </xdr:from>
    <xdr:to>
      <xdr:col>3</xdr:col>
      <xdr:colOff>295275</xdr:colOff>
      <xdr:row>6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2114550" y="866775"/>
          <a:ext cx="9525" cy="2286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10</xdr:col>
      <xdr:colOff>504825</xdr:colOff>
      <xdr:row>4</xdr:row>
      <xdr:rowOff>19051</xdr:rowOff>
    </xdr:from>
    <xdr:to>
      <xdr:col>11</xdr:col>
      <xdr:colOff>104775</xdr:colOff>
      <xdr:row>5</xdr:row>
      <xdr:rowOff>142876</xdr:rowOff>
    </xdr:to>
    <xdr:sp macro="" textlink="">
      <xdr:nvSpPr>
        <xdr:cNvPr id="4" name="Ben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 rot="5400000">
          <a:off x="6562725" y="714376"/>
          <a:ext cx="285750" cy="209550"/>
        </a:xfrm>
        <a:prstGeom prst="ben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12</xdr:row>
      <xdr:rowOff>38100</xdr:rowOff>
    </xdr:from>
    <xdr:to>
      <xdr:col>7</xdr:col>
      <xdr:colOff>276225</xdr:colOff>
      <xdr:row>13</xdr:row>
      <xdr:rowOff>9525</xdr:rowOff>
    </xdr:to>
    <xdr:sp macro="" textlink="">
      <xdr:nvSpPr>
        <xdr:cNvPr id="2" name="Line 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3143250" y="58674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12</xdr:row>
      <xdr:rowOff>9525</xdr:rowOff>
    </xdr:from>
    <xdr:to>
      <xdr:col>2</xdr:col>
      <xdr:colOff>495300</xdr:colOff>
      <xdr:row>13</xdr:row>
      <xdr:rowOff>57150</xdr:rowOff>
    </xdr:to>
    <xdr:sp macro="" textlink="">
      <xdr:nvSpPr>
        <xdr:cNvPr id="3" name="Line 7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038225" y="5838825"/>
          <a:ext cx="9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5"/>
  </sheetPr>
  <dimension ref="A1:S59"/>
  <sheetViews>
    <sheetView showGridLines="0" zoomScaleNormal="100" workbookViewId="0">
      <selection activeCell="D38" sqref="D38:F38"/>
    </sheetView>
  </sheetViews>
  <sheetFormatPr defaultColWidth="7.7265625" defaultRowHeight="12.75" customHeight="1" x14ac:dyDescent="0.3"/>
  <cols>
    <col min="1" max="1" width="7.7265625" style="191"/>
    <col min="2" max="16384" width="7.7265625" style="114"/>
  </cols>
  <sheetData>
    <row r="1" spans="1:14" ht="12.75" customHeight="1" x14ac:dyDescent="0.3">
      <c r="D1" s="411"/>
      <c r="E1" s="411"/>
      <c r="F1" s="411"/>
      <c r="G1" s="411"/>
      <c r="H1" s="411"/>
    </row>
    <row r="2" spans="1:14" ht="12.75" customHeight="1" x14ac:dyDescent="0.3">
      <c r="D2" s="411"/>
      <c r="E2" s="411"/>
      <c r="F2" s="411"/>
      <c r="G2" s="411"/>
      <c r="H2" s="411"/>
    </row>
    <row r="3" spans="1:14" ht="12.75" customHeight="1" x14ac:dyDescent="0.35">
      <c r="B3"/>
      <c r="C3"/>
      <c r="D3" s="214"/>
      <c r="E3" s="413"/>
      <c r="F3" s="413"/>
      <c r="G3" s="413"/>
      <c r="H3" s="413"/>
      <c r="I3" s="413"/>
      <c r="J3"/>
      <c r="K3"/>
      <c r="L3"/>
      <c r="M3"/>
      <c r="N3"/>
    </row>
    <row r="4" spans="1:14" ht="12.75" customHeight="1" x14ac:dyDescent="0.3">
      <c r="A4" s="125"/>
      <c r="B4" s="1"/>
      <c r="C4" s="1"/>
      <c r="D4" s="1"/>
      <c r="E4" s="10"/>
      <c r="F4" s="10"/>
      <c r="G4" s="1"/>
      <c r="H4" s="10"/>
      <c r="I4" s="1"/>
      <c r="J4" s="412" t="s">
        <v>287</v>
      </c>
      <c r="K4" s="412"/>
      <c r="L4" s="412"/>
      <c r="M4" s="412"/>
      <c r="N4" s="187"/>
    </row>
    <row r="5" spans="1:14" ht="12.75" customHeight="1" x14ac:dyDescent="0.3">
      <c r="A5" s="125"/>
      <c r="B5" s="1" t="s">
        <v>0</v>
      </c>
      <c r="C5"/>
      <c r="D5" s="400"/>
      <c r="E5" s="400"/>
      <c r="F5" s="400"/>
      <c r="G5" s="29"/>
      <c r="H5" s="28"/>
      <c r="I5" s="1"/>
      <c r="J5" s="412"/>
      <c r="K5" s="412"/>
      <c r="L5" s="412"/>
      <c r="M5" s="412"/>
      <c r="N5" s="187"/>
    </row>
    <row r="6" spans="1:14" ht="12.75" customHeight="1" x14ac:dyDescent="0.3">
      <c r="A6" s="125"/>
      <c r="B6" s="1"/>
      <c r="C6"/>
      <c r="D6" s="29"/>
      <c r="E6" s="28"/>
      <c r="F6" s="28"/>
      <c r="G6" s="29"/>
      <c r="H6" s="28"/>
      <c r="I6" s="1"/>
      <c r="J6" s="412"/>
      <c r="K6" s="412"/>
      <c r="L6" s="412"/>
      <c r="M6" s="412"/>
      <c r="N6" s="187"/>
    </row>
    <row r="7" spans="1:14" ht="12.75" customHeight="1" x14ac:dyDescent="0.3">
      <c r="A7" s="125"/>
      <c r="B7" s="1" t="s">
        <v>1</v>
      </c>
      <c r="C7"/>
      <c r="D7" s="400"/>
      <c r="E7" s="400"/>
      <c r="F7" s="400"/>
      <c r="G7" s="400"/>
      <c r="H7" s="400"/>
      <c r="I7" s="400"/>
      <c r="J7" s="412" t="s">
        <v>306</v>
      </c>
      <c r="K7" s="412"/>
      <c r="L7" s="412"/>
      <c r="M7" s="412"/>
      <c r="N7" s="187"/>
    </row>
    <row r="8" spans="1:14" ht="12.75" customHeight="1" x14ac:dyDescent="0.3">
      <c r="A8" s="125"/>
      <c r="B8" s="1"/>
      <c r="C8"/>
      <c r="D8" s="29"/>
      <c r="E8" s="30"/>
      <c r="F8" s="30"/>
      <c r="G8" s="30"/>
      <c r="H8" s="30"/>
      <c r="I8"/>
      <c r="J8" s="412"/>
      <c r="K8" s="412"/>
      <c r="L8" s="412"/>
      <c r="M8" s="412"/>
      <c r="N8" s="187"/>
    </row>
    <row r="9" spans="1:14" ht="12.75" customHeight="1" x14ac:dyDescent="0.35">
      <c r="B9" s="44" t="s">
        <v>226</v>
      </c>
      <c r="C9"/>
      <c r="D9" s="400"/>
      <c r="E9" s="400"/>
      <c r="F9" s="400"/>
      <c r="G9" s="30"/>
      <c r="H9" s="30"/>
      <c r="I9"/>
      <c r="J9" s="10"/>
      <c r="K9" s="1"/>
      <c r="L9" s="1"/>
      <c r="M9" s="1"/>
      <c r="N9" s="187"/>
    </row>
    <row r="10" spans="1:14" ht="12.75" customHeight="1" x14ac:dyDescent="0.3">
      <c r="B10" s="187"/>
      <c r="C10" s="1"/>
      <c r="D10" s="32"/>
      <c r="E10" s="31"/>
      <c r="F10"/>
      <c r="G10"/>
      <c r="H10"/>
      <c r="I10"/>
      <c r="J10"/>
      <c r="K10" s="399" t="s">
        <v>231</v>
      </c>
      <c r="L10" s="399"/>
      <c r="M10" s="405">
        <f>SUM(K29,K42,K45)</f>
        <v>0</v>
      </c>
      <c r="N10" s="406"/>
    </row>
    <row r="11" spans="1:14" ht="12.75" customHeight="1" x14ac:dyDescent="0.3">
      <c r="B11" s="187" t="s">
        <v>283</v>
      </c>
      <c r="C11" s="145"/>
      <c r="D11" s="8"/>
      <c r="E11" t="s">
        <v>282</v>
      </c>
      <c r="F11" s="30"/>
      <c r="G11"/>
      <c r="H11"/>
      <c r="I11"/>
      <c r="J11"/>
      <c r="K11" s="399"/>
      <c r="L11" s="399"/>
      <c r="M11" s="407"/>
      <c r="N11" s="408"/>
    </row>
    <row r="12" spans="1:14" ht="12.75" customHeight="1" x14ac:dyDescent="0.3">
      <c r="B12" s="187"/>
      <c r="C12"/>
      <c r="D12"/>
      <c r="E12"/>
      <c r="F12"/>
      <c r="G12"/>
      <c r="H12"/>
      <c r="I12"/>
      <c r="J12"/>
      <c r="K12"/>
      <c r="L12"/>
      <c r="M12"/>
      <c r="N12"/>
    </row>
    <row r="13" spans="1:14" ht="12.75" customHeight="1" x14ac:dyDescent="0.3">
      <c r="B13" s="14" t="s">
        <v>270</v>
      </c>
      <c r="C13"/>
      <c r="D13" s="215"/>
      <c r="E13"/>
      <c r="F13"/>
      <c r="G13"/>
      <c r="H13"/>
      <c r="I13"/>
      <c r="J13"/>
      <c r="K13"/>
      <c r="L13"/>
      <c r="M13"/>
      <c r="N13"/>
    </row>
    <row r="14" spans="1:14" ht="12.75" customHeight="1" x14ac:dyDescent="0.3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2.75" customHeight="1" thickBot="1" x14ac:dyDescent="0.35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2.75" customHeight="1" x14ac:dyDescent="0.3">
      <c r="B16" s="216"/>
      <c r="C16" s="105"/>
      <c r="D16" s="76"/>
      <c r="E16" s="105"/>
      <c r="F16" s="105"/>
      <c r="G16" s="105"/>
      <c r="H16" s="106"/>
      <c r="I16" s="106"/>
      <c r="J16" s="105"/>
      <c r="K16" s="105"/>
      <c r="L16" s="105"/>
      <c r="M16" s="76"/>
      <c r="N16" s="77"/>
    </row>
    <row r="17" spans="2:17" ht="12.75" customHeight="1" x14ac:dyDescent="0.3">
      <c r="B17" s="189"/>
      <c r="C17" s="409" t="s">
        <v>288</v>
      </c>
      <c r="D17" s="409"/>
      <c r="E17" s="409"/>
      <c r="F17" s="409"/>
      <c r="G17" s="409"/>
      <c r="H17" s="409"/>
      <c r="I17" s="409"/>
      <c r="J17" s="409"/>
      <c r="K17" s="409"/>
      <c r="L17" s="409"/>
      <c r="M17" s="217"/>
      <c r="N17" s="79"/>
    </row>
    <row r="18" spans="2:17" ht="12.75" customHeight="1" x14ac:dyDescent="0.3">
      <c r="B18" s="189"/>
      <c r="C18" s="1"/>
      <c r="D18" s="1"/>
      <c r="E18" s="410" t="s">
        <v>289</v>
      </c>
      <c r="F18" s="410"/>
      <c r="G18" s="410"/>
      <c r="H18" s="410"/>
      <c r="I18" s="410"/>
      <c r="J18" s="410"/>
      <c r="K18" s="1"/>
      <c r="L18" s="1"/>
      <c r="M18"/>
      <c r="N18" s="79"/>
    </row>
    <row r="19" spans="2:17" ht="12.75" customHeight="1" x14ac:dyDescent="0.35">
      <c r="B19" s="189"/>
      <c r="C19" s="251"/>
      <c r="D19" s="251"/>
      <c r="E19" s="251"/>
      <c r="F19" s="251"/>
      <c r="G19" s="263"/>
      <c r="H19" s="252"/>
      <c r="I19" s="404"/>
      <c r="J19" s="404"/>
      <c r="K19" s="253"/>
      <c r="L19" s="264"/>
      <c r="M19" s="218"/>
      <c r="N19" s="79"/>
    </row>
    <row r="20" spans="2:17" ht="12.75" customHeight="1" x14ac:dyDescent="0.35">
      <c r="B20" s="189"/>
      <c r="C20" s="1"/>
      <c r="D20" s="1"/>
      <c r="E20" s="1"/>
      <c r="F20" s="1"/>
      <c r="G20"/>
      <c r="H20" s="219"/>
      <c r="I20" s="219"/>
      <c r="J20" s="220"/>
      <c r="K20" s="221"/>
      <c r="L20" s="221"/>
      <c r="M20" s="222"/>
      <c r="N20" s="79"/>
    </row>
    <row r="21" spans="2:17" ht="12.75" customHeight="1" x14ac:dyDescent="0.35">
      <c r="B21" s="189"/>
      <c r="C21" s="1"/>
      <c r="D21" s="1"/>
      <c r="E21" s="1"/>
      <c r="F21" s="1"/>
      <c r="G21"/>
      <c r="H21" s="223"/>
      <c r="I21" s="223"/>
      <c r="J21" s="220"/>
      <c r="K21" s="224"/>
      <c r="L21" s="224"/>
      <c r="M21" s="225"/>
      <c r="N21" s="79"/>
    </row>
    <row r="22" spans="2:17" ht="12.75" customHeight="1" x14ac:dyDescent="0.3">
      <c r="B22" s="189"/>
      <c r="C22" s="1"/>
      <c r="D22" s="1"/>
      <c r="E22" s="1"/>
      <c r="F22" s="1"/>
      <c r="G22"/>
      <c r="H22" s="1" t="s">
        <v>2</v>
      </c>
      <c r="I22" s="10"/>
      <c r="J22"/>
      <c r="K22" s="226" t="s">
        <v>213</v>
      </c>
      <c r="L22" s="10"/>
      <c r="M22" s="187"/>
      <c r="N22" s="79"/>
    </row>
    <row r="23" spans="2:17" ht="12.75" customHeight="1" x14ac:dyDescent="0.3">
      <c r="B23" s="189"/>
      <c r="C23" s="227"/>
      <c r="D23"/>
      <c r="E23"/>
      <c r="F23" s="1"/>
      <c r="G23"/>
      <c r="H23" s="251" t="s">
        <v>3</v>
      </c>
      <c r="I23" s="10"/>
      <c r="J23"/>
      <c r="K23" s="262" t="s">
        <v>26</v>
      </c>
      <c r="L23" s="175"/>
      <c r="M23" s="228"/>
      <c r="N23" s="79"/>
    </row>
    <row r="24" spans="2:17" ht="12.75" customHeight="1" x14ac:dyDescent="0.3">
      <c r="B24" s="189"/>
      <c r="C24" s="179" t="s">
        <v>5</v>
      </c>
      <c r="D24" s="108"/>
      <c r="E24"/>
      <c r="F24" s="1"/>
      <c r="G24"/>
      <c r="H24" s="1"/>
      <c r="I24" s="10"/>
      <c r="J24"/>
      <c r="K24" s="226"/>
      <c r="L24" s="10"/>
      <c r="M24" s="187"/>
      <c r="N24" s="79"/>
    </row>
    <row r="25" spans="2:17" ht="12.75" customHeight="1" x14ac:dyDescent="0.3">
      <c r="B25" s="78"/>
      <c r="C25" s="229"/>
      <c r="D25" s="229"/>
      <c r="E25" s="187"/>
      <c r="F25" s="1"/>
      <c r="G25"/>
      <c r="H25" s="1"/>
      <c r="I25" s="10"/>
      <c r="J25"/>
      <c r="K25" s="226"/>
      <c r="L25" s="34"/>
      <c r="M25" s="187"/>
      <c r="N25" s="79"/>
    </row>
    <row r="26" spans="2:17" ht="12.75" customHeight="1" x14ac:dyDescent="0.3">
      <c r="B26" s="189"/>
      <c r="C26"/>
      <c r="D26" s="188" t="s">
        <v>6</v>
      </c>
      <c r="E26" s="186"/>
      <c r="F26" s="186"/>
      <c r="G26"/>
      <c r="H26" s="10">
        <v>25</v>
      </c>
      <c r="I26" s="146"/>
      <c r="J26" s="230"/>
      <c r="K26" s="6">
        <f>'Traffic &amp; Accidents'!K47</f>
        <v>0</v>
      </c>
      <c r="L26" s="187"/>
      <c r="M26" s="231"/>
      <c r="N26" s="79"/>
    </row>
    <row r="27" spans="2:17" ht="12.75" customHeight="1" x14ac:dyDescent="0.3">
      <c r="B27" s="189"/>
      <c r="C27"/>
      <c r="D27" s="188" t="s">
        <v>7</v>
      </c>
      <c r="E27" s="186"/>
      <c r="F27" s="186"/>
      <c r="G27"/>
      <c r="H27" s="10">
        <v>25</v>
      </c>
      <c r="I27" s="146"/>
      <c r="J27" s="230"/>
      <c r="K27" s="232">
        <f>IF('Traffic &amp; Accidents'!K76&gt;25,25,'Traffic &amp; Accidents'!K76)</f>
        <v>0</v>
      </c>
      <c r="L27" s="187"/>
      <c r="M27" s="231"/>
      <c r="N27" s="79"/>
    </row>
    <row r="28" spans="2:17" ht="12.75" customHeight="1" x14ac:dyDescent="0.3">
      <c r="B28" s="189"/>
      <c r="C28" s="187"/>
      <c r="D28" s="233"/>
      <c r="E28" s="233"/>
      <c r="F28" s="14"/>
      <c r="G28"/>
      <c r="H28" s="10"/>
      <c r="I28"/>
      <c r="J28" s="234"/>
      <c r="K28" s="36"/>
      <c r="L28" s="187"/>
      <c r="M28" s="190"/>
      <c r="N28" s="79"/>
      <c r="O28" s="209"/>
      <c r="P28" s="210"/>
      <c r="Q28" s="209"/>
    </row>
    <row r="29" spans="2:17" ht="12.75" customHeight="1" x14ac:dyDescent="0.3">
      <c r="B29" s="189"/>
      <c r="C29" s="187"/>
      <c r="D29" s="233"/>
      <c r="E29" s="233"/>
      <c r="F29"/>
      <c r="G29" s="6" t="s">
        <v>8</v>
      </c>
      <c r="H29" s="10">
        <f>SUM(H26:I27)</f>
        <v>50</v>
      </c>
      <c r="I29" s="179"/>
      <c r="J29" s="235"/>
      <c r="K29" s="261">
        <f>ROUND(SUM(K26:K27),2)</f>
        <v>0</v>
      </c>
      <c r="L29" s="187"/>
      <c r="M29" s="231"/>
      <c r="N29" s="79"/>
      <c r="O29" s="209"/>
      <c r="P29" s="211"/>
      <c r="Q29" s="209"/>
    </row>
    <row r="30" spans="2:17" ht="12.75" customHeight="1" thickBot="1" x14ac:dyDescent="0.35">
      <c r="B30" s="189"/>
      <c r="C30" s="254"/>
      <c r="D30" s="254"/>
      <c r="E30" s="254"/>
      <c r="F30" s="255"/>
      <c r="G30" s="257"/>
      <c r="H30" s="260"/>
      <c r="I30" s="257"/>
      <c r="J30" s="258"/>
      <c r="K30" s="256"/>
      <c r="L30" s="259"/>
      <c r="M30" s="190"/>
      <c r="N30" s="79"/>
      <c r="O30" s="212"/>
      <c r="P30" s="212"/>
      <c r="Q30" s="209"/>
    </row>
    <row r="31" spans="2:17" ht="12.75" customHeight="1" thickTop="1" x14ac:dyDescent="0.3">
      <c r="B31" s="189"/>
      <c r="C31" s="188"/>
      <c r="D31" s="188"/>
      <c r="E31" s="188"/>
      <c r="F31" s="1"/>
      <c r="G31"/>
      <c r="H31" s="10"/>
      <c r="I31"/>
      <c r="J31" s="234"/>
      <c r="K31" s="35"/>
      <c r="L31" s="187"/>
      <c r="M31" s="190"/>
      <c r="N31" s="79"/>
      <c r="O31" s="213"/>
      <c r="P31" s="213"/>
      <c r="Q31" s="209"/>
    </row>
    <row r="32" spans="2:17" ht="12.75" customHeight="1" x14ac:dyDescent="0.3">
      <c r="B32" s="189"/>
      <c r="C32" s="249" t="s">
        <v>9</v>
      </c>
      <c r="D32" s="188"/>
      <c r="E32" s="188"/>
      <c r="F32" s="1"/>
      <c r="G32"/>
      <c r="H32" s="10"/>
      <c r="I32"/>
      <c r="J32" s="234"/>
      <c r="K32" s="35"/>
      <c r="L32" s="187"/>
      <c r="M32" s="190"/>
      <c r="N32" s="79"/>
      <c r="O32" s="209"/>
      <c r="P32" s="209"/>
      <c r="Q32" s="209"/>
    </row>
    <row r="33" spans="1:19" ht="12.75" customHeight="1" x14ac:dyDescent="0.3">
      <c r="A33" s="125"/>
      <c r="B33" s="107"/>
      <c r="C33" s="187"/>
      <c r="D33" s="188"/>
      <c r="E33" s="187"/>
      <c r="F33" s="1"/>
      <c r="G33"/>
      <c r="H33" s="10"/>
      <c r="I33"/>
      <c r="J33" s="234"/>
      <c r="K33" s="35"/>
      <c r="L33"/>
      <c r="M33" s="391"/>
      <c r="N33" s="79"/>
    </row>
    <row r="34" spans="1:19" ht="12.75" customHeight="1" x14ac:dyDescent="0.3">
      <c r="B34" s="189"/>
      <c r="C34" s="188"/>
      <c r="D34" s="403" t="s">
        <v>304</v>
      </c>
      <c r="E34" s="403"/>
      <c r="F34" s="403"/>
      <c r="G34"/>
      <c r="H34" s="10">
        <v>40</v>
      </c>
      <c r="I34" s="146"/>
      <c r="J34" s="230"/>
      <c r="K34" s="6">
        <f>IF(Structure!D9&lt;&gt;0,Structure!H22,Structure!J9)</f>
        <v>0</v>
      </c>
      <c r="L34"/>
      <c r="M34" s="6"/>
      <c r="N34" s="79"/>
    </row>
    <row r="35" spans="1:19" ht="12.75" customHeight="1" x14ac:dyDescent="0.3">
      <c r="B35" s="189"/>
      <c r="C35" s="188"/>
      <c r="D35" s="186"/>
      <c r="E35" s="186"/>
      <c r="F35" s="186"/>
      <c r="G35"/>
      <c r="H35" s="10"/>
      <c r="I35" s="146"/>
      <c r="J35" s="230"/>
      <c r="K35" s="6"/>
      <c r="L35"/>
      <c r="M35" s="6"/>
      <c r="N35" s="79"/>
    </row>
    <row r="36" spans="1:19" ht="12.75" customHeight="1" x14ac:dyDescent="0.3">
      <c r="B36" s="189"/>
      <c r="C36" t="s">
        <v>268</v>
      </c>
      <c r="D36"/>
      <c r="E36" s="187"/>
      <c r="F36" s="190"/>
      <c r="G36"/>
      <c r="H36" s="10"/>
      <c r="I36"/>
      <c r="J36" s="234"/>
      <c r="K36" s="35"/>
      <c r="L36" s="187"/>
      <c r="M36" s="190"/>
      <c r="N36" s="79"/>
      <c r="P36" s="115"/>
      <c r="S36" s="115"/>
    </row>
    <row r="37" spans="1:19" ht="12.75" customHeight="1" x14ac:dyDescent="0.3">
      <c r="B37" s="189"/>
      <c r="C37" s="188"/>
      <c r="D37" s="403" t="s">
        <v>119</v>
      </c>
      <c r="E37" s="403"/>
      <c r="F37" s="403"/>
      <c r="G37"/>
      <c r="H37" s="10">
        <v>5</v>
      </c>
      <c r="I37" s="146"/>
      <c r="J37" s="230"/>
      <c r="K37" s="6">
        <f>Geometry!D15</f>
        <v>0</v>
      </c>
      <c r="L37" s="187"/>
      <c r="M37" s="231"/>
      <c r="N37" s="79"/>
      <c r="P37" s="166"/>
      <c r="S37" s="166"/>
    </row>
    <row r="38" spans="1:19" ht="12.75" customHeight="1" x14ac:dyDescent="0.3">
      <c r="B38" s="189"/>
      <c r="C38" s="188"/>
      <c r="D38" s="403" t="s">
        <v>120</v>
      </c>
      <c r="E38" s="403"/>
      <c r="F38" s="403"/>
      <c r="G38"/>
      <c r="H38" s="10">
        <v>5</v>
      </c>
      <c r="I38" s="146"/>
      <c r="J38" s="230"/>
      <c r="K38" s="6" t="str">
        <f>IF(Geometry!H29&lt;&gt;0,Geometry!I15,"")</f>
        <v/>
      </c>
      <c r="L38" s="187"/>
      <c r="M38" s="231"/>
      <c r="N38" s="79"/>
      <c r="O38" s="192"/>
      <c r="P38" s="192"/>
      <c r="R38" s="192"/>
      <c r="S38" s="192"/>
    </row>
    <row r="39" spans="1:19" ht="12.75" customHeight="1" x14ac:dyDescent="0.3">
      <c r="B39" s="189"/>
      <c r="C39" s="188"/>
      <c r="D39" s="403" t="s">
        <v>121</v>
      </c>
      <c r="E39" s="403"/>
      <c r="F39" s="403"/>
      <c r="G39"/>
      <c r="H39" s="10">
        <v>10</v>
      </c>
      <c r="I39" s="146"/>
      <c r="J39" s="236"/>
      <c r="K39" s="232">
        <f>Geometry!K31</f>
        <v>0</v>
      </c>
      <c r="L39" s="187"/>
      <c r="M39" s="231"/>
      <c r="N39" s="79"/>
      <c r="O39" s="193"/>
      <c r="P39" s="193"/>
      <c r="R39" s="192"/>
      <c r="S39" s="193"/>
    </row>
    <row r="40" spans="1:19" ht="12.75" customHeight="1" x14ac:dyDescent="0.3">
      <c r="B40" s="189"/>
      <c r="C40" s="188"/>
      <c r="D40" s="237"/>
      <c r="E40" s="187"/>
      <c r="F40" s="238"/>
      <c r="G40"/>
      <c r="H40" s="10"/>
      <c r="I40"/>
      <c r="J40" s="239"/>
      <c r="K40" s="6"/>
      <c r="L40" s="187"/>
      <c r="M40" s="231"/>
      <c r="N40" s="79"/>
    </row>
    <row r="41" spans="1:19" ht="12.75" customHeight="1" x14ac:dyDescent="0.3">
      <c r="B41" s="189"/>
      <c r="C41" s="1"/>
      <c r="D41" s="1"/>
      <c r="E41" s="1"/>
      <c r="F41"/>
      <c r="G41"/>
      <c r="H41" s="10"/>
      <c r="I41"/>
      <c r="J41" s="239"/>
      <c r="K41" s="35"/>
      <c r="L41" s="187"/>
      <c r="M41" s="240"/>
      <c r="N41" s="79"/>
    </row>
    <row r="42" spans="1:19" ht="12.75" customHeight="1" x14ac:dyDescent="0.3">
      <c r="B42" s="189"/>
      <c r="C42" s="1"/>
      <c r="D42" s="1"/>
      <c r="E42" s="1"/>
      <c r="F42"/>
      <c r="G42" s="6" t="s">
        <v>8</v>
      </c>
      <c r="H42" s="10">
        <f>SUM(H34:I39)</f>
        <v>60</v>
      </c>
      <c r="I42" s="146"/>
      <c r="J42" s="239"/>
      <c r="K42" s="261">
        <f>ROUND(SUM(K34:K40),2)</f>
        <v>0</v>
      </c>
      <c r="L42" s="187"/>
      <c r="M42" s="231"/>
      <c r="N42" s="79"/>
    </row>
    <row r="43" spans="1:19" ht="12.75" customHeight="1" thickBot="1" x14ac:dyDescent="0.35">
      <c r="B43" s="189"/>
      <c r="C43" s="254"/>
      <c r="D43" s="254"/>
      <c r="E43" s="254"/>
      <c r="F43" s="255"/>
      <c r="G43" s="257"/>
      <c r="H43" s="260"/>
      <c r="I43" s="257"/>
      <c r="J43" s="258"/>
      <c r="K43" s="256"/>
      <c r="L43" s="259"/>
      <c r="M43" s="190"/>
      <c r="N43" s="79"/>
    </row>
    <row r="44" spans="1:19" ht="12.75" customHeight="1" thickTop="1" x14ac:dyDescent="0.3">
      <c r="B44" s="189"/>
      <c r="C44" s="401"/>
      <c r="D44" s="401"/>
      <c r="E44" s="401"/>
      <c r="F44" s="1"/>
      <c r="G44"/>
      <c r="H44" s="10"/>
      <c r="I44"/>
      <c r="J44" s="239"/>
      <c r="K44" s="35"/>
      <c r="L44" s="187"/>
      <c r="M44" s="190"/>
      <c r="N44" s="79"/>
    </row>
    <row r="45" spans="1:19" ht="12.75" customHeight="1" x14ac:dyDescent="0.3">
      <c r="B45" s="247"/>
      <c r="C45" s="250" t="s">
        <v>284</v>
      </c>
      <c r="D45" s="248"/>
      <c r="E45" s="248"/>
      <c r="F45" s="248"/>
      <c r="G45"/>
      <c r="H45" s="10">
        <v>20</v>
      </c>
      <c r="I45" s="146"/>
      <c r="J45" s="230"/>
      <c r="K45" s="261">
        <f>IF('Traffic &amp; Accidents'!G15&lt;&gt;"",20,0)</f>
        <v>0</v>
      </c>
      <c r="L45" s="187"/>
      <c r="M45" s="231"/>
      <c r="N45" s="79"/>
    </row>
    <row r="46" spans="1:19" ht="12.75" customHeight="1" thickBot="1" x14ac:dyDescent="0.35">
      <c r="B46" s="189"/>
      <c r="C46" s="254"/>
      <c r="D46" s="254"/>
      <c r="E46" s="254"/>
      <c r="F46" s="255"/>
      <c r="G46" s="257"/>
      <c r="H46" s="260"/>
      <c r="I46" s="257"/>
      <c r="J46" s="258"/>
      <c r="K46" s="256"/>
      <c r="L46" s="259"/>
      <c r="M46" s="241"/>
      <c r="N46" s="79"/>
    </row>
    <row r="47" spans="1:19" ht="12.75" customHeight="1" thickTop="1" x14ac:dyDescent="0.3">
      <c r="B47" s="189"/>
      <c r="C47" s="402"/>
      <c r="D47" s="402"/>
      <c r="E47" s="402"/>
      <c r="F47" s="188"/>
      <c r="G47"/>
      <c r="H47" s="10"/>
      <c r="I47" s="146"/>
      <c r="J47" s="242"/>
      <c r="K47" s="37"/>
      <c r="L47" s="187"/>
      <c r="M47" s="187"/>
      <c r="N47" s="79"/>
    </row>
    <row r="48" spans="1:19" ht="12.75" customHeight="1" x14ac:dyDescent="0.3">
      <c r="B48" s="189"/>
      <c r="C48" s="188"/>
      <c r="D48" s="188"/>
      <c r="E48" s="188"/>
      <c r="F48" s="188"/>
      <c r="G48"/>
      <c r="H48" s="10"/>
      <c r="I48"/>
      <c r="J48" s="234"/>
      <c r="K48" s="10"/>
      <c r="L48" s="187"/>
      <c r="M48" s="226"/>
      <c r="N48" s="79"/>
    </row>
    <row r="49" spans="2:14" ht="12.75" customHeight="1" x14ac:dyDescent="0.3">
      <c r="B49" s="243"/>
      <c r="C49" s="187"/>
      <c r="D49" s="187"/>
      <c r="E49" s="188"/>
      <c r="F49" s="188"/>
      <c r="G49"/>
      <c r="H49" s="10">
        <f>SUM(H29,H42,H45)</f>
        <v>130</v>
      </c>
      <c r="I49" s="179"/>
      <c r="J49" s="235"/>
      <c r="K49" s="261">
        <f>SUM(K29,K42,K45)</f>
        <v>0</v>
      </c>
      <c r="L49" s="187"/>
      <c r="M49" s="231"/>
      <c r="N49" s="79"/>
    </row>
    <row r="50" spans="2:14" ht="12.75" customHeight="1" x14ac:dyDescent="0.3">
      <c r="B50" s="189"/>
      <c r="C50" s="188"/>
      <c r="D50" s="188"/>
      <c r="E50" s="188"/>
      <c r="F50" s="188"/>
      <c r="G50"/>
      <c r="H50" s="244" t="s">
        <v>10</v>
      </c>
      <c r="I50" s="244"/>
      <c r="J50" s="245"/>
      <c r="K50" s="94" t="s">
        <v>290</v>
      </c>
      <c r="L50" s="187"/>
      <c r="M50" s="237"/>
      <c r="N50" s="79"/>
    </row>
    <row r="51" spans="2:14" ht="12.75" customHeight="1" thickBot="1" x14ac:dyDescent="0.35">
      <c r="B51" s="246"/>
      <c r="C51" s="84"/>
      <c r="D51" s="84"/>
      <c r="E51" s="84"/>
      <c r="F51" s="84"/>
      <c r="G51" s="84"/>
      <c r="H51" s="82"/>
      <c r="I51" s="84"/>
      <c r="J51" s="84"/>
      <c r="K51" s="109"/>
      <c r="L51" s="84"/>
      <c r="M51" s="81"/>
      <c r="N51" s="87"/>
    </row>
    <row r="52" spans="2:14" ht="12.75" customHeight="1" x14ac:dyDescent="0.3">
      <c r="B52" s="76"/>
      <c r="C52"/>
      <c r="D52"/>
      <c r="E52"/>
      <c r="F52"/>
      <c r="G52"/>
      <c r="H52"/>
      <c r="I52"/>
      <c r="J52"/>
      <c r="K52"/>
      <c r="L52"/>
      <c r="M52"/>
      <c r="N52"/>
    </row>
    <row r="53" spans="2:14" ht="12.75" customHeight="1" x14ac:dyDescent="0.3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ht="12.75" customHeight="1" x14ac:dyDescent="0.3">
      <c r="B54"/>
      <c r="C54" s="398" t="s">
        <v>291</v>
      </c>
      <c r="D54" s="398"/>
      <c r="E54" s="398"/>
      <c r="F54" s="398"/>
      <c r="G54" s="398"/>
      <c r="H54" s="398"/>
      <c r="I54" s="398"/>
      <c r="J54" s="398"/>
      <c r="K54" s="398"/>
      <c r="L54" s="398"/>
      <c r="M54"/>
      <c r="N54"/>
    </row>
    <row r="55" spans="2:14" ht="12.75" customHeight="1" x14ac:dyDescent="0.3">
      <c r="B55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/>
      <c r="N55"/>
    </row>
    <row r="56" spans="2:14" ht="12.75" customHeigh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2:14" ht="12.75" customHeight="1" x14ac:dyDescent="0.3">
      <c r="B57"/>
      <c r="C57" s="1" t="s">
        <v>11</v>
      </c>
      <c r="D57"/>
      <c r="E57"/>
      <c r="F57"/>
      <c r="G57"/>
      <c r="H57"/>
      <c r="I57"/>
      <c r="J57"/>
      <c r="K57"/>
      <c r="L57"/>
      <c r="M57"/>
      <c r="N57"/>
    </row>
    <row r="58" spans="2:14" ht="12.75" customHeigh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2:14" ht="12.75" customHeigh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</row>
  </sheetData>
  <sheetProtection algorithmName="SHA-512" hashValue="2F1daIRM9hzLzgQRSbmcdIH21y8OsxnPZW/bmoNl3M0jMS1g/4TU/sNaVTC5R0JqT9yZQ+5ld2ap8CY/XoYI7w==" saltValue="yUuLlFcH+E05YaUjYPGnFg==" spinCount="100000" sheet="1" selectLockedCells="1"/>
  <mergeCells count="19">
    <mergeCell ref="M10:N11"/>
    <mergeCell ref="C17:L17"/>
    <mergeCell ref="E18:J18"/>
    <mergeCell ref="D1:H2"/>
    <mergeCell ref="J4:M6"/>
    <mergeCell ref="D5:F5"/>
    <mergeCell ref="D7:I7"/>
    <mergeCell ref="J7:M8"/>
    <mergeCell ref="E3:I3"/>
    <mergeCell ref="C54:L55"/>
    <mergeCell ref="K10:L11"/>
    <mergeCell ref="D9:F9"/>
    <mergeCell ref="C44:E44"/>
    <mergeCell ref="C47:E47"/>
    <mergeCell ref="D34:F34"/>
    <mergeCell ref="D37:F37"/>
    <mergeCell ref="D38:F38"/>
    <mergeCell ref="D39:F39"/>
    <mergeCell ref="I19:J19"/>
  </mergeCells>
  <phoneticPr fontId="0" type="noConversion"/>
  <conditionalFormatting sqref="K38">
    <cfRule type="containsErrors" dxfId="8" priority="4">
      <formula>ISERROR(K38)</formula>
    </cfRule>
  </conditionalFormatting>
  <conditionalFormatting sqref="K42">
    <cfRule type="containsErrors" dxfId="7" priority="3">
      <formula>ISERROR(K42)</formula>
    </cfRule>
  </conditionalFormatting>
  <conditionalFormatting sqref="K49">
    <cfRule type="containsErrors" dxfId="6" priority="2">
      <formula>ISERROR(K49)</formula>
    </cfRule>
  </conditionalFormatting>
  <conditionalFormatting sqref="M10:N11">
    <cfRule type="containsErrors" dxfId="5" priority="1">
      <formula>ISERROR(M10)</formula>
    </cfRule>
  </conditionalFormatting>
  <conditionalFormatting sqref="S38">
    <cfRule type="expression" priority="12" stopIfTrue="1">
      <formula>ISERROR(S38)</formula>
    </cfRule>
  </conditionalFormatting>
  <hyperlinks>
    <hyperlink ref="D34" location="Structure!A1" display="Structural Condition" xr:uid="{00000000-0004-0000-0000-000000000000}"/>
    <hyperlink ref="D37:F37" location="Geometry!D19" display="Horizontal Alignment" xr:uid="{00000000-0004-0000-0000-000001000000}"/>
    <hyperlink ref="D38:F38" location="Geometry!H19" display="Vertical Alignment" xr:uid="{00000000-0004-0000-0000-000002000000}"/>
    <hyperlink ref="D39:F39" location="Geometry!E33" display="Roadway Width" xr:uid="{00000000-0004-0000-0000-000003000000}"/>
    <hyperlink ref="D26:E26" location="'Traffic &amp; Accidents'!C6" display="Traffic Volume" xr:uid="{00000000-0004-0000-0000-000004000000}"/>
    <hyperlink ref="D27:E27" location="'Traffic &amp; Accidents'!G5" display="Accident History" xr:uid="{00000000-0004-0000-0000-000005000000}"/>
  </hyperlinks>
  <pageMargins left="0.38" right="0.32" top="0.4" bottom="0.37" header="0.22" footer="0.1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77"/>
  <sheetViews>
    <sheetView showGridLines="0" workbookViewId="0">
      <selection activeCell="I7" sqref="I7"/>
    </sheetView>
  </sheetViews>
  <sheetFormatPr defaultColWidth="9.1796875" defaultRowHeight="13" x14ac:dyDescent="0.3"/>
  <cols>
    <col min="1" max="1" width="5.26953125" style="114" customWidth="1"/>
    <col min="2" max="11" width="7.7265625" style="114" customWidth="1"/>
    <col min="12" max="12" width="4.81640625" style="114" customWidth="1"/>
    <col min="13" max="256" width="7.7265625" style="114" customWidth="1"/>
    <col min="257" max="16384" width="9.1796875" style="114"/>
  </cols>
  <sheetData>
    <row r="2" spans="2:14" ht="13.5" thickBot="1" x14ac:dyDescent="0.35"/>
    <row r="3" spans="2:14" x14ac:dyDescent="0.3">
      <c r="B3" s="75"/>
      <c r="C3" s="414"/>
      <c r="D3" s="414"/>
      <c r="E3" s="76"/>
      <c r="F3" s="176"/>
      <c r="G3" s="414"/>
      <c r="H3" s="414"/>
      <c r="I3" s="76"/>
      <c r="J3" s="76"/>
      <c r="K3" s="76"/>
      <c r="L3" s="77"/>
      <c r="M3" s="115"/>
      <c r="N3" s="116"/>
    </row>
    <row r="4" spans="2:14" x14ac:dyDescent="0.3">
      <c r="B4" s="78"/>
      <c r="C4"/>
      <c r="D4" s="179" t="s">
        <v>125</v>
      </c>
      <c r="E4" s="179"/>
      <c r="F4" s="179"/>
      <c r="G4"/>
      <c r="H4" s="208"/>
      <c r="I4" s="179" t="s">
        <v>254</v>
      </c>
      <c r="J4" s="179"/>
      <c r="K4"/>
      <c r="L4" s="79"/>
      <c r="M4" s="115"/>
      <c r="N4" s="116"/>
    </row>
    <row r="5" spans="2:14" x14ac:dyDescent="0.3">
      <c r="B5" s="78"/>
      <c r="C5"/>
      <c r="D5"/>
      <c r="E5"/>
      <c r="F5"/>
      <c r="G5"/>
      <c r="H5" s="415" t="s">
        <v>302</v>
      </c>
      <c r="I5" s="415"/>
      <c r="J5" s="415"/>
      <c r="K5" s="10"/>
      <c r="L5" s="79"/>
      <c r="M5" s="117"/>
      <c r="N5" s="118"/>
    </row>
    <row r="6" spans="2:14" x14ac:dyDescent="0.3">
      <c r="B6" s="78"/>
      <c r="C6"/>
      <c r="D6" s="40"/>
      <c r="E6" t="s">
        <v>285</v>
      </c>
      <c r="F6"/>
      <c r="G6"/>
      <c r="H6" s="415"/>
      <c r="I6" s="415"/>
      <c r="J6" s="415"/>
      <c r="K6" s="11"/>
      <c r="L6" s="85"/>
      <c r="M6" s="119"/>
      <c r="N6" s="120"/>
    </row>
    <row r="7" spans="2:14" x14ac:dyDescent="0.3">
      <c r="B7" s="78"/>
      <c r="C7"/>
      <c r="D7"/>
      <c r="E7" s="144" t="s">
        <v>286</v>
      </c>
      <c r="F7"/>
      <c r="G7"/>
      <c r="H7"/>
      <c r="I7" s="7"/>
      <c r="J7" s="26" t="s">
        <v>274</v>
      </c>
      <c r="K7" s="11"/>
      <c r="L7" s="86"/>
      <c r="M7" s="117"/>
      <c r="N7" s="121"/>
    </row>
    <row r="8" spans="2:14" x14ac:dyDescent="0.3">
      <c r="B8" s="78"/>
      <c r="C8" s="27" t="s">
        <v>126</v>
      </c>
      <c r="D8" s="184"/>
      <c r="E8" s="184"/>
      <c r="F8" s="26" t="s">
        <v>272</v>
      </c>
      <c r="G8"/>
      <c r="H8"/>
      <c r="I8" s="7"/>
      <c r="J8" s="26" t="s">
        <v>128</v>
      </c>
      <c r="K8" s="11"/>
      <c r="L8" s="85"/>
      <c r="M8" s="117"/>
      <c r="N8" s="121"/>
    </row>
    <row r="9" spans="2:14" x14ac:dyDescent="0.3">
      <c r="B9" s="180"/>
      <c r="C9" s="27" t="s">
        <v>127</v>
      </c>
      <c r="D9" s="184"/>
      <c r="E9" s="184"/>
      <c r="F9" s="26" t="s">
        <v>273</v>
      </c>
      <c r="G9"/>
      <c r="H9"/>
      <c r="I9" s="7"/>
      <c r="J9" s="26" t="s">
        <v>42</v>
      </c>
      <c r="K9"/>
      <c r="L9" s="85"/>
      <c r="M9" s="117"/>
      <c r="N9" s="121"/>
    </row>
    <row r="10" spans="2:14" x14ac:dyDescent="0.3">
      <c r="B10" s="180"/>
      <c r="C10" s="10"/>
      <c r="D10" s="10"/>
      <c r="E10" s="26"/>
      <c r="F10" s="26"/>
      <c r="G10"/>
      <c r="H10" s="10"/>
      <c r="I10" s="26"/>
      <c r="J10"/>
      <c r="K10" s="11"/>
      <c r="L10" s="85"/>
      <c r="M10" s="117"/>
      <c r="N10" s="121"/>
    </row>
    <row r="11" spans="2:14" x14ac:dyDescent="0.3">
      <c r="B11" s="180"/>
      <c r="C11"/>
      <c r="D11"/>
      <c r="E11" s="26"/>
      <c r="F11" s="26"/>
      <c r="G11"/>
      <c r="H11"/>
      <c r="I11"/>
      <c r="J11"/>
      <c r="K11" s="11"/>
      <c r="L11" s="85"/>
      <c r="M11" s="117"/>
      <c r="N11" s="121"/>
    </row>
    <row r="12" spans="2:14" x14ac:dyDescent="0.3">
      <c r="B12" s="180"/>
      <c r="C12" s="27"/>
      <c r="D12" s="177"/>
      <c r="E12" s="26"/>
      <c r="F12" s="26"/>
      <c r="G12" s="23" t="s">
        <v>81</v>
      </c>
      <c r="H12" s="22">
        <f>Geometry!H54</f>
        <v>20</v>
      </c>
      <c r="I12" s="10"/>
      <c r="J12"/>
      <c r="K12" s="11"/>
      <c r="L12" s="85"/>
      <c r="M12" s="117"/>
      <c r="N12" s="121"/>
    </row>
    <row r="13" spans="2:14" x14ac:dyDescent="0.3">
      <c r="B13" s="180"/>
      <c r="C13" s="27"/>
      <c r="D13" s="177"/>
      <c r="E13" s="26"/>
      <c r="F13" s="26"/>
      <c r="G13"/>
      <c r="H13" s="23"/>
      <c r="I13" s="10"/>
      <c r="J13"/>
      <c r="K13" s="11"/>
      <c r="L13" s="85"/>
      <c r="M13" s="117"/>
      <c r="N13" s="121"/>
    </row>
    <row r="14" spans="2:14" x14ac:dyDescent="0.3">
      <c r="B14" s="180"/>
      <c r="C14" s="10"/>
      <c r="D14" s="10"/>
      <c r="E14" s="26"/>
      <c r="F14" s="26"/>
      <c r="G14"/>
      <c r="H14" s="23"/>
      <c r="I14" s="10"/>
      <c r="J14"/>
      <c r="K14" s="11"/>
      <c r="L14" s="85"/>
      <c r="M14" s="117"/>
      <c r="N14" s="121"/>
    </row>
    <row r="15" spans="2:14" x14ac:dyDescent="0.3">
      <c r="B15" s="393" t="s">
        <v>284</v>
      </c>
      <c r="C15"/>
      <c r="D15"/>
      <c r="E15"/>
      <c r="F15"/>
      <c r="G15" s="215"/>
      <c r="H15" s="394" t="s">
        <v>310</v>
      </c>
      <c r="I15"/>
      <c r="J15"/>
      <c r="K15"/>
      <c r="L15" s="79"/>
      <c r="M15" s="117"/>
      <c r="N15" s="121"/>
    </row>
    <row r="16" spans="2:14" x14ac:dyDescent="0.3">
      <c r="B16" s="78"/>
      <c r="C16"/>
      <c r="D16"/>
      <c r="E16"/>
      <c r="F16" s="416" t="s">
        <v>311</v>
      </c>
      <c r="G16" s="416"/>
      <c r="H16" s="416"/>
      <c r="I16"/>
      <c r="J16" s="395"/>
      <c r="K16"/>
      <c r="L16" s="79"/>
      <c r="M16" s="117"/>
      <c r="N16" s="121"/>
    </row>
    <row r="17" spans="2:14" ht="13" customHeight="1" x14ac:dyDescent="0.3">
      <c r="B17" s="78"/>
      <c r="C17"/>
      <c r="D17"/>
      <c r="E17"/>
      <c r="F17" s="416"/>
      <c r="G17" s="416"/>
      <c r="H17" s="416"/>
      <c r="I17"/>
      <c r="J17" s="395"/>
      <c r="K17"/>
      <c r="L17" s="79"/>
    </row>
    <row r="18" spans="2:14" ht="13.5" thickBot="1" x14ac:dyDescent="0.35">
      <c r="B18" s="80"/>
      <c r="C18" s="81"/>
      <c r="D18" s="396"/>
      <c r="E18" s="396"/>
      <c r="F18" s="417"/>
      <c r="G18" s="417"/>
      <c r="H18" s="417"/>
      <c r="I18" s="81"/>
      <c r="J18" s="397"/>
      <c r="K18" s="81"/>
      <c r="L18" s="87"/>
    </row>
    <row r="23" spans="2:14" x14ac:dyDescent="0.3">
      <c r="B23" s="149" t="s">
        <v>13</v>
      </c>
      <c r="C23" s="117"/>
      <c r="D23" s="117"/>
      <c r="E23" s="117"/>
      <c r="F23" s="117"/>
      <c r="G23" s="117"/>
      <c r="H23" s="117"/>
      <c r="I23" s="115"/>
      <c r="J23" s="117"/>
      <c r="K23" s="115"/>
      <c r="L23" s="117"/>
      <c r="M23" s="117"/>
      <c r="N23" s="117"/>
    </row>
    <row r="24" spans="2:14" x14ac:dyDescent="0.3">
      <c r="B24" s="117"/>
      <c r="C24" s="117"/>
      <c r="D24" s="117"/>
      <c r="E24" s="117"/>
      <c r="F24" s="117"/>
      <c r="G24" s="117"/>
      <c r="H24" s="117"/>
      <c r="I24" s="115"/>
      <c r="J24" s="117"/>
      <c r="K24" s="115"/>
      <c r="L24" s="117"/>
      <c r="M24" s="117"/>
      <c r="N24" s="117"/>
    </row>
    <row r="25" spans="2:14" x14ac:dyDescent="0.3">
      <c r="B25" s="117"/>
      <c r="C25" s="117"/>
      <c r="D25" s="117"/>
      <c r="E25" s="117"/>
      <c r="F25" s="117"/>
      <c r="G25" s="117"/>
      <c r="H25" s="117"/>
      <c r="I25" s="115"/>
      <c r="J25" s="117"/>
      <c r="K25" s="115"/>
      <c r="L25" s="117"/>
      <c r="M25" s="117"/>
      <c r="N25" s="117"/>
    </row>
    <row r="26" spans="2:14" x14ac:dyDescent="0.3">
      <c r="B26" s="117"/>
      <c r="C26" s="117" t="s">
        <v>14</v>
      </c>
      <c r="D26" s="117"/>
      <c r="E26" s="117"/>
      <c r="F26" s="150">
        <f>'Traffic &amp; Accidents'!D8</f>
        <v>0</v>
      </c>
      <c r="H26" s="117" t="s">
        <v>15</v>
      </c>
      <c r="I26" s="117"/>
      <c r="J26" s="150">
        <f>'Traffic &amp; Accidents'!E8</f>
        <v>0</v>
      </c>
      <c r="L26" s="151" t="s">
        <v>168</v>
      </c>
      <c r="M26" s="152"/>
      <c r="N26" s="153"/>
    </row>
    <row r="27" spans="2:14" x14ac:dyDescent="0.3">
      <c r="B27" s="117"/>
      <c r="C27" s="117"/>
      <c r="D27" s="117" t="s">
        <v>16</v>
      </c>
      <c r="E27" s="117"/>
      <c r="F27" s="117"/>
      <c r="G27" s="117"/>
      <c r="I27" s="117"/>
      <c r="J27" s="117"/>
      <c r="K27" s="115"/>
      <c r="L27" s="154"/>
      <c r="M27" s="117"/>
      <c r="N27" s="155"/>
    </row>
    <row r="28" spans="2:14" x14ac:dyDescent="0.3">
      <c r="B28" s="117"/>
      <c r="C28" s="117" t="s">
        <v>17</v>
      </c>
      <c r="D28" s="117"/>
      <c r="E28" s="117"/>
      <c r="F28" s="150">
        <f>'Traffic &amp; Accidents'!D9</f>
        <v>0</v>
      </c>
      <c r="H28" s="117" t="s">
        <v>18</v>
      </c>
      <c r="I28" s="117"/>
      <c r="J28" s="150">
        <f>'Traffic &amp; Accidents'!E9</f>
        <v>0</v>
      </c>
      <c r="L28" s="156" t="s">
        <v>169</v>
      </c>
      <c r="M28" s="157" t="s">
        <v>169</v>
      </c>
      <c r="N28" s="155"/>
    </row>
    <row r="29" spans="2:14" x14ac:dyDescent="0.3">
      <c r="B29" s="117"/>
      <c r="K29" s="115"/>
      <c r="L29" s="156" t="s">
        <v>126</v>
      </c>
      <c r="M29" s="157" t="s">
        <v>170</v>
      </c>
      <c r="N29" s="155"/>
    </row>
    <row r="30" spans="2:14" x14ac:dyDescent="0.3">
      <c r="B30" s="117"/>
      <c r="C30" s="117"/>
      <c r="D30" s="117" t="s">
        <v>19</v>
      </c>
      <c r="E30" s="117"/>
      <c r="F30" s="117"/>
      <c r="G30" s="117"/>
      <c r="H30" s="117"/>
      <c r="I30" s="115"/>
      <c r="J30" s="117"/>
      <c r="K30" s="115"/>
      <c r="L30" s="158" t="s">
        <v>171</v>
      </c>
      <c r="M30" s="159" t="s">
        <v>171</v>
      </c>
      <c r="N30" s="155"/>
    </row>
    <row r="31" spans="2:14" x14ac:dyDescent="0.3">
      <c r="B31" s="117"/>
      <c r="C31" s="117"/>
      <c r="D31" s="117" t="s">
        <v>20</v>
      </c>
      <c r="E31" s="117"/>
      <c r="F31" s="117"/>
      <c r="G31" s="117"/>
      <c r="H31" s="117"/>
      <c r="I31" s="115"/>
      <c r="J31" s="117"/>
      <c r="K31" s="115"/>
      <c r="L31" s="156"/>
      <c r="M31" s="157"/>
      <c r="N31" s="155"/>
    </row>
    <row r="32" spans="2:14" x14ac:dyDescent="0.3">
      <c r="B32" s="117"/>
      <c r="C32" s="117"/>
      <c r="D32" s="117"/>
      <c r="E32" s="117"/>
      <c r="F32" s="117"/>
      <c r="G32" s="117"/>
      <c r="H32" s="117"/>
      <c r="I32" s="115"/>
      <c r="J32" s="117"/>
      <c r="K32" s="115"/>
      <c r="L32" s="160">
        <f>IF('Traffic &amp; Accidents'!F26=0,0,L33)</f>
        <v>0</v>
      </c>
      <c r="M32" s="115">
        <f>IF('Traffic &amp; Accidents'!F28=0,0,M33)</f>
        <v>0</v>
      </c>
      <c r="N32" s="155"/>
    </row>
    <row r="33" spans="2:14" x14ac:dyDescent="0.3">
      <c r="B33" s="117"/>
      <c r="C33" s="117"/>
      <c r="D33" s="117"/>
      <c r="E33" s="117"/>
      <c r="F33" s="117"/>
      <c r="G33" s="117"/>
      <c r="H33" s="117"/>
      <c r="I33" s="115"/>
      <c r="J33" s="117"/>
      <c r="K33" s="115"/>
      <c r="L33" s="161">
        <f>IF(AND('Traffic &amp; Accidents'!F26&lt;501,'Traffic &amp; Accidents'!F26&lt;&gt;0),'Traffic &amp; Accidents'!J40,L34)</f>
        <v>10</v>
      </c>
      <c r="M33" s="162">
        <f>IF(AND('Traffic &amp; Accidents'!F28&lt;51,'Traffic &amp; Accidents'!F28&lt;&gt;0),'Traffic &amp; Accidents'!J40,M34)</f>
        <v>10</v>
      </c>
      <c r="N33" s="155"/>
    </row>
    <row r="34" spans="2:14" x14ac:dyDescent="0.3">
      <c r="B34" s="117"/>
      <c r="C34" s="117"/>
      <c r="J34" s="117"/>
      <c r="L34" s="161">
        <f>IF('Traffic &amp; Accidents'!F26&lt;1001,'Traffic &amp; Accidents'!J41,L35)</f>
        <v>10</v>
      </c>
      <c r="M34" s="162">
        <f>IF('Traffic &amp; Accidents'!F28&lt;101,'Traffic &amp; Accidents'!J41,M35)</f>
        <v>10</v>
      </c>
      <c r="N34" s="155"/>
    </row>
    <row r="35" spans="2:14" x14ac:dyDescent="0.3">
      <c r="B35" s="117"/>
      <c r="C35" s="117"/>
      <c r="D35" s="117" t="s">
        <v>21</v>
      </c>
      <c r="E35" s="117"/>
      <c r="F35" s="117"/>
      <c r="G35" s="117"/>
      <c r="H35" s="117"/>
      <c r="I35" s="115"/>
      <c r="J35" s="117"/>
      <c r="K35" s="115"/>
      <c r="L35" s="161">
        <f>IF('Traffic &amp; Accidents'!F26&lt;2001,'Traffic &amp; Accidents'!J42,L36)</f>
        <v>15</v>
      </c>
      <c r="M35" s="162">
        <f>IF('Traffic &amp; Accidents'!F28&lt;201,'Traffic &amp; Accidents'!J42,M36)</f>
        <v>15</v>
      </c>
      <c r="N35" s="155"/>
    </row>
    <row r="36" spans="2:14" x14ac:dyDescent="0.3">
      <c r="C36" s="117"/>
      <c r="F36" s="117" t="s">
        <v>12</v>
      </c>
      <c r="G36" s="117"/>
      <c r="H36" s="117"/>
      <c r="I36" s="115"/>
      <c r="J36" s="117"/>
      <c r="K36" s="115"/>
      <c r="L36" s="161">
        <f>IF('Traffic &amp; Accidents'!F26&lt;5001,'Traffic &amp; Accidents'!J43,L37)</f>
        <v>20</v>
      </c>
      <c r="M36" s="162">
        <f>IF('Traffic &amp; Accidents'!F28&lt;501,'Traffic &amp; Accidents'!J43,M37)</f>
        <v>20</v>
      </c>
      <c r="N36" s="155"/>
    </row>
    <row r="37" spans="2:14" x14ac:dyDescent="0.3">
      <c r="B37" s="117"/>
      <c r="C37" s="117"/>
      <c r="D37" s="115" t="s">
        <v>22</v>
      </c>
      <c r="E37" s="115"/>
      <c r="H37" s="115" t="s">
        <v>22</v>
      </c>
      <c r="I37" s="115"/>
      <c r="J37" s="115"/>
      <c r="K37" s="115"/>
      <c r="L37" s="163" t="str">
        <f>IF('Traffic &amp; Accidents'!F26&gt;=5001,'Traffic &amp; Accidents'!J44,"")</f>
        <v/>
      </c>
      <c r="M37" s="164" t="str">
        <f>IF('Traffic &amp; Accidents'!F28&gt;=501,'Traffic &amp; Accidents'!J44,"")</f>
        <v/>
      </c>
      <c r="N37" s="165"/>
    </row>
    <row r="38" spans="2:14" x14ac:dyDescent="0.3">
      <c r="B38" s="117" t="s">
        <v>23</v>
      </c>
      <c r="C38" s="117"/>
      <c r="D38" s="166" t="s">
        <v>24</v>
      </c>
      <c r="E38" s="115"/>
      <c r="H38" s="166" t="s">
        <v>25</v>
      </c>
      <c r="J38" s="166" t="s">
        <v>26</v>
      </c>
      <c r="K38" s="115"/>
      <c r="L38" s="162"/>
      <c r="M38" s="162"/>
    </row>
    <row r="39" spans="2:14" x14ac:dyDescent="0.3">
      <c r="B39" s="117" t="s">
        <v>27</v>
      </c>
      <c r="C39" s="117"/>
      <c r="D39" s="115"/>
      <c r="E39" s="115"/>
      <c r="H39" s="115"/>
      <c r="J39" s="115"/>
      <c r="K39" s="115"/>
      <c r="L39" s="162"/>
      <c r="M39" s="162"/>
    </row>
    <row r="40" spans="2:14" x14ac:dyDescent="0.3">
      <c r="B40" s="117"/>
      <c r="C40" s="117"/>
      <c r="D40" s="167" t="s">
        <v>220</v>
      </c>
      <c r="E40" s="115"/>
      <c r="F40" s="168" t="s">
        <v>52</v>
      </c>
      <c r="H40" s="167" t="s">
        <v>219</v>
      </c>
      <c r="J40" s="115">
        <v>5</v>
      </c>
      <c r="K40" s="115"/>
      <c r="L40" s="117"/>
    </row>
    <row r="41" spans="2:14" x14ac:dyDescent="0.3">
      <c r="B41" s="117"/>
      <c r="C41" s="117"/>
      <c r="D41" s="115" t="s">
        <v>28</v>
      </c>
      <c r="E41" s="115"/>
      <c r="H41" s="115" t="s">
        <v>29</v>
      </c>
      <c r="J41" s="115">
        <v>10</v>
      </c>
      <c r="K41" s="115"/>
      <c r="L41" s="117"/>
    </row>
    <row r="42" spans="2:14" x14ac:dyDescent="0.3">
      <c r="B42" s="117"/>
      <c r="C42" s="117"/>
      <c r="D42" s="115" t="s">
        <v>30</v>
      </c>
      <c r="E42" s="115"/>
      <c r="H42" s="115" t="s">
        <v>31</v>
      </c>
      <c r="J42" s="115">
        <v>15</v>
      </c>
      <c r="K42" s="115"/>
      <c r="L42" s="117"/>
      <c r="M42" s="117"/>
      <c r="N42" s="117"/>
    </row>
    <row r="43" spans="2:14" x14ac:dyDescent="0.3">
      <c r="B43" s="117"/>
      <c r="C43" s="117"/>
      <c r="D43" s="115" t="s">
        <v>32</v>
      </c>
      <c r="E43" s="115"/>
      <c r="H43" s="115" t="s">
        <v>33</v>
      </c>
      <c r="J43" s="115">
        <v>20</v>
      </c>
      <c r="K43" s="115"/>
      <c r="L43" s="117"/>
      <c r="M43" s="117"/>
      <c r="N43" s="117"/>
    </row>
    <row r="44" spans="2:14" x14ac:dyDescent="0.3">
      <c r="B44" s="117"/>
      <c r="C44" s="117"/>
      <c r="D44" s="167" t="s">
        <v>217</v>
      </c>
      <c r="E44" s="115"/>
      <c r="H44" s="167" t="s">
        <v>218</v>
      </c>
      <c r="J44" s="115">
        <v>25</v>
      </c>
      <c r="K44" s="115"/>
      <c r="L44" s="117"/>
      <c r="M44" s="117"/>
      <c r="N44" s="117"/>
    </row>
    <row r="45" spans="2:14" x14ac:dyDescent="0.3">
      <c r="B45" s="117"/>
      <c r="C45" s="117"/>
      <c r="J45" s="117"/>
      <c r="K45" s="115"/>
      <c r="L45" s="117"/>
      <c r="M45" s="117"/>
      <c r="N45" s="117"/>
    </row>
    <row r="46" spans="2:14" x14ac:dyDescent="0.3">
      <c r="B46" s="117"/>
      <c r="C46" s="117"/>
      <c r="J46" s="117"/>
      <c r="K46" s="115"/>
      <c r="L46" s="117"/>
      <c r="M46" s="117"/>
      <c r="N46" s="117"/>
    </row>
    <row r="47" spans="2:14" x14ac:dyDescent="0.3">
      <c r="B47" s="117"/>
      <c r="C47" s="117"/>
      <c r="D47" s="117"/>
      <c r="E47" s="117"/>
      <c r="F47" s="117"/>
      <c r="G47" s="169" t="s">
        <v>34</v>
      </c>
      <c r="H47" s="117"/>
      <c r="I47" s="115"/>
      <c r="J47" s="117"/>
      <c r="K47" s="170">
        <f>IF(F28&gt;(F26/10),'Traffic &amp; Accidents'!M32,'Traffic &amp; Accidents'!L32)</f>
        <v>0</v>
      </c>
      <c r="L47" s="117"/>
      <c r="M47" s="117"/>
    </row>
    <row r="56" spans="2:14" x14ac:dyDescent="0.3">
      <c r="B56" s="149" t="s">
        <v>35</v>
      </c>
      <c r="C56" s="117"/>
      <c r="D56" s="117"/>
      <c r="E56" s="117"/>
      <c r="F56" s="117"/>
      <c r="G56" s="117"/>
      <c r="H56" s="117"/>
      <c r="I56" s="115"/>
      <c r="J56" s="117"/>
      <c r="K56" s="115"/>
      <c r="L56" s="117"/>
      <c r="M56" s="117"/>
      <c r="N56" s="117"/>
    </row>
    <row r="57" spans="2:14" x14ac:dyDescent="0.3">
      <c r="B57" s="117"/>
      <c r="C57" s="117"/>
      <c r="D57" s="117"/>
      <c r="E57" s="117"/>
      <c r="F57" s="117"/>
      <c r="G57" s="117"/>
      <c r="H57" s="117"/>
      <c r="I57" s="115"/>
      <c r="J57" s="117"/>
      <c r="K57" s="115"/>
      <c r="L57" s="117"/>
      <c r="M57" s="117"/>
      <c r="N57" s="117"/>
    </row>
    <row r="58" spans="2:14" x14ac:dyDescent="0.3">
      <c r="B58" s="117"/>
      <c r="C58" s="117"/>
      <c r="D58" s="117"/>
      <c r="E58" s="117"/>
      <c r="F58" s="117"/>
      <c r="G58" s="117"/>
      <c r="H58" s="117"/>
      <c r="I58" s="115"/>
      <c r="J58" s="117"/>
      <c r="K58" s="115"/>
      <c r="L58" s="117"/>
      <c r="M58" s="117"/>
      <c r="N58" s="117"/>
    </row>
    <row r="59" spans="2:14" x14ac:dyDescent="0.3">
      <c r="B59" s="117"/>
      <c r="C59" s="117" t="s">
        <v>36</v>
      </c>
      <c r="D59" s="117"/>
      <c r="E59" s="117"/>
      <c r="F59" s="117"/>
      <c r="G59" s="117"/>
      <c r="H59" s="117"/>
      <c r="I59" s="115"/>
      <c r="J59" s="117"/>
      <c r="K59" s="115"/>
      <c r="L59" s="117"/>
      <c r="M59" s="117"/>
      <c r="N59" s="117"/>
    </row>
    <row r="60" spans="2:14" x14ac:dyDescent="0.3">
      <c r="B60" s="117"/>
      <c r="C60" s="117"/>
      <c r="D60" s="117"/>
      <c r="E60" s="117"/>
      <c r="F60" s="117" t="s">
        <v>37</v>
      </c>
      <c r="G60" s="117"/>
      <c r="H60" s="117"/>
      <c r="I60" s="115"/>
      <c r="J60" s="117"/>
      <c r="K60" s="115"/>
      <c r="L60" s="117"/>
      <c r="M60" s="117"/>
      <c r="N60" s="117"/>
    </row>
    <row r="61" spans="2:14" x14ac:dyDescent="0.3">
      <c r="B61" s="117"/>
      <c r="C61" s="117"/>
      <c r="D61" s="117"/>
      <c r="E61" s="117"/>
      <c r="F61" s="117" t="s">
        <v>38</v>
      </c>
      <c r="G61" s="117"/>
      <c r="H61" s="115"/>
      <c r="I61" s="117"/>
      <c r="J61" s="115"/>
      <c r="K61" s="117"/>
      <c r="L61" s="117"/>
      <c r="N61" s="117"/>
    </row>
    <row r="62" spans="2:14" x14ac:dyDescent="0.3">
      <c r="B62" s="117"/>
      <c r="C62" s="171"/>
      <c r="D62" s="120" t="s">
        <v>39</v>
      </c>
      <c r="E62" s="117" t="s">
        <v>12</v>
      </c>
      <c r="F62" s="120" t="s">
        <v>40</v>
      </c>
      <c r="G62" s="117"/>
      <c r="H62" s="120" t="s">
        <v>41</v>
      </c>
      <c r="J62" s="120" t="s">
        <v>42</v>
      </c>
      <c r="K62" s="117"/>
      <c r="N62" s="117"/>
    </row>
    <row r="63" spans="2:14" x14ac:dyDescent="0.3">
      <c r="B63" s="117" t="s">
        <v>12</v>
      </c>
      <c r="C63" s="117"/>
      <c r="D63" s="117"/>
      <c r="E63" s="117"/>
      <c r="F63" s="117"/>
      <c r="G63" s="117"/>
      <c r="H63" s="115"/>
      <c r="I63" s="117"/>
      <c r="J63" s="115"/>
      <c r="K63" s="117"/>
      <c r="L63" s="117"/>
      <c r="N63" s="117"/>
    </row>
    <row r="64" spans="2:14" x14ac:dyDescent="0.3">
      <c r="B64" s="117"/>
      <c r="C64" s="117"/>
      <c r="D64" s="117"/>
      <c r="E64" s="117"/>
      <c r="F64" s="117"/>
      <c r="G64" s="117"/>
      <c r="H64" s="115"/>
      <c r="I64" s="117"/>
      <c r="J64" s="115"/>
      <c r="K64" s="117"/>
      <c r="L64" s="117"/>
      <c r="N64" s="117"/>
    </row>
    <row r="65" spans="2:14" x14ac:dyDescent="0.3">
      <c r="B65" s="117"/>
      <c r="C65" s="148">
        <f ca="1">C67-730</f>
        <v>44394</v>
      </c>
      <c r="D65" s="150"/>
      <c r="E65" s="115"/>
      <c r="F65" s="150">
        <v>0</v>
      </c>
      <c r="G65" s="115"/>
      <c r="H65" s="150">
        <v>0</v>
      </c>
      <c r="I65" s="115"/>
      <c r="J65" s="150">
        <v>0</v>
      </c>
      <c r="K65" s="117"/>
      <c r="L65" s="117"/>
      <c r="N65" s="117"/>
    </row>
    <row r="66" spans="2:14" x14ac:dyDescent="0.3">
      <c r="B66" s="117"/>
      <c r="C66" s="148">
        <f ca="1">C67-365</f>
        <v>44759</v>
      </c>
      <c r="D66" s="150"/>
      <c r="E66" s="115"/>
      <c r="F66" s="150">
        <v>0</v>
      </c>
      <c r="G66" s="115"/>
      <c r="H66" s="150">
        <v>0</v>
      </c>
      <c r="I66" s="115"/>
      <c r="J66" s="150">
        <v>0</v>
      </c>
      <c r="K66" s="117"/>
      <c r="L66" s="117"/>
      <c r="N66" s="117"/>
    </row>
    <row r="67" spans="2:14" x14ac:dyDescent="0.3">
      <c r="B67" s="117"/>
      <c r="C67" s="148">
        <f ca="1">(TODAY()-365)</f>
        <v>45124</v>
      </c>
      <c r="D67" s="150"/>
      <c r="E67" s="115"/>
      <c r="F67" s="150">
        <v>0</v>
      </c>
      <c r="G67" s="115"/>
      <c r="H67" s="150">
        <v>0</v>
      </c>
      <c r="I67" s="115"/>
      <c r="J67" s="150">
        <v>0</v>
      </c>
      <c r="K67" s="117"/>
      <c r="L67" s="117"/>
      <c r="N67" s="117"/>
    </row>
    <row r="68" spans="2:14" x14ac:dyDescent="0.3">
      <c r="B68" s="117"/>
      <c r="C68" s="117"/>
      <c r="D68" s="115"/>
      <c r="E68" s="115"/>
      <c r="F68" s="115"/>
      <c r="G68" s="115"/>
      <c r="H68" s="115"/>
      <c r="I68" s="115"/>
      <c r="J68" s="115"/>
      <c r="K68" s="117"/>
      <c r="L68" s="117"/>
      <c r="N68" s="117"/>
    </row>
    <row r="69" spans="2:14" x14ac:dyDescent="0.3">
      <c r="D69" s="117" t="s">
        <v>43</v>
      </c>
      <c r="E69" s="115"/>
      <c r="F69" s="172">
        <f>'Traffic &amp; Accidents'!I7</f>
        <v>0</v>
      </c>
      <c r="G69" s="115"/>
      <c r="H69" s="172">
        <f>'Traffic &amp; Accidents'!I8</f>
        <v>0</v>
      </c>
      <c r="I69" s="115"/>
      <c r="J69" s="172">
        <f>'Traffic &amp; Accidents'!I9</f>
        <v>0</v>
      </c>
      <c r="K69" s="117"/>
      <c r="L69" s="117"/>
      <c r="N69" s="117"/>
    </row>
    <row r="70" spans="2:14" x14ac:dyDescent="0.3">
      <c r="C70" s="117"/>
      <c r="D70" s="117"/>
      <c r="E70" s="115"/>
      <c r="F70" s="173" t="s">
        <v>44</v>
      </c>
      <c r="G70" s="115"/>
      <c r="H70" s="173" t="s">
        <v>45</v>
      </c>
      <c r="I70" s="115"/>
      <c r="J70" s="173" t="s">
        <v>46</v>
      </c>
      <c r="N70" s="117"/>
    </row>
    <row r="71" spans="2:14" x14ac:dyDescent="0.3">
      <c r="C71" s="117"/>
      <c r="D71" s="117"/>
      <c r="E71" s="115"/>
      <c r="F71" s="115"/>
      <c r="G71" s="115"/>
      <c r="H71" s="115"/>
      <c r="I71" s="115"/>
      <c r="J71" s="115"/>
      <c r="K71" s="117"/>
      <c r="L71" s="117"/>
      <c r="N71" s="117"/>
    </row>
    <row r="72" spans="2:14" x14ac:dyDescent="0.3">
      <c r="D72" s="117" t="s">
        <v>47</v>
      </c>
      <c r="E72" s="115"/>
      <c r="F72" s="170">
        <f>F69*1</f>
        <v>0</v>
      </c>
      <c r="G72" s="115" t="s">
        <v>48</v>
      </c>
      <c r="H72" s="170">
        <f>H69*2</f>
        <v>0</v>
      </c>
      <c r="I72" s="115" t="s">
        <v>48</v>
      </c>
      <c r="J72" s="170">
        <f>J69*5</f>
        <v>0</v>
      </c>
      <c r="K72" s="115"/>
      <c r="N72" s="117"/>
    </row>
    <row r="73" spans="2:14" x14ac:dyDescent="0.3">
      <c r="B73" s="117"/>
      <c r="C73" s="117"/>
      <c r="D73" s="117"/>
      <c r="E73" s="117"/>
      <c r="F73" s="117"/>
      <c r="G73" s="117"/>
      <c r="H73" s="117"/>
      <c r="I73" s="115"/>
      <c r="J73" s="117"/>
      <c r="K73" s="115"/>
      <c r="L73" s="117"/>
      <c r="M73" s="117"/>
      <c r="N73" s="117"/>
    </row>
    <row r="74" spans="2:14" x14ac:dyDescent="0.3">
      <c r="B74" s="117"/>
      <c r="C74" s="117"/>
      <c r="D74" s="117"/>
      <c r="E74" s="117"/>
      <c r="F74" s="117"/>
      <c r="G74" s="117"/>
      <c r="H74" s="117"/>
      <c r="I74" s="115"/>
      <c r="J74" s="117"/>
      <c r="K74" s="115"/>
      <c r="L74" s="117"/>
      <c r="M74" s="117"/>
      <c r="N74" s="117"/>
    </row>
    <row r="75" spans="2:14" x14ac:dyDescent="0.3">
      <c r="B75" s="117"/>
      <c r="D75" s="117"/>
      <c r="E75" s="117"/>
      <c r="F75" s="117"/>
      <c r="G75" s="117"/>
      <c r="H75" s="117"/>
      <c r="N75" s="117"/>
    </row>
    <row r="76" spans="2:14" x14ac:dyDescent="0.3">
      <c r="B76" s="117"/>
      <c r="C76" s="117"/>
      <c r="D76" s="117"/>
      <c r="E76" s="117"/>
      <c r="F76" s="117"/>
      <c r="G76" s="169" t="s">
        <v>49</v>
      </c>
      <c r="H76" s="117"/>
      <c r="K76" s="170">
        <f>SUM(F72,H72,J72)</f>
        <v>0</v>
      </c>
    </row>
    <row r="77" spans="2:14" x14ac:dyDescent="0.3">
      <c r="B77" s="117" t="s">
        <v>12</v>
      </c>
      <c r="C77" s="117"/>
      <c r="D77" s="117"/>
      <c r="E77" s="117"/>
      <c r="F77" s="117"/>
      <c r="G77" s="117"/>
      <c r="H77" s="174" t="s">
        <v>50</v>
      </c>
      <c r="I77" s="115"/>
      <c r="K77" s="115"/>
      <c r="L77" s="117"/>
      <c r="M77" s="117"/>
      <c r="N77" s="117"/>
    </row>
  </sheetData>
  <sheetProtection algorithmName="SHA-512" hashValue="Ej3piBfE7nKhpw83VO0Ox7lt/sbxjqDbrGa710Yw6Ara69tXMqF8yL+nSXzBgQp+2/UXSUrzsYRmIePbF0QRAg==" saltValue="kVtQLXyx487cdwkrGoJ8mw==" spinCount="100000" sheet="1" selectLockedCells="1"/>
  <mergeCells count="4">
    <mergeCell ref="C3:D3"/>
    <mergeCell ref="G3:H3"/>
    <mergeCell ref="H5:J6"/>
    <mergeCell ref="F16:H18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5"/>
  <sheetViews>
    <sheetView showGridLines="0" workbookViewId="0">
      <selection activeCell="D9" sqref="D9"/>
    </sheetView>
  </sheetViews>
  <sheetFormatPr defaultColWidth="9.1796875" defaultRowHeight="13" x14ac:dyDescent="0.3"/>
  <cols>
    <col min="1" max="1" width="9.1796875" style="114"/>
    <col min="2" max="2" width="6.54296875" style="114" customWidth="1"/>
    <col min="3" max="3" width="6.453125" style="114" customWidth="1"/>
    <col min="4" max="4" width="7.54296875" style="114" customWidth="1"/>
    <col min="5" max="5" width="6.54296875" style="114" customWidth="1"/>
    <col min="6" max="6" width="6" style="114" customWidth="1"/>
    <col min="7" max="7" width="9.1796875" style="114"/>
    <col min="8" max="8" width="6.453125" style="114" customWidth="1"/>
    <col min="9" max="9" width="6.1796875" style="114" customWidth="1"/>
    <col min="10" max="10" width="8.1796875" style="114" customWidth="1"/>
    <col min="11" max="11" width="9.1796875" style="114"/>
    <col min="12" max="12" width="5.7265625" style="114" customWidth="1"/>
    <col min="13" max="13" width="8.1796875" style="114" customWidth="1"/>
    <col min="14" max="16384" width="9.1796875" style="114"/>
  </cols>
  <sheetData>
    <row r="2" spans="2:15" ht="13.5" thickBot="1" x14ac:dyDescent="0.35"/>
    <row r="3" spans="2:15" x14ac:dyDescent="0.3">
      <c r="B3" s="75"/>
      <c r="C3" s="76"/>
      <c r="D3" s="106"/>
      <c r="E3" s="76"/>
      <c r="F3" s="76"/>
      <c r="G3" s="279"/>
      <c r="H3" s="279"/>
      <c r="I3" s="76"/>
      <c r="J3" s="76"/>
      <c r="K3" s="76"/>
      <c r="L3" s="76"/>
      <c r="M3" s="77"/>
      <c r="O3" s="122"/>
    </row>
    <row r="4" spans="2:15" ht="12.75" customHeight="1" x14ac:dyDescent="0.3">
      <c r="B4" s="78"/>
      <c r="C4" s="425" t="s">
        <v>280</v>
      </c>
      <c r="D4" s="425"/>
      <c r="E4" s="425"/>
      <c r="F4" s="430" t="s">
        <v>303</v>
      </c>
      <c r="G4" s="430"/>
      <c r="H4" s="430"/>
      <c r="I4" s="424" t="s">
        <v>278</v>
      </c>
      <c r="J4" s="424"/>
      <c r="K4" s="424"/>
      <c r="L4" s="375"/>
      <c r="M4" s="79"/>
      <c r="O4" s="122"/>
    </row>
    <row r="5" spans="2:15" ht="12.75" customHeight="1" x14ac:dyDescent="0.3">
      <c r="B5" s="376"/>
      <c r="C5" s="425"/>
      <c r="D5" s="425"/>
      <c r="E5" s="425"/>
      <c r="F5" s="430"/>
      <c r="G5" s="430"/>
      <c r="H5" s="430"/>
      <c r="I5" s="424"/>
      <c r="J5" s="424"/>
      <c r="K5" s="424"/>
      <c r="L5" s="375"/>
      <c r="M5" s="79"/>
      <c r="N5" s="123"/>
      <c r="O5" s="124"/>
    </row>
    <row r="6" spans="2:15" ht="12.75" customHeight="1" x14ac:dyDescent="0.3">
      <c r="B6" s="377"/>
      <c r="C6" s="378"/>
      <c r="D6" s="378"/>
      <c r="E6" s="375"/>
      <c r="F6" s="379"/>
      <c r="G6" s="379"/>
      <c r="H6" s="379"/>
      <c r="I6" s="375"/>
      <c r="J6" s="375"/>
      <c r="K6" s="375"/>
      <c r="L6" s="375"/>
      <c r="M6" s="79"/>
      <c r="N6" s="123"/>
      <c r="O6" s="124"/>
    </row>
    <row r="7" spans="2:15" ht="12.75" customHeight="1" x14ac:dyDescent="0.3">
      <c r="B7" s="377"/>
      <c r="C7" s="378"/>
      <c r="D7" s="378"/>
      <c r="E7" s="375"/>
      <c r="F7" s="379"/>
      <c r="G7" s="379"/>
      <c r="H7" s="379"/>
      <c r="I7" s="375"/>
      <c r="J7" s="375"/>
      <c r="K7" s="375"/>
      <c r="L7" s="375"/>
      <c r="M7" s="79"/>
      <c r="N7" s="123"/>
      <c r="O7" s="124"/>
    </row>
    <row r="8" spans="2:15" ht="12" customHeight="1" x14ac:dyDescent="0.3">
      <c r="B8" s="78"/>
      <c r="C8" s="429" t="s">
        <v>297</v>
      </c>
      <c r="D8" s="429"/>
      <c r="E8" s="422" t="s">
        <v>294</v>
      </c>
      <c r="F8" s="423"/>
      <c r="G8" s="423"/>
      <c r="H8" s="380"/>
      <c r="I8" s="422" t="s">
        <v>295</v>
      </c>
      <c r="J8" s="423"/>
      <c r="K8" s="423"/>
      <c r="L8" s="375"/>
      <c r="M8" s="113"/>
      <c r="O8" s="125"/>
    </row>
    <row r="9" spans="2:15" ht="15.5" x14ac:dyDescent="0.35">
      <c r="B9" s="78"/>
      <c r="C9" s="88"/>
      <c r="D9" s="7"/>
      <c r="E9"/>
      <c r="F9" s="22">
        <f>H22</f>
        <v>0</v>
      </c>
      <c r="G9" s="275"/>
      <c r="H9" s="275"/>
      <c r="I9" s="276"/>
      <c r="J9" s="25">
        <f>IF(D9&lt;&gt;"","",'BR Rehab.'!J58)</f>
        <v>0</v>
      </c>
      <c r="K9" s="426" t="s">
        <v>296</v>
      </c>
      <c r="L9" s="427"/>
      <c r="M9" s="428"/>
      <c r="O9" s="125"/>
    </row>
    <row r="10" spans="2:15" ht="13.5" thickBot="1" x14ac:dyDescent="0.35">
      <c r="B10" s="80"/>
      <c r="C10" s="83"/>
      <c r="D10" s="81"/>
      <c r="E10" s="81"/>
      <c r="F10" s="81"/>
      <c r="G10" s="81"/>
      <c r="H10" s="81"/>
      <c r="I10" s="81"/>
      <c r="J10" s="81"/>
      <c r="K10" s="81" t="s">
        <v>307</v>
      </c>
      <c r="L10" s="81"/>
      <c r="M10" s="87"/>
      <c r="O10" s="125"/>
    </row>
    <row r="12" spans="2:15" x14ac:dyDescent="0.3">
      <c r="J12" s="390"/>
    </row>
    <row r="15" spans="2:15" x14ac:dyDescent="0.3">
      <c r="B15" s="392" t="s">
        <v>308</v>
      </c>
      <c r="C15" s="117"/>
      <c r="D15" s="117"/>
      <c r="E15" s="117"/>
      <c r="F15" s="117"/>
      <c r="G15" s="117"/>
      <c r="H15" s="117"/>
      <c r="I15" s="115"/>
      <c r="J15" s="117"/>
      <c r="K15" s="115"/>
      <c r="L15" s="117"/>
    </row>
    <row r="16" spans="2:15" x14ac:dyDescent="0.3">
      <c r="B16" s="117"/>
      <c r="C16" s="117"/>
      <c r="D16" s="117"/>
      <c r="E16" s="117"/>
      <c r="F16" s="117"/>
      <c r="G16" s="117"/>
      <c r="H16" s="115"/>
      <c r="I16" s="115"/>
      <c r="J16" s="117"/>
    </row>
    <row r="17" spans="2:11" x14ac:dyDescent="0.3">
      <c r="B17" s="117" t="s">
        <v>12</v>
      </c>
      <c r="C17" s="117" t="s">
        <v>51</v>
      </c>
      <c r="D17" s="117"/>
      <c r="E17" s="117"/>
      <c r="F17" s="117"/>
      <c r="G17" s="115"/>
      <c r="H17" s="117"/>
      <c r="I17" s="117"/>
    </row>
    <row r="18" spans="2:11" x14ac:dyDescent="0.3">
      <c r="B18" s="117"/>
      <c r="C18" s="117"/>
      <c r="D18" s="117"/>
      <c r="E18" s="117"/>
      <c r="F18" s="117"/>
      <c r="G18" s="115"/>
      <c r="H18" s="117"/>
      <c r="I18" s="117"/>
    </row>
    <row r="19" spans="2:11" ht="12.75" customHeight="1" x14ac:dyDescent="0.3">
      <c r="B19" s="117"/>
      <c r="C19" s="420" t="s">
        <v>277</v>
      </c>
      <c r="D19" s="431" t="s">
        <v>279</v>
      </c>
      <c r="E19" s="431"/>
      <c r="F19" s="431"/>
      <c r="G19" s="431"/>
      <c r="H19" s="432" t="s">
        <v>305</v>
      </c>
      <c r="I19" s="418">
        <v>0.4</v>
      </c>
    </row>
    <row r="20" spans="2:11" ht="12.75" customHeight="1" x14ac:dyDescent="0.3">
      <c r="B20" s="117"/>
      <c r="C20" s="421"/>
      <c r="D20" s="431"/>
      <c r="E20" s="431"/>
      <c r="F20" s="431"/>
      <c r="G20" s="431"/>
      <c r="H20" s="432"/>
      <c r="I20" s="419"/>
    </row>
    <row r="21" spans="2:11" ht="12.75" customHeight="1" x14ac:dyDescent="0.3">
      <c r="B21" s="117"/>
      <c r="C21" s="381"/>
      <c r="D21" s="382"/>
      <c r="E21" s="382"/>
      <c r="F21" s="382"/>
      <c r="G21" s="383"/>
      <c r="H21" s="117"/>
      <c r="I21" s="117"/>
    </row>
    <row r="22" spans="2:11" x14ac:dyDescent="0.3">
      <c r="B22" s="117"/>
      <c r="D22" s="117"/>
      <c r="F22" s="117"/>
      <c r="G22" s="171" t="s">
        <v>293</v>
      </c>
      <c r="H22" s="384">
        <f>IF(Structure!D9&lt;&gt;0,(100-Structure!D9)*0.4,0)</f>
        <v>0</v>
      </c>
    </row>
    <row r="25" spans="2:11" x14ac:dyDescent="0.3">
      <c r="J25" s="385"/>
      <c r="K25" s="386"/>
    </row>
  </sheetData>
  <sheetProtection algorithmName="SHA-512" hashValue="uDLfFfQnkXZgeU62iSNKdRSQ27Wd6VeqTlH/pth6fWhgFoZ+ept5AlOuI25+eN1dEn6l7TJoVAxH3SyfwmvOPg==" saltValue="i/56s8rcRSvoi6ec7HxqOA==" spinCount="100000" sheet="1" selectLockedCells="1"/>
  <mergeCells count="11">
    <mergeCell ref="I19:I20"/>
    <mergeCell ref="C19:C20"/>
    <mergeCell ref="E8:G8"/>
    <mergeCell ref="I4:K5"/>
    <mergeCell ref="I8:K8"/>
    <mergeCell ref="C4:E5"/>
    <mergeCell ref="K9:M9"/>
    <mergeCell ref="C8:D8"/>
    <mergeCell ref="F4:H5"/>
    <mergeCell ref="D19:G20"/>
    <mergeCell ref="H19:H20"/>
  </mergeCells>
  <hyperlinks>
    <hyperlink ref="K9:M9" location="'BR Rehab.'!A1" display="Fill out the BR Rehab. Worksheet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T135"/>
  <sheetViews>
    <sheetView showGridLines="0" workbookViewId="0">
      <selection activeCell="H8" sqref="H8"/>
    </sheetView>
  </sheetViews>
  <sheetFormatPr defaultColWidth="7.7265625" defaultRowHeight="13" x14ac:dyDescent="0.3"/>
  <cols>
    <col min="1" max="16384" width="7.7265625" style="126"/>
  </cols>
  <sheetData>
    <row r="2" spans="2:72" ht="13.5" thickBot="1" x14ac:dyDescent="0.35"/>
    <row r="3" spans="2:72" x14ac:dyDescent="0.3">
      <c r="B3" s="75"/>
      <c r="C3" s="110"/>
      <c r="D3" s="76"/>
      <c r="E3" s="76"/>
      <c r="F3" s="76"/>
      <c r="G3" s="76"/>
      <c r="H3" s="76"/>
      <c r="I3" s="76"/>
      <c r="J3" s="76"/>
      <c r="K3" s="76"/>
      <c r="L3" s="77"/>
      <c r="N3" s="127"/>
    </row>
    <row r="4" spans="2:72" x14ac:dyDescent="0.3">
      <c r="B4" s="78"/>
      <c r="C4" s="438" t="s">
        <v>212</v>
      </c>
      <c r="D4" s="438"/>
      <c r="E4" s="438"/>
      <c r="F4" s="440" t="s">
        <v>265</v>
      </c>
      <c r="G4" s="440"/>
      <c r="H4" s="440"/>
      <c r="I4" s="440"/>
      <c r="J4" s="440"/>
      <c r="K4" s="146"/>
      <c r="L4" s="79"/>
      <c r="N4" s="127"/>
    </row>
    <row r="5" spans="2:72" x14ac:dyDescent="0.3">
      <c r="B5" s="78"/>
      <c r="C5" s="277"/>
      <c r="D5" s="277"/>
      <c r="E5" s="277"/>
      <c r="F5" s="175"/>
      <c r="G5" s="175"/>
      <c r="H5" s="175"/>
      <c r="I5" s="175"/>
      <c r="J5" s="175"/>
      <c r="K5" s="146"/>
      <c r="L5" s="79"/>
      <c r="N5" s="127"/>
    </row>
    <row r="6" spans="2:72" x14ac:dyDescent="0.3">
      <c r="B6" s="78"/>
      <c r="C6"/>
      <c r="D6"/>
      <c r="E6"/>
      <c r="F6" s="9"/>
      <c r="G6"/>
      <c r="H6"/>
      <c r="I6"/>
      <c r="J6"/>
      <c r="K6"/>
      <c r="L6" s="79"/>
    </row>
    <row r="7" spans="2:72" x14ac:dyDescent="0.3">
      <c r="B7" s="78"/>
      <c r="C7"/>
      <c r="D7" s="27"/>
      <c r="E7"/>
      <c r="F7"/>
      <c r="G7"/>
      <c r="H7" s="441" t="s">
        <v>269</v>
      </c>
      <c r="I7" s="441"/>
      <c r="J7" s="441"/>
      <c r="K7"/>
      <c r="L7" s="79"/>
    </row>
    <row r="8" spans="2:72" x14ac:dyDescent="0.3">
      <c r="B8" s="78"/>
      <c r="C8" s="27" t="s">
        <v>161</v>
      </c>
      <c r="D8" s="25">
        <f>'BR Summary'!D11</f>
        <v>0</v>
      </c>
      <c r="E8" t="s">
        <v>271</v>
      </c>
      <c r="F8"/>
      <c r="G8"/>
      <c r="H8" s="183"/>
      <c r="I8" s="183"/>
      <c r="J8" s="184"/>
      <c r="K8"/>
      <c r="L8" s="79"/>
    </row>
    <row r="9" spans="2:72" x14ac:dyDescent="0.3">
      <c r="B9" s="78"/>
      <c r="C9"/>
      <c r="D9"/>
      <c r="E9"/>
      <c r="F9"/>
      <c r="G9"/>
      <c r="H9" s="147" t="s">
        <v>65</v>
      </c>
      <c r="I9" s="13" t="s">
        <v>66</v>
      </c>
      <c r="J9" s="13" t="s">
        <v>67</v>
      </c>
      <c r="K9"/>
      <c r="L9" s="79"/>
      <c r="AI9"/>
      <c r="AJ9"/>
      <c r="AK9"/>
      <c r="AL9"/>
      <c r="AM9"/>
      <c r="AN9"/>
      <c r="AO9"/>
      <c r="AP9"/>
      <c r="AQ9"/>
      <c r="AR9"/>
      <c r="AS9"/>
      <c r="AT9"/>
      <c r="AU9" s="10"/>
      <c r="AV9" s="22">
        <f>'BR Summary'!D13</f>
        <v>0</v>
      </c>
      <c r="AW9" s="1" t="s">
        <v>157</v>
      </c>
      <c r="AX9" s="10"/>
      <c r="AY9" s="10"/>
      <c r="AZ9" s="10"/>
      <c r="BA9" s="10"/>
      <c r="BB9" s="1"/>
      <c r="BC9" s="1"/>
      <c r="BD9" s="1"/>
      <c r="BE9" s="1"/>
      <c r="BF9"/>
    </row>
    <row r="10" spans="2:72" x14ac:dyDescent="0.3">
      <c r="B10" s="78"/>
      <c r="C10"/>
      <c r="D10"/>
      <c r="E10"/>
      <c r="F10"/>
      <c r="G10"/>
      <c r="H10"/>
      <c r="I10"/>
      <c r="J10"/>
      <c r="K10"/>
      <c r="L10" s="79"/>
      <c r="AI10"/>
      <c r="AJ10"/>
      <c r="AK10"/>
      <c r="AL10"/>
      <c r="AM10"/>
      <c r="AN10"/>
      <c r="AO10"/>
      <c r="AP10"/>
      <c r="AQ10"/>
      <c r="AR10"/>
      <c r="AS10"/>
      <c r="AT10"/>
      <c r="AU10" s="10"/>
      <c r="AV10" s="10"/>
      <c r="AW10" s="1"/>
      <c r="AX10" s="10"/>
      <c r="AY10" s="10"/>
      <c r="AZ10" s="10"/>
      <c r="BA10" s="10"/>
      <c r="BB10" s="1"/>
      <c r="BC10" s="1"/>
      <c r="BD10" s="1"/>
      <c r="BE10" s="1"/>
      <c r="BF10"/>
      <c r="BI10"/>
      <c r="BJ10"/>
      <c r="BK10"/>
      <c r="BL10"/>
      <c r="BM10"/>
      <c r="BN10"/>
      <c r="BO10"/>
      <c r="BP10"/>
      <c r="BQ10"/>
      <c r="BR10"/>
      <c r="BS10"/>
      <c r="BT10"/>
    </row>
    <row r="11" spans="2:72" x14ac:dyDescent="0.3">
      <c r="B11" s="78"/>
      <c r="C11" s="439" t="s">
        <v>253</v>
      </c>
      <c r="D11" s="439"/>
      <c r="E11" s="89"/>
      <c r="F11" s="89"/>
      <c r="G11" s="439" t="s">
        <v>158</v>
      </c>
      <c r="H11" s="439"/>
      <c r="I11" s="439"/>
      <c r="J11"/>
      <c r="K11"/>
      <c r="L11" s="79"/>
      <c r="N11" s="127"/>
      <c r="AI11"/>
      <c r="AJ11"/>
      <c r="AK11"/>
      <c r="AL11"/>
      <c r="AM11"/>
      <c r="AN11"/>
      <c r="AO11"/>
      <c r="AP11"/>
      <c r="AQ11"/>
      <c r="AR11"/>
      <c r="AS11"/>
      <c r="AT11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1"/>
      <c r="BF11"/>
      <c r="BI11"/>
      <c r="BJ11"/>
      <c r="BK11"/>
      <c r="BL11"/>
      <c r="BM11"/>
      <c r="BN11"/>
      <c r="BO11"/>
      <c r="BP11"/>
      <c r="BQ11"/>
      <c r="BR11"/>
      <c r="BS11"/>
      <c r="BT11"/>
    </row>
    <row r="12" spans="2:72" x14ac:dyDescent="0.3">
      <c r="B12" s="78"/>
      <c r="C12" s="38">
        <f>Geometry!W46</f>
        <v>115</v>
      </c>
      <c r="D12" s="14" t="s">
        <v>255</v>
      </c>
      <c r="E12"/>
      <c r="F12"/>
      <c r="G12"/>
      <c r="H12" s="22">
        <f>Geometry!P93</f>
        <v>0</v>
      </c>
      <c r="I12" s="14" t="s">
        <v>256</v>
      </c>
      <c r="J12"/>
      <c r="K12"/>
      <c r="L12" s="79"/>
      <c r="N12" s="127"/>
      <c r="AI12"/>
      <c r="AJ12"/>
      <c r="AK12"/>
      <c r="AL12"/>
      <c r="AM12"/>
      <c r="AN12"/>
      <c r="AO12"/>
      <c r="AP12"/>
      <c r="AQ12"/>
      <c r="AR12"/>
      <c r="AS12"/>
      <c r="AT12"/>
      <c r="AU12" s="287"/>
      <c r="AV12" s="287" t="s">
        <v>232</v>
      </c>
      <c r="AW12" s="287"/>
      <c r="AX12" s="287"/>
      <c r="AY12" s="287"/>
      <c r="AZ12" s="288">
        <f>IF(OR(AV9=7,AV9=8),AU17,BA17)</f>
        <v>22</v>
      </c>
      <c r="BA12" s="287" t="s">
        <v>233</v>
      </c>
      <c r="BB12" s="287"/>
      <c r="BC12" s="287"/>
      <c r="BD12" s="287"/>
      <c r="BE12" s="1"/>
      <c r="BF12"/>
      <c r="BI12" s="1"/>
      <c r="BJ12" s="10"/>
      <c r="BK12" s="289" t="s">
        <v>235</v>
      </c>
      <c r="BL12" s="10"/>
      <c r="BM12" s="10"/>
      <c r="BN12" s="1"/>
      <c r="BO12" s="1"/>
      <c r="BP12" s="10"/>
      <c r="BQ12" s="289" t="s">
        <v>235</v>
      </c>
      <c r="BR12" s="10"/>
      <c r="BS12" s="10"/>
      <c r="BT12"/>
    </row>
    <row r="13" spans="2:72" x14ac:dyDescent="0.3">
      <c r="B13" s="78"/>
      <c r="C13" s="24"/>
      <c r="D13" s="14"/>
      <c r="E13"/>
      <c r="F13"/>
      <c r="G13"/>
      <c r="H13" s="10"/>
      <c r="I13" s="14"/>
      <c r="J13"/>
      <c r="K13"/>
      <c r="L13" s="79"/>
      <c r="N13" s="127"/>
      <c r="AI13"/>
      <c r="AJ13"/>
      <c r="AK13"/>
      <c r="AL13"/>
      <c r="AM13"/>
      <c r="AN13"/>
      <c r="AO13"/>
      <c r="AP13"/>
      <c r="AQ13"/>
      <c r="AR13"/>
      <c r="AS13"/>
      <c r="AT13"/>
      <c r="AU13" s="290"/>
      <c r="AV13" s="291"/>
      <c r="AW13" s="287"/>
      <c r="AX13" s="287"/>
      <c r="AY13" s="287"/>
      <c r="AZ13" s="287"/>
      <c r="BA13" s="287"/>
      <c r="BB13" s="287"/>
      <c r="BC13" s="287"/>
      <c r="BD13" s="287"/>
      <c r="BE13" s="1"/>
      <c r="BF13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/>
    </row>
    <row r="14" spans="2:72" x14ac:dyDescent="0.3">
      <c r="B14" s="90"/>
      <c r="C14" s="33"/>
      <c r="D14" s="147" t="s">
        <v>261</v>
      </c>
      <c r="E14"/>
      <c r="F14"/>
      <c r="G14"/>
      <c r="H14"/>
      <c r="I14" s="147" t="s">
        <v>261</v>
      </c>
      <c r="J14" s="143" t="e">
        <f>IF(#REF!&lt;0.005,"",#REF!)</f>
        <v>#REF!</v>
      </c>
      <c r="K14"/>
      <c r="L14" s="79"/>
      <c r="M14" s="128"/>
      <c r="N14" s="128"/>
      <c r="AI14"/>
      <c r="AJ14"/>
      <c r="AK14"/>
      <c r="AL14"/>
      <c r="AM14"/>
      <c r="AN14"/>
      <c r="AO14"/>
      <c r="AP14"/>
      <c r="AQ14"/>
      <c r="AR14"/>
      <c r="AS14"/>
      <c r="AT14"/>
      <c r="AU14" s="290"/>
      <c r="AV14" s="443" t="s">
        <v>234</v>
      </c>
      <c r="AW14" s="444"/>
      <c r="AX14" s="287"/>
      <c r="AY14" s="287"/>
      <c r="AZ14" s="287"/>
      <c r="BA14" s="443" t="s">
        <v>235</v>
      </c>
      <c r="BB14" s="443"/>
      <c r="BC14" s="443"/>
      <c r="BD14" s="287"/>
      <c r="BE14" s="1"/>
      <c r="BF14"/>
      <c r="BI14" s="2" t="s">
        <v>243</v>
      </c>
      <c r="BJ14" s="1"/>
      <c r="BK14" s="10" t="s">
        <v>244</v>
      </c>
      <c r="BL14"/>
      <c r="BM14"/>
      <c r="BN14" s="1"/>
      <c r="BO14" s="2" t="s">
        <v>243</v>
      </c>
      <c r="BP14" s="1"/>
      <c r="BQ14" s="10" t="s">
        <v>245</v>
      </c>
      <c r="BR14"/>
      <c r="BS14"/>
      <c r="BT14"/>
    </row>
    <row r="15" spans="2:72" ht="12.75" customHeight="1" x14ac:dyDescent="0.3">
      <c r="B15" s="436" t="s">
        <v>167</v>
      </c>
      <c r="C15" s="280" t="s">
        <v>300</v>
      </c>
      <c r="D15" s="25">
        <f>Geometry!N85*E29</f>
        <v>0</v>
      </c>
      <c r="E15"/>
      <c r="F15"/>
      <c r="G15"/>
      <c r="H15" s="281" t="s">
        <v>300</v>
      </c>
      <c r="I15" s="25">
        <f>Geometry!N119*J29</f>
        <v>0</v>
      </c>
      <c r="J15"/>
      <c r="K15" s="12"/>
      <c r="L15" s="91"/>
      <c r="M15" s="129"/>
      <c r="N15" s="129"/>
      <c r="AI15"/>
      <c r="AJ15"/>
      <c r="AK15"/>
      <c r="AL15"/>
      <c r="AM15" s="292"/>
      <c r="AN15" s="288">
        <f>AM19</f>
        <v>6</v>
      </c>
      <c r="AO15" s="292" t="s">
        <v>172</v>
      </c>
      <c r="AP15" s="292"/>
      <c r="AQ15"/>
      <c r="AR15"/>
      <c r="AS15"/>
      <c r="AT15"/>
      <c r="AU15" s="290"/>
      <c r="AV15" s="291"/>
      <c r="AW15" s="287"/>
      <c r="AX15" s="287"/>
      <c r="AY15" s="287"/>
      <c r="AZ15" s="287"/>
      <c r="BA15" s="287"/>
      <c r="BB15" s="287"/>
      <c r="BC15" s="287"/>
      <c r="BD15" s="287"/>
      <c r="BE15" s="1"/>
      <c r="BF15"/>
      <c r="BI15" s="2" t="s">
        <v>246</v>
      </c>
      <c r="BJ15" s="293" t="s">
        <v>62</v>
      </c>
      <c r="BK15" s="293" t="s">
        <v>236</v>
      </c>
      <c r="BL15" s="293" t="s">
        <v>237</v>
      </c>
      <c r="BM15" s="293" t="s">
        <v>64</v>
      </c>
      <c r="BN15" s="1"/>
      <c r="BO15" s="2" t="s">
        <v>246</v>
      </c>
      <c r="BP15" s="293" t="s">
        <v>62</v>
      </c>
      <c r="BQ15" s="293" t="s">
        <v>236</v>
      </c>
      <c r="BR15" s="293" t="s">
        <v>237</v>
      </c>
      <c r="BS15" s="293" t="s">
        <v>64</v>
      </c>
      <c r="BT15"/>
    </row>
    <row r="16" spans="2:72" x14ac:dyDescent="0.3">
      <c r="B16" s="436"/>
      <c r="C16" s="33"/>
      <c r="D16" s="35"/>
      <c r="E16"/>
      <c r="F16"/>
      <c r="G16" s="13"/>
      <c r="H16"/>
      <c r="I16" s="41"/>
      <c r="J16" s="35"/>
      <c r="K16"/>
      <c r="L16" s="91"/>
      <c r="M16" s="129"/>
      <c r="N16" s="129"/>
      <c r="S16" s="294" t="s">
        <v>90</v>
      </c>
      <c r="T16" s="1"/>
      <c r="U16" s="1"/>
      <c r="V16" s="1"/>
      <c r="W16" s="1"/>
      <c r="X16" s="1"/>
      <c r="Y16" s="1"/>
      <c r="Z16" s="10"/>
      <c r="AA16" s="1"/>
      <c r="AB16" s="10"/>
      <c r="AC16" s="1"/>
      <c r="AD16" s="1"/>
      <c r="AE16" s="1"/>
      <c r="AF16" s="1"/>
      <c r="AI16"/>
      <c r="AJ16"/>
      <c r="AK16"/>
      <c r="AL16"/>
      <c r="AM16" s="292"/>
      <c r="AN16" s="292"/>
      <c r="AO16" s="292"/>
      <c r="AP16" s="292"/>
      <c r="AQ16"/>
      <c r="AR16"/>
      <c r="AS16"/>
      <c r="AT16"/>
      <c r="AU16" s="295" t="s">
        <v>62</v>
      </c>
      <c r="AV16" s="295" t="s">
        <v>236</v>
      </c>
      <c r="AW16" s="295" t="s">
        <v>237</v>
      </c>
      <c r="AX16" s="295" t="s">
        <v>64</v>
      </c>
      <c r="AY16" s="287"/>
      <c r="AZ16" s="287"/>
      <c r="BA16" s="295" t="s">
        <v>238</v>
      </c>
      <c r="BB16" s="295" t="s">
        <v>239</v>
      </c>
      <c r="BC16" s="295" t="s">
        <v>64</v>
      </c>
      <c r="BD16" s="287"/>
      <c r="BE16" s="1"/>
      <c r="BF16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/>
    </row>
    <row r="17" spans="2:72" x14ac:dyDescent="0.3">
      <c r="B17" s="436"/>
      <c r="C17" s="14" t="s">
        <v>130</v>
      </c>
      <c r="D17" s="16" t="s">
        <v>257</v>
      </c>
      <c r="E17" s="13" t="s">
        <v>267</v>
      </c>
      <c r="F17" s="13"/>
      <c r="G17"/>
      <c r="H17" s="278" t="s">
        <v>159</v>
      </c>
      <c r="I17" s="26" t="s">
        <v>257</v>
      </c>
      <c r="J17" s="13" t="s">
        <v>267</v>
      </c>
      <c r="K17"/>
      <c r="L17" s="92"/>
      <c r="N17" s="130"/>
      <c r="S17" s="1"/>
      <c r="T17" s="1"/>
      <c r="U17" s="1"/>
      <c r="V17" s="1"/>
      <c r="W17" s="1"/>
      <c r="X17" s="1"/>
      <c r="Y17" s="1"/>
      <c r="Z17" s="10"/>
      <c r="AA17" s="1"/>
      <c r="AB17" s="10"/>
      <c r="AC17" s="1"/>
      <c r="AD17" s="1"/>
      <c r="AE17" s="1"/>
      <c r="AF17" s="1"/>
      <c r="AI17"/>
      <c r="AJ17"/>
      <c r="AK17"/>
      <c r="AL17"/>
      <c r="AM17" s="292"/>
      <c r="AN17" s="296" t="s">
        <v>173</v>
      </c>
      <c r="AO17" s="296"/>
      <c r="AP17" s="297"/>
      <c r="AQ17"/>
      <c r="AR17"/>
      <c r="AS17"/>
      <c r="AT17"/>
      <c r="AU17" s="291">
        <f>IF(AND(Geometry!T50&lt;=50,'Traffic &amp; Accidents'!D8&lt;400),20,AU18)</f>
        <v>20</v>
      </c>
      <c r="AV17" s="291">
        <f>IF(AND(Geometry!T50&lt;=30,'Traffic &amp; Accidents'!D8&lt;1501),20,AV18)</f>
        <v>20</v>
      </c>
      <c r="AW17" s="291">
        <f>IF(AND(Geometry!T50&lt;=50,'Traffic &amp; Accidents'!D8&lt;=2000),22,AW18)</f>
        <v>22</v>
      </c>
      <c r="AX17" s="291">
        <f>IF('Traffic &amp; Accidents'!D8&gt;2000,24,0)</f>
        <v>0</v>
      </c>
      <c r="AY17" s="287"/>
      <c r="AZ17" s="287"/>
      <c r="BA17" s="291">
        <f>IF(AND(Geometry!T50&lt;60,'Traffic &amp; Accidents'!D8&lt;1501),22,BA18)</f>
        <v>22</v>
      </c>
      <c r="BB17" s="291">
        <f>IF(AND(Geometry!T50&lt;50,'Traffic &amp; Accidents'!D8&lt;2001),22,BB18)</f>
        <v>22</v>
      </c>
      <c r="BC17" s="291">
        <f>IF('Traffic &amp; Accidents'!D8&gt;2000,24,0)</f>
        <v>0</v>
      </c>
      <c r="BD17" s="287"/>
      <c r="BE17" s="1"/>
      <c r="BF17"/>
      <c r="BI17" s="10">
        <v>40</v>
      </c>
      <c r="BJ17" s="10">
        <v>22</v>
      </c>
      <c r="BK17" s="10">
        <v>22</v>
      </c>
      <c r="BL17" s="10">
        <v>22</v>
      </c>
      <c r="BM17" s="10">
        <v>24</v>
      </c>
      <c r="BN17" s="1"/>
      <c r="BO17" s="2" t="s">
        <v>247</v>
      </c>
      <c r="BP17" s="10">
        <v>4</v>
      </c>
      <c r="BQ17" s="10">
        <v>6</v>
      </c>
      <c r="BR17" s="10">
        <v>6</v>
      </c>
      <c r="BS17" s="10">
        <v>8</v>
      </c>
      <c r="BT17"/>
    </row>
    <row r="18" spans="2:72" ht="15" customHeight="1" x14ac:dyDescent="0.3">
      <c r="B18" s="436"/>
      <c r="C18" s="93" t="s">
        <v>143</v>
      </c>
      <c r="D18" s="43" t="s">
        <v>143</v>
      </c>
      <c r="E18" s="15" t="s">
        <v>258</v>
      </c>
      <c r="F18" s="15"/>
      <c r="G18" s="94" t="s">
        <v>276</v>
      </c>
      <c r="H18" s="95" t="s">
        <v>221</v>
      </c>
      <c r="I18" s="89" t="s">
        <v>159</v>
      </c>
      <c r="J18" s="15" t="s">
        <v>258</v>
      </c>
      <c r="K18" s="15"/>
      <c r="L18" s="96"/>
      <c r="N18" s="131"/>
      <c r="S18" s="1" t="s">
        <v>91</v>
      </c>
      <c r="T18" s="1"/>
      <c r="U18" s="1"/>
      <c r="V18" s="1"/>
      <c r="W18" s="1"/>
      <c r="X18" s="1"/>
      <c r="Y18" s="1"/>
      <c r="Z18" s="10"/>
      <c r="AA18" s="1"/>
      <c r="AB18" s="10"/>
      <c r="AC18" s="1"/>
      <c r="AD18" s="1"/>
      <c r="AE18" s="1"/>
      <c r="AF18" s="1"/>
      <c r="AI18"/>
      <c r="AJ18"/>
      <c r="AK18"/>
      <c r="AL18"/>
      <c r="AM18" s="292"/>
      <c r="AN18" s="291"/>
      <c r="AO18" s="291"/>
      <c r="AP18" s="291"/>
      <c r="AQ18"/>
      <c r="AR18"/>
      <c r="AS18"/>
      <c r="AT18"/>
      <c r="AU18" s="291">
        <f>IF(AND(Geometry!T50&gt;50,'Traffic &amp; Accidents'!D8&lt;400),22,AV17)</f>
        <v>20</v>
      </c>
      <c r="AV18" s="291">
        <f>IF(AND(Geometry!T50&gt;=35,'Traffic &amp; Accidents'!D8&lt;=1500),22,AW17)</f>
        <v>22</v>
      </c>
      <c r="AW18" s="291">
        <f>IF(AND(Geometry!T50&gt;=55,'Traffic &amp; Accidents'!D8&lt;=2001),24,AX17)</f>
        <v>0</v>
      </c>
      <c r="AX18" s="290"/>
      <c r="AY18" s="287"/>
      <c r="AZ18" s="287"/>
      <c r="BA18" s="291">
        <f>IF(AND(Geometry!T50&gt;55,'Traffic &amp; Accidents'!D8&lt;1501),24,BB17)</f>
        <v>22</v>
      </c>
      <c r="BB18" s="291">
        <f>IF(AND(Geometry!T50&gt;=50,'Traffic &amp; Accidents'!D8&lt;=2001),24,BC17)</f>
        <v>0</v>
      </c>
      <c r="BC18" s="291"/>
      <c r="BD18" s="287"/>
      <c r="BE18" s="1"/>
      <c r="BF18"/>
      <c r="BI18" s="10">
        <v>45</v>
      </c>
      <c r="BJ18" s="10">
        <v>22</v>
      </c>
      <c r="BK18" s="10">
        <v>22</v>
      </c>
      <c r="BL18" s="10">
        <v>22</v>
      </c>
      <c r="BM18" s="10">
        <v>24</v>
      </c>
      <c r="BN18" s="1"/>
      <c r="BO18" s="10"/>
      <c r="BP18" s="10"/>
      <c r="BQ18" s="10"/>
      <c r="BR18" s="10"/>
      <c r="BS18" s="10"/>
      <c r="BT18"/>
    </row>
    <row r="19" spans="2:72" x14ac:dyDescent="0.3">
      <c r="B19" s="97">
        <v>1</v>
      </c>
      <c r="C19" s="184"/>
      <c r="D19" s="184"/>
      <c r="E19" s="133" t="str">
        <f>IF(AND(D19&gt;=C19,C19&lt;C12,D19&lt;&gt;0),F19,"")</f>
        <v/>
      </c>
      <c r="F19" s="181">
        <f>IF(D19&gt;C12,1,(D19-C19)/(C12-C19))</f>
        <v>0</v>
      </c>
      <c r="G19" s="184"/>
      <c r="H19" s="184"/>
      <c r="I19" s="184"/>
      <c r="J19" s="17" t="str">
        <f>IF(AND(I19&lt;=G19,G19&gt;H12,I19&lt;&gt;0),K19,"")</f>
        <v/>
      </c>
      <c r="K19" s="182" t="e">
        <f>IF(I19&lt;H12,1,(G19-I19)/(G19-H12)*(H19/H29))</f>
        <v>#DIV/0!</v>
      </c>
      <c r="L19" s="98"/>
      <c r="M19" s="132"/>
      <c r="N19" s="131"/>
      <c r="S19" s="1" t="s">
        <v>92</v>
      </c>
      <c r="T19" s="1"/>
      <c r="U19" s="1"/>
      <c r="V19" s="1"/>
      <c r="W19" s="1"/>
      <c r="X19" s="1"/>
      <c r="Y19" s="1"/>
      <c r="Z19" s="10"/>
      <c r="AA19" s="1"/>
      <c r="AB19" s="10"/>
      <c r="AC19" s="1"/>
      <c r="AD19" s="1"/>
      <c r="AE19" s="1"/>
      <c r="AF19" s="1"/>
      <c r="AI19" s="22">
        <f>Geometry!E33</f>
        <v>0</v>
      </c>
      <c r="AJ19" s="298" t="s">
        <v>216</v>
      </c>
      <c r="AK19"/>
      <c r="AL19"/>
      <c r="AM19" s="288">
        <f>IF(Geometry!P44&lt;400,AN19,AM20)</f>
        <v>6</v>
      </c>
      <c r="AN19" s="299">
        <f>IF(AI19&lt;20,6,AO19)</f>
        <v>6</v>
      </c>
      <c r="AO19" s="299">
        <f>IF(AI19&lt;=22,3,AP19)</f>
        <v>3</v>
      </c>
      <c r="AP19" s="299" t="str">
        <f>IF(AI19&gt;22,0,"")</f>
        <v/>
      </c>
      <c r="AQ19"/>
      <c r="AR19"/>
      <c r="AS19"/>
      <c r="AT19"/>
      <c r="AU19" s="291"/>
      <c r="AV19" s="291"/>
      <c r="AW19" s="291"/>
      <c r="AX19" s="290"/>
      <c r="AY19" s="287"/>
      <c r="AZ19" s="287"/>
      <c r="BA19" s="291"/>
      <c r="BB19" s="291"/>
      <c r="BC19" s="291"/>
      <c r="BD19" s="287"/>
      <c r="BE19" s="1"/>
      <c r="BF19"/>
      <c r="BI19" s="10">
        <v>50</v>
      </c>
      <c r="BJ19" s="10">
        <v>22</v>
      </c>
      <c r="BK19" s="10">
        <v>22</v>
      </c>
      <c r="BL19" s="10">
        <v>24</v>
      </c>
      <c r="BM19" s="10">
        <v>24</v>
      </c>
      <c r="BN19" s="1"/>
      <c r="BO19" s="10"/>
      <c r="BP19" s="10"/>
      <c r="BQ19" s="10"/>
      <c r="BR19" s="10"/>
      <c r="BS19" s="10"/>
      <c r="BT19"/>
    </row>
    <row r="20" spans="2:72" x14ac:dyDescent="0.3">
      <c r="B20" s="97">
        <v>2</v>
      </c>
      <c r="C20" s="184"/>
      <c r="D20" s="184"/>
      <c r="E20" s="17" t="str">
        <f>IF(AND(D20&gt;=C20,C20&lt;C12,D20&lt;&gt;0),F20,"")</f>
        <v/>
      </c>
      <c r="F20" s="181">
        <f>IF(D20&gt;C12,1,(D20-C20)/(C12-C20))</f>
        <v>0</v>
      </c>
      <c r="G20" s="184"/>
      <c r="H20" s="184"/>
      <c r="I20" s="184"/>
      <c r="J20" s="17" t="str">
        <f>IF(AND(I20&lt;=G20,G20&gt;H12,I20&lt;&gt;0),K20,"")</f>
        <v/>
      </c>
      <c r="K20" s="182" t="e">
        <f>IF(I20&lt;H12,1,(G20-I20)/(G20-H12)*(H20/H29))</f>
        <v>#DIV/0!</v>
      </c>
      <c r="L20" s="99"/>
      <c r="M20" s="132"/>
      <c r="N20" s="131"/>
      <c r="S20" s="1"/>
      <c r="T20" s="1"/>
      <c r="U20" s="1"/>
      <c r="V20" s="1"/>
      <c r="W20" s="1"/>
      <c r="X20" s="1"/>
      <c r="Y20" s="1"/>
      <c r="Z20" s="10"/>
      <c r="AA20" s="1"/>
      <c r="AB20" s="10"/>
      <c r="AC20" s="1"/>
      <c r="AD20" s="1"/>
      <c r="AE20" s="1"/>
      <c r="AF20" s="1"/>
      <c r="AI20" s="22">
        <f>Geometry!E34</f>
        <v>0</v>
      </c>
      <c r="AJ20" s="298" t="s">
        <v>215</v>
      </c>
      <c r="AK20"/>
      <c r="AL20"/>
      <c r="AM20" s="291">
        <f>IF(Geometry!P44&lt;2001,AN20,AM21)</f>
        <v>6</v>
      </c>
      <c r="AN20" s="299">
        <f>IF(AI19&lt;20,6,AO19)</f>
        <v>6</v>
      </c>
      <c r="AO20" s="299">
        <f>IF(AI19&lt;=22,3,AP19)</f>
        <v>3</v>
      </c>
      <c r="AP20" s="299" t="str">
        <f>IF(AI19&gt;22,0,"")</f>
        <v/>
      </c>
      <c r="AQ20"/>
      <c r="AR20"/>
      <c r="AS20"/>
      <c r="AT20"/>
      <c r="AU20" s="10"/>
      <c r="AV20" s="10"/>
      <c r="AW20" s="10"/>
      <c r="AX20" s="2"/>
      <c r="AY20" s="1"/>
      <c r="AZ20" s="1"/>
      <c r="BA20" s="10"/>
      <c r="BB20" s="10"/>
      <c r="BC20" s="10"/>
      <c r="BD20" s="1"/>
      <c r="BE20" s="1"/>
      <c r="BF20"/>
      <c r="BI20" s="10">
        <v>55</v>
      </c>
      <c r="BJ20" s="10">
        <v>22</v>
      </c>
      <c r="BK20" s="10">
        <v>22</v>
      </c>
      <c r="BL20" s="10">
        <v>24</v>
      </c>
      <c r="BM20" s="10">
        <v>24</v>
      </c>
      <c r="BN20" s="1"/>
      <c r="BO20" s="10"/>
      <c r="BP20" s="10"/>
      <c r="BQ20" s="10"/>
      <c r="BR20" s="10"/>
      <c r="BS20" s="10"/>
      <c r="BT20"/>
    </row>
    <row r="21" spans="2:72" x14ac:dyDescent="0.3">
      <c r="B21" s="97">
        <v>3</v>
      </c>
      <c r="C21" s="184"/>
      <c r="D21" s="184"/>
      <c r="E21" s="17" t="str">
        <f>IF(AND(D21&gt;=C21,C21&lt;C12,D21&lt;&gt;0),F21,"")</f>
        <v/>
      </c>
      <c r="F21" s="181">
        <f>IF(D21&gt;C12,1,(D21-C21)/(C12-C21))</f>
        <v>0</v>
      </c>
      <c r="G21" s="184"/>
      <c r="H21" s="184"/>
      <c r="I21" s="184"/>
      <c r="J21" s="17" t="str">
        <f>IF(AND(I21&lt;=G21,G21&gt;H12,I21&lt;&gt;0),K21,"")</f>
        <v/>
      </c>
      <c r="K21" s="182" t="e">
        <f>IF(I21&lt;H12,1,(G21-I21)/(G21-H12)*(H21/H29))</f>
        <v>#DIV/0!</v>
      </c>
      <c r="L21" s="98"/>
      <c r="M21" s="132"/>
      <c r="N21" s="131"/>
      <c r="S21" s="1"/>
      <c r="T21" s="1"/>
      <c r="U21" s="1"/>
      <c r="V21" s="1"/>
      <c r="W21" s="1"/>
      <c r="X21" s="1"/>
      <c r="Y21" s="1"/>
      <c r="Z21" s="10"/>
      <c r="AA21" s="1"/>
      <c r="AB21" s="10"/>
      <c r="AC21" s="1"/>
      <c r="AD21" s="1"/>
      <c r="AE21" s="1"/>
      <c r="AF21" s="1"/>
      <c r="AI21"/>
      <c r="AJ21"/>
      <c r="AK21"/>
      <c r="AL21"/>
      <c r="AM21" s="291" t="str">
        <f>IF(Geometry!P44&gt;=2001,AN21,"")</f>
        <v/>
      </c>
      <c r="AN21" s="291">
        <f>IF(AI19&lt;22,6,AO21)</f>
        <v>6</v>
      </c>
      <c r="AO21" s="291">
        <f>IF(AI19&lt;=24,3,AP21)</f>
        <v>3</v>
      </c>
      <c r="AP21" s="291" t="str">
        <f>IF(AI19&gt;24,0,"")</f>
        <v/>
      </c>
      <c r="AQ21"/>
      <c r="AR21"/>
      <c r="AS21"/>
      <c r="AT21"/>
      <c r="AU21" s="287"/>
      <c r="AV21" s="291"/>
      <c r="AW21" s="291"/>
      <c r="AX21" s="291"/>
      <c r="AY21" s="291"/>
      <c r="AZ21" s="287"/>
      <c r="BA21" s="291"/>
      <c r="BB21" s="291"/>
      <c r="BC21" s="291"/>
      <c r="BD21" s="287"/>
      <c r="BE21" s="1"/>
      <c r="BF21"/>
      <c r="BI21" s="10">
        <v>60</v>
      </c>
      <c r="BJ21" s="10">
        <v>24</v>
      </c>
      <c r="BK21" s="10">
        <v>24</v>
      </c>
      <c r="BL21" s="10">
        <v>24</v>
      </c>
      <c r="BM21" s="10">
        <v>24</v>
      </c>
      <c r="BN21" s="1"/>
      <c r="BO21" s="10"/>
      <c r="BP21" s="10"/>
      <c r="BQ21" s="10"/>
      <c r="BR21" s="10"/>
      <c r="BS21" s="10"/>
      <c r="BT21"/>
    </row>
    <row r="22" spans="2:72" x14ac:dyDescent="0.3">
      <c r="B22" s="97">
        <v>4</v>
      </c>
      <c r="C22" s="184"/>
      <c r="D22" s="184"/>
      <c r="E22" s="17" t="str">
        <f>IF(AND(D22&gt;=C22,C22&lt;C12,D22&lt;&gt;0),F22,"")</f>
        <v/>
      </c>
      <c r="F22" s="181">
        <f>IF(D22&gt;C12,1,(D22-C22)/(C12-C22))</f>
        <v>0</v>
      </c>
      <c r="G22" s="184"/>
      <c r="H22" s="184"/>
      <c r="I22" s="184"/>
      <c r="J22" s="17" t="str">
        <f>IF(AND(I22&lt;=G22,G22&gt;H12,I22&lt;&gt;0),K22,"")</f>
        <v/>
      </c>
      <c r="K22" s="182" t="e">
        <f>IF(I22&lt;H12,1,(G22-I22)/(G22-H12)*(H22/H29))</f>
        <v>#DIV/0!</v>
      </c>
      <c r="L22" s="98"/>
      <c r="M22" s="132"/>
      <c r="N22" s="131"/>
      <c r="S22" s="1"/>
      <c r="T22" s="1"/>
      <c r="U22" s="1"/>
      <c r="V22" s="1"/>
      <c r="W22" s="1"/>
      <c r="X22" s="1"/>
      <c r="Y22" s="1"/>
      <c r="Z22" s="10"/>
      <c r="AA22" s="1"/>
      <c r="AB22" s="10"/>
      <c r="AC22" s="1"/>
      <c r="AD22" s="1"/>
      <c r="AE22" s="1"/>
      <c r="AF22" s="1"/>
      <c r="AI22"/>
      <c r="AJ22"/>
      <c r="AK22"/>
      <c r="AL22"/>
      <c r="AM22" s="292"/>
      <c r="AN22" s="292"/>
      <c r="AO22" s="292"/>
      <c r="AP22" s="292"/>
      <c r="AQ22"/>
      <c r="AR22"/>
      <c r="AS22"/>
      <c r="AT22"/>
      <c r="AU22" s="290"/>
      <c r="AV22" s="287" t="s">
        <v>240</v>
      </c>
      <c r="AW22" s="291"/>
      <c r="AX22" s="291"/>
      <c r="AY22" s="291"/>
      <c r="AZ22" s="288">
        <f>IF(OR(AV9=7,AV9=8),AU27,BA27)</f>
        <v>4</v>
      </c>
      <c r="BA22" s="287" t="s">
        <v>241</v>
      </c>
      <c r="BB22" s="291"/>
      <c r="BC22" s="291"/>
      <c r="BD22" s="287"/>
      <c r="BE22" s="1"/>
      <c r="BF22"/>
      <c r="BI22" s="10">
        <v>65</v>
      </c>
      <c r="BJ22" s="10">
        <v>24</v>
      </c>
      <c r="BK22" s="10">
        <v>24</v>
      </c>
      <c r="BL22" s="10">
        <v>24</v>
      </c>
      <c r="BM22" s="10">
        <v>24</v>
      </c>
      <c r="BN22" s="1"/>
      <c r="BO22" s="10"/>
      <c r="BP22" s="10"/>
      <c r="BQ22" s="10"/>
      <c r="BR22" s="10"/>
      <c r="BS22" s="10"/>
      <c r="BT22"/>
    </row>
    <row r="23" spans="2:72" x14ac:dyDescent="0.3">
      <c r="B23" s="97">
        <v>5</v>
      </c>
      <c r="C23" s="184"/>
      <c r="D23" s="184"/>
      <c r="E23" s="17" t="str">
        <f>IF(AND(D23&gt;=C23,C23&lt;C12,D23&lt;&gt;0),F23,"")</f>
        <v/>
      </c>
      <c r="F23" s="181">
        <f>IF(D23&gt;C12,1,(D23-C23)/(C12-C23))</f>
        <v>0</v>
      </c>
      <c r="G23" s="184"/>
      <c r="H23" s="184"/>
      <c r="I23" s="184"/>
      <c r="J23" s="17" t="str">
        <f>IF(AND(I23&lt;=G23,G23&gt;H12,I23&lt;&gt;0),K23,"")</f>
        <v/>
      </c>
      <c r="K23" s="182" t="e">
        <f>IF(I23&lt;H12,1,(G23-I23)/(G23-H12)*(H23/H29))</f>
        <v>#DIV/0!</v>
      </c>
      <c r="L23" s="98"/>
      <c r="M23" s="132"/>
      <c r="N23" s="131"/>
      <c r="S23" s="1"/>
      <c r="T23"/>
      <c r="U23" s="251"/>
      <c r="V23" s="251" t="s">
        <v>93</v>
      </c>
      <c r="W23" s="251"/>
      <c r="X23" s="252"/>
      <c r="Y23" s="251"/>
      <c r="Z23" s="10"/>
      <c r="AA23" s="251"/>
      <c r="AB23" s="251" t="s">
        <v>94</v>
      </c>
      <c r="AC23" s="251"/>
      <c r="AD23" s="251"/>
      <c r="AE23" s="251"/>
      <c r="AF23" s="1"/>
      <c r="AI23"/>
      <c r="AJ23"/>
      <c r="AK23"/>
      <c r="AL23"/>
      <c r="AM23" s="292"/>
      <c r="AN23" s="300" t="s">
        <v>214</v>
      </c>
      <c r="AO23" s="300"/>
      <c r="AP23" s="292"/>
      <c r="AQ23"/>
      <c r="AR23"/>
      <c r="AS23"/>
      <c r="AT23"/>
      <c r="AU23" s="290"/>
      <c r="AV23" s="287"/>
      <c r="AW23" s="287"/>
      <c r="AX23" s="287"/>
      <c r="AY23" s="290"/>
      <c r="AZ23" s="287"/>
      <c r="BA23" s="291"/>
      <c r="BB23" s="291"/>
      <c r="BC23" s="291"/>
      <c r="BD23" s="287"/>
      <c r="BE23" s="1"/>
      <c r="BF23"/>
      <c r="BI23" s="10">
        <v>70</v>
      </c>
      <c r="BJ23" s="10">
        <v>24</v>
      </c>
      <c r="BK23" s="10">
        <v>24</v>
      </c>
      <c r="BL23" s="10">
        <v>24</v>
      </c>
      <c r="BM23" s="10">
        <v>24</v>
      </c>
      <c r="BN23" s="1"/>
      <c r="BO23" s="10"/>
      <c r="BP23" s="10"/>
      <c r="BQ23" s="10"/>
      <c r="BR23" s="10"/>
      <c r="BS23" s="10"/>
      <c r="BT23"/>
    </row>
    <row r="24" spans="2:72" x14ac:dyDescent="0.3">
      <c r="B24" s="97">
        <v>6</v>
      </c>
      <c r="C24" s="184"/>
      <c r="D24" s="184"/>
      <c r="E24" s="17" t="str">
        <f>IF(AND(D24&gt;=C24,C24&lt;C12,D24&lt;&gt;0),F24,"")</f>
        <v/>
      </c>
      <c r="F24" s="181">
        <f>IF(D24&gt;C12,1,(D24-C24)/(C12-C24))</f>
        <v>0</v>
      </c>
      <c r="G24" s="184"/>
      <c r="H24" s="184"/>
      <c r="I24" s="184"/>
      <c r="J24" s="17" t="str">
        <f>IF(AND(I24&lt;=G24,G24&gt;H12,I24&lt;&gt;0),K24,"")</f>
        <v/>
      </c>
      <c r="K24" s="182" t="e">
        <f>IF(I24&lt;H12,1,(G24-I24)/(G24-H12)*(H24/H29))</f>
        <v>#DIV/0!</v>
      </c>
      <c r="L24" s="98"/>
      <c r="M24" s="132"/>
      <c r="N24" s="131"/>
      <c r="S24" s="1"/>
      <c r="T24" s="1"/>
      <c r="U24" s="1"/>
      <c r="V24" s="1"/>
      <c r="W24" s="1"/>
      <c r="X24" s="1"/>
      <c r="Y24" s="1"/>
      <c r="Z24" s="10"/>
      <c r="AA24" s="1"/>
      <c r="AB24" s="10"/>
      <c r="AC24" s="1"/>
      <c r="AD24" s="1"/>
      <c r="AE24" s="1"/>
      <c r="AF24" s="1"/>
      <c r="AI24"/>
      <c r="AJ24"/>
      <c r="AK24"/>
      <c r="AL24"/>
      <c r="AM24" s="292"/>
      <c r="AN24" s="291"/>
      <c r="AO24" s="291"/>
      <c r="AP24" s="291"/>
      <c r="AQ24"/>
      <c r="AR24"/>
      <c r="AS24"/>
      <c r="AT24"/>
      <c r="AU24" s="287"/>
      <c r="AV24" s="443" t="s">
        <v>234</v>
      </c>
      <c r="AW24" s="444"/>
      <c r="AX24" s="287"/>
      <c r="AY24" s="287"/>
      <c r="AZ24" s="287"/>
      <c r="BA24" s="443" t="s">
        <v>235</v>
      </c>
      <c r="BB24" s="443"/>
      <c r="BC24" s="443"/>
      <c r="BD24" s="445"/>
      <c r="BE24" s="1"/>
      <c r="BF24"/>
      <c r="BI24" s="10">
        <v>75</v>
      </c>
      <c r="BJ24" s="10">
        <v>24</v>
      </c>
      <c r="BK24" s="10">
        <v>24</v>
      </c>
      <c r="BL24" s="10">
        <v>24</v>
      </c>
      <c r="BM24" s="10">
        <v>24</v>
      </c>
      <c r="BN24" s="1"/>
      <c r="BO24" s="10"/>
      <c r="BP24" s="10"/>
      <c r="BQ24" s="10"/>
      <c r="BR24" s="10"/>
      <c r="BS24" s="10"/>
      <c r="BT24"/>
    </row>
    <row r="25" spans="2:72" x14ac:dyDescent="0.3">
      <c r="B25" s="97">
        <v>7</v>
      </c>
      <c r="C25" s="184"/>
      <c r="D25" s="184"/>
      <c r="E25" s="17" t="str">
        <f>IF(AND(D25&gt;=C25,C25&lt;C12,D25&lt;&gt;0),F25,"")</f>
        <v/>
      </c>
      <c r="F25" s="181">
        <f>IF(D25&gt;C12,1,(D25-C25)/(C12-C25))</f>
        <v>0</v>
      </c>
      <c r="G25" s="184"/>
      <c r="H25" s="184"/>
      <c r="I25" s="184"/>
      <c r="J25" s="17" t="str">
        <f>IF(AND(I25&lt;=G25,G25&gt;H12,I25&lt;&gt;0),K25,"")</f>
        <v/>
      </c>
      <c r="K25" s="182" t="e">
        <f>IF(I25&lt;H12,1,(G25-I25)/(G25-H12)*(H25/H29))</f>
        <v>#DIV/0!</v>
      </c>
      <c r="L25" s="98"/>
      <c r="M25" s="132"/>
      <c r="N25" s="131"/>
      <c r="S25" s="301" t="s">
        <v>24</v>
      </c>
      <c r="T25" s="301"/>
      <c r="U25" s="301" t="s">
        <v>95</v>
      </c>
      <c r="V25" s="301"/>
      <c r="W25" s="302" t="s">
        <v>96</v>
      </c>
      <c r="X25" s="301" t="s">
        <v>97</v>
      </c>
      <c r="Y25" s="303"/>
      <c r="Z25" s="302"/>
      <c r="AA25" s="301" t="s">
        <v>95</v>
      </c>
      <c r="AB25" s="301"/>
      <c r="AC25" s="302" t="s">
        <v>96</v>
      </c>
      <c r="AD25" s="301" t="s">
        <v>97</v>
      </c>
      <c r="AE25" s="303"/>
      <c r="AF25"/>
      <c r="AI25"/>
      <c r="AJ25"/>
      <c r="AK25"/>
      <c r="AL25"/>
      <c r="AM25" s="288">
        <f>IF(Geometry!P44&lt;400,AN25,AM26)</f>
        <v>4</v>
      </c>
      <c r="AN25" s="299">
        <f>IF(AI20&lt;2,4,AO25)</f>
        <v>4</v>
      </c>
      <c r="AO25" s="299">
        <f>IF(AI20&lt;=3,2,AP25)</f>
        <v>2</v>
      </c>
      <c r="AP25" s="299" t="str">
        <f>IF(AI20&gt;3,0,"")</f>
        <v/>
      </c>
      <c r="AQ25"/>
      <c r="AR25"/>
      <c r="AS25"/>
      <c r="AT25"/>
      <c r="AU25" s="287"/>
      <c r="AV25" s="291"/>
      <c r="AW25" s="291"/>
      <c r="AX25" s="291"/>
      <c r="AY25" s="291"/>
      <c r="AZ25" s="291"/>
      <c r="BA25" s="291"/>
      <c r="BB25" s="291"/>
      <c r="BC25" s="291"/>
      <c r="BD25" s="287"/>
      <c r="BE25" s="1"/>
      <c r="BF25"/>
      <c r="BI25"/>
      <c r="BJ25"/>
      <c r="BK25"/>
      <c r="BL25"/>
      <c r="BM25"/>
      <c r="BN25"/>
      <c r="BO25"/>
      <c r="BP25"/>
      <c r="BQ25"/>
      <c r="BR25"/>
      <c r="BS25"/>
      <c r="BT25"/>
    </row>
    <row r="26" spans="2:72" x14ac:dyDescent="0.3">
      <c r="B26" s="97">
        <v>8</v>
      </c>
      <c r="C26" s="184"/>
      <c r="D26" s="184"/>
      <c r="E26" s="17" t="str">
        <f>IF(AND(D26&gt;=C26,C26&lt;C12,D26&lt;&gt;0),F26,"")</f>
        <v/>
      </c>
      <c r="F26" s="181">
        <f>IF(D26&gt;C12,1,(D26-C26)/(C12-C26))</f>
        <v>0</v>
      </c>
      <c r="G26" s="184"/>
      <c r="H26" s="184"/>
      <c r="I26" s="184"/>
      <c r="J26" s="17" t="str">
        <f>IF(AND(I26&lt;=G26,G26&gt;H12,I26&lt;&gt;0),K26,"")</f>
        <v/>
      </c>
      <c r="K26" s="182" t="e">
        <f>IF(I26&lt;H12,1,(G26-I26)/(G26-H12)*(H26/H29))</f>
        <v>#DIV/0!</v>
      </c>
      <c r="L26" s="98"/>
      <c r="M26" s="132"/>
      <c r="N26" s="131"/>
      <c r="S26" s="1" t="s">
        <v>98</v>
      </c>
      <c r="T26"/>
      <c r="U26" s="303"/>
      <c r="V26" s="303"/>
      <c r="W26" s="1"/>
      <c r="X26" s="303"/>
      <c r="Y26" s="303"/>
      <c r="Z26" s="10"/>
      <c r="AA26" s="303"/>
      <c r="AB26" s="303"/>
      <c r="AC26" s="1"/>
      <c r="AD26" s="303"/>
      <c r="AE26" s="303"/>
      <c r="AF26" s="1"/>
      <c r="AI26"/>
      <c r="AJ26"/>
      <c r="AK26"/>
      <c r="AL26"/>
      <c r="AM26" s="291">
        <f>IF(Geometry!P44&lt;2001,AN26,AM27)</f>
        <v>4</v>
      </c>
      <c r="AN26" s="299">
        <f>IF(AI20&lt;4,4,AO25)</f>
        <v>4</v>
      </c>
      <c r="AO26" s="299">
        <f>IF(AI20&lt;=6,2,AP25)</f>
        <v>2</v>
      </c>
      <c r="AP26" s="299" t="str">
        <f>IF(AI20&gt;6,0,"")</f>
        <v/>
      </c>
      <c r="AQ26"/>
      <c r="AR26"/>
      <c r="AS26"/>
      <c r="AT26"/>
      <c r="AU26" s="295" t="s">
        <v>62</v>
      </c>
      <c r="AV26" s="295" t="s">
        <v>236</v>
      </c>
      <c r="AW26" s="295" t="s">
        <v>237</v>
      </c>
      <c r="AX26" s="295" t="s">
        <v>64</v>
      </c>
      <c r="AY26" s="287"/>
      <c r="AZ26" s="291"/>
      <c r="BA26" s="295" t="s">
        <v>62</v>
      </c>
      <c r="BB26" s="295" t="s">
        <v>236</v>
      </c>
      <c r="BC26" s="295" t="s">
        <v>64</v>
      </c>
      <c r="BD26" s="287"/>
      <c r="BE26" s="1"/>
      <c r="BF26"/>
      <c r="BI26"/>
      <c r="BJ26"/>
      <c r="BK26"/>
      <c r="BL26"/>
      <c r="BM26"/>
      <c r="BN26"/>
      <c r="BO26"/>
      <c r="BP26"/>
      <c r="BQ26"/>
      <c r="BR26"/>
      <c r="BS26"/>
      <c r="BT26"/>
    </row>
    <row r="27" spans="2:72" x14ac:dyDescent="0.3">
      <c r="B27" s="97">
        <v>9</v>
      </c>
      <c r="C27" s="184"/>
      <c r="D27" s="184"/>
      <c r="E27" s="17" t="str">
        <f>IF(AND(D27&gt;=C27,C27&lt;C12,D27&lt;&gt;0),F27,"")</f>
        <v/>
      </c>
      <c r="F27" s="181">
        <f>IF(D27&gt;C12,1,(D27-C27)/(C12-C27))</f>
        <v>0</v>
      </c>
      <c r="G27" s="184"/>
      <c r="H27" s="184"/>
      <c r="I27" s="184"/>
      <c r="J27" s="17" t="str">
        <f>IF(AND(I27&lt;=G27,G27&gt;H12,I27&lt;&gt;0),K27,"")</f>
        <v/>
      </c>
      <c r="K27" s="182" t="e">
        <f>IF(I27&lt;H12,1,(G27-I27)/(G27-H12)*(H27/H29))</f>
        <v>#DIV/0!</v>
      </c>
      <c r="L27" s="98"/>
      <c r="M27" s="132"/>
      <c r="N27" s="131"/>
      <c r="S27" s="303" t="s">
        <v>78</v>
      </c>
      <c r="T27" s="303"/>
      <c r="U27" s="303" t="s">
        <v>99</v>
      </c>
      <c r="V27" s="303"/>
      <c r="W27" s="1" t="s">
        <v>100</v>
      </c>
      <c r="X27" s="303" t="s">
        <v>101</v>
      </c>
      <c r="Y27" s="303"/>
      <c r="Z27" s="10"/>
      <c r="AA27" s="303" t="s">
        <v>102</v>
      </c>
      <c r="AB27" s="303"/>
      <c r="AC27" s="10" t="s">
        <v>103</v>
      </c>
      <c r="AD27" s="303" t="s">
        <v>104</v>
      </c>
      <c r="AE27" s="303"/>
      <c r="AF27" s="1"/>
      <c r="AI27"/>
      <c r="AJ27"/>
      <c r="AK27"/>
      <c r="AL27"/>
      <c r="AM27" s="291" t="str">
        <f>IF(Geometry!P44&gt;=2001,AN27,"")</f>
        <v/>
      </c>
      <c r="AN27" s="291">
        <f>IF(AI20&lt;6,4,AO27)</f>
        <v>4</v>
      </c>
      <c r="AO27" s="291">
        <f>IF(AI20&lt;=8,2,AP27)</f>
        <v>2</v>
      </c>
      <c r="AP27" s="291" t="str">
        <f>IF(AI20&gt;8,0,"")</f>
        <v/>
      </c>
      <c r="AQ27"/>
      <c r="AR27"/>
      <c r="AS27"/>
      <c r="AT27"/>
      <c r="AU27" s="291">
        <f>IF('Traffic &amp; Accidents'!D8&lt;400,2,AV27)</f>
        <v>2</v>
      </c>
      <c r="AV27" s="291">
        <f>IF('Traffic &amp; Accidents'!D8&lt;1501,4,AW27)</f>
        <v>4</v>
      </c>
      <c r="AW27" s="291">
        <f>IF('Traffic &amp; Accidents'!D8&lt;2001,6,AX27)</f>
        <v>6</v>
      </c>
      <c r="AX27" s="291">
        <f>IF('Traffic &amp; Accidents'!D8&gt;2000,8,0)</f>
        <v>0</v>
      </c>
      <c r="AY27" s="287"/>
      <c r="AZ27" s="291"/>
      <c r="BA27" s="291">
        <f>IF('Traffic &amp; Accidents'!D8&lt;400,4,BB27)</f>
        <v>4</v>
      </c>
      <c r="BB27" s="291">
        <f>IF('Traffic &amp; Accidents'!D8&lt;2001,6,BC27)</f>
        <v>6</v>
      </c>
      <c r="BC27" s="291">
        <f>IF('Traffic &amp; Accidents'!D8&gt;2000,8,0)</f>
        <v>0</v>
      </c>
      <c r="BD27" s="287"/>
      <c r="BE27" s="1"/>
      <c r="BF27"/>
      <c r="BI27"/>
      <c r="BJ27"/>
      <c r="BK27"/>
      <c r="BL27"/>
      <c r="BM27"/>
      <c r="BN27"/>
      <c r="BO27"/>
      <c r="BP27"/>
      <c r="BQ27"/>
      <c r="BR27"/>
      <c r="BS27"/>
      <c r="BT27"/>
    </row>
    <row r="28" spans="2:72" x14ac:dyDescent="0.3">
      <c r="B28" s="100">
        <v>10</v>
      </c>
      <c r="C28" s="184"/>
      <c r="D28" s="184"/>
      <c r="E28" s="17" t="str">
        <f>IF(AND(D28&gt;=C28,C28&lt;C12,D28&lt;&gt;0),F28,"")</f>
        <v/>
      </c>
      <c r="F28" s="181">
        <f>IF(D28&gt;C12,1,(D28-C28)/(C12-C28))</f>
        <v>0</v>
      </c>
      <c r="G28" s="184"/>
      <c r="H28" s="184"/>
      <c r="I28" s="184"/>
      <c r="J28" s="17" t="str">
        <f>IF(AND(I28&lt;=G28,G28&gt;H12,I28&lt;&gt;0),K28,"")</f>
        <v/>
      </c>
      <c r="K28" s="182" t="e">
        <f>IF(I28&lt;H12,1,(G28-I28)/(G28-H12)*(H28/H29))</f>
        <v>#DIV/0!</v>
      </c>
      <c r="L28" s="98"/>
      <c r="M28" s="132"/>
      <c r="N28" s="131"/>
      <c r="S28" s="303" t="s">
        <v>63</v>
      </c>
      <c r="T28" s="303"/>
      <c r="U28" s="303" t="s">
        <v>99</v>
      </c>
      <c r="V28" s="303"/>
      <c r="W28" s="1" t="s">
        <v>100</v>
      </c>
      <c r="X28" s="303" t="s">
        <v>101</v>
      </c>
      <c r="Y28" s="303"/>
      <c r="Z28"/>
      <c r="AA28" s="303" t="s">
        <v>105</v>
      </c>
      <c r="AB28" s="303"/>
      <c r="AC28" s="10" t="s">
        <v>106</v>
      </c>
      <c r="AD28" s="303" t="s">
        <v>107</v>
      </c>
      <c r="AE28" s="303"/>
      <c r="AF28" s="1"/>
      <c r="AI28"/>
      <c r="AJ28"/>
      <c r="AK28"/>
      <c r="AL28"/>
      <c r="AM28"/>
      <c r="AN28"/>
      <c r="AO28"/>
      <c r="AP28"/>
      <c r="AQ28"/>
      <c r="AR28"/>
      <c r="AS28"/>
      <c r="AT28"/>
      <c r="AU28" s="287"/>
      <c r="AV28" s="287"/>
      <c r="AW28" s="287"/>
      <c r="AX28" s="291"/>
      <c r="AY28" s="291"/>
      <c r="AZ28" s="291"/>
      <c r="BA28" s="291"/>
      <c r="BB28" s="291"/>
      <c r="BC28" s="291"/>
      <c r="BD28" s="287"/>
      <c r="BE28" s="1"/>
      <c r="BF28"/>
      <c r="BI28"/>
      <c r="BJ28"/>
      <c r="BK28"/>
      <c r="BL28"/>
      <c r="BM28"/>
      <c r="BN28"/>
      <c r="BO28"/>
      <c r="BP28"/>
      <c r="BQ28"/>
      <c r="BR28"/>
      <c r="BS28"/>
      <c r="BT28"/>
    </row>
    <row r="29" spans="2:72" x14ac:dyDescent="0.3">
      <c r="B29" s="78"/>
      <c r="C29" s="10"/>
      <c r="D29" s="2" t="s">
        <v>260</v>
      </c>
      <c r="E29" s="101">
        <f>IF(SUM(F19:F28)=0,0,AVERAGE(E19:E28))</f>
        <v>0</v>
      </c>
      <c r="F29" s="10"/>
      <c r="G29" s="10"/>
      <c r="H29" s="10">
        <f>SUM(H19:H28)</f>
        <v>0</v>
      </c>
      <c r="I29" s="2" t="s">
        <v>266</v>
      </c>
      <c r="J29" s="18">
        <f>IF(SUM(J19:J28)=0,0.0000001,(SUM(J19:J28)))</f>
        <v>9.9999999999999995E-8</v>
      </c>
      <c r="K29"/>
      <c r="L29" s="102"/>
      <c r="N29" s="130"/>
      <c r="P29" s="126" t="s">
        <v>250</v>
      </c>
      <c r="S29" s="303" t="s">
        <v>79</v>
      </c>
      <c r="T29" s="303"/>
      <c r="U29" s="303" t="s">
        <v>108</v>
      </c>
      <c r="V29" s="303"/>
      <c r="W29" s="1" t="s">
        <v>109</v>
      </c>
      <c r="X29" s="303" t="s">
        <v>110</v>
      </c>
      <c r="Y29" s="303"/>
      <c r="Z29"/>
      <c r="AA29" s="303" t="s">
        <v>111</v>
      </c>
      <c r="AB29" s="303"/>
      <c r="AC29" s="10" t="s">
        <v>112</v>
      </c>
      <c r="AD29" s="303" t="s">
        <v>113</v>
      </c>
      <c r="AE29" s="303"/>
      <c r="AF29" s="1"/>
      <c r="AI29"/>
      <c r="AJ29"/>
      <c r="AK29"/>
      <c r="AL29"/>
      <c r="AM29"/>
      <c r="AN29"/>
      <c r="AO29"/>
      <c r="AP29"/>
      <c r="AQ29"/>
      <c r="AR29"/>
      <c r="AS29"/>
      <c r="AT29"/>
      <c r="AU29" s="287"/>
      <c r="AV29" s="287"/>
      <c r="AW29" s="287"/>
      <c r="AX29" s="291"/>
      <c r="AY29" s="291"/>
      <c r="AZ29" s="291"/>
      <c r="BA29" s="291"/>
      <c r="BB29" s="291"/>
      <c r="BC29" s="291"/>
      <c r="BD29" s="287"/>
      <c r="BE29" s="1"/>
      <c r="BF29"/>
    </row>
    <row r="30" spans="2:72" x14ac:dyDescent="0.3">
      <c r="B30" s="78"/>
      <c r="C30" s="10"/>
      <c r="D30" s="2"/>
      <c r="E30" s="101"/>
      <c r="F30" s="10"/>
      <c r="G30" s="10"/>
      <c r="H30" s="10"/>
      <c r="I30" s="2"/>
      <c r="J30" s="18"/>
      <c r="K30" s="10" t="s">
        <v>298</v>
      </c>
      <c r="L30" s="102"/>
      <c r="N30" s="130"/>
      <c r="P30" s="200" t="s">
        <v>249</v>
      </c>
      <c r="S30" s="1"/>
      <c r="T30" s="1" t="s">
        <v>98</v>
      </c>
      <c r="U30" s="1"/>
      <c r="V30" s="1"/>
      <c r="W30" s="1"/>
      <c r="X30" s="1"/>
      <c r="Y30" s="1"/>
      <c r="Z30" s="10"/>
      <c r="AA30" s="1"/>
      <c r="AB30" s="10"/>
      <c r="AC30" s="1"/>
      <c r="AD30" s="1"/>
      <c r="AE30" s="1"/>
      <c r="AF30" s="1"/>
      <c r="AI30"/>
      <c r="AJ30"/>
      <c r="AK30"/>
      <c r="AL30"/>
      <c r="AM30"/>
      <c r="AN30"/>
      <c r="AO30"/>
      <c r="AP30"/>
      <c r="AQ30"/>
      <c r="AR30"/>
      <c r="AS30"/>
      <c r="AT30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/>
    </row>
    <row r="31" spans="2:72" x14ac:dyDescent="0.3">
      <c r="B31" s="78"/>
      <c r="C31" s="39" t="s">
        <v>262</v>
      </c>
      <c r="D31"/>
      <c r="E31"/>
      <c r="F31"/>
      <c r="G31"/>
      <c r="H31"/>
      <c r="I31"/>
      <c r="J31"/>
      <c r="K31" s="25">
        <f>SUM(O31,O32)</f>
        <v>0</v>
      </c>
      <c r="L31" s="79"/>
      <c r="N31" s="130"/>
      <c r="O31" s="202">
        <f>IF(Geometry!G33&lt;Geometry!H33,P31,Geometry!AB33)</f>
        <v>0</v>
      </c>
      <c r="P31" s="202">
        <f>Geometry!AB33*((Geometry!G33-Geometry!E33)/(Geometry!H33-Geometry!E33))</f>
        <v>0</v>
      </c>
      <c r="S31" s="1"/>
      <c r="T31" s="1"/>
      <c r="U31" s="1"/>
      <c r="V31" s="1"/>
      <c r="W31" s="1"/>
      <c r="X31" s="1"/>
      <c r="Y31" s="1"/>
      <c r="Z31" s="10"/>
      <c r="AA31" s="1"/>
      <c r="AB31" s="10"/>
      <c r="AC31" s="1"/>
      <c r="AD31" s="1" t="s">
        <v>114</v>
      </c>
      <c r="AE31" s="1" t="s">
        <v>115</v>
      </c>
      <c r="AF31" s="1"/>
      <c r="AI31"/>
      <c r="AJ31"/>
      <c r="AK31"/>
      <c r="AL31"/>
      <c r="AM31"/>
      <c r="AN31"/>
      <c r="AO31"/>
      <c r="AP31"/>
      <c r="AQ31"/>
      <c r="AR31"/>
      <c r="AS31"/>
      <c r="AT3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/>
    </row>
    <row r="32" spans="2:72" x14ac:dyDescent="0.3">
      <c r="B32" s="78"/>
      <c r="C32"/>
      <c r="D32"/>
      <c r="E32" s="144" t="s">
        <v>264</v>
      </c>
      <c r="F32" s="144"/>
      <c r="G32" s="178" t="s">
        <v>263</v>
      </c>
      <c r="H32" s="144" t="s">
        <v>299</v>
      </c>
      <c r="I32"/>
      <c r="J32"/>
      <c r="K32" s="144"/>
      <c r="L32" s="79"/>
      <c r="N32" s="130"/>
      <c r="O32" s="202">
        <f>IF(Geometry!G34&lt;Geometry!H34,P32,Geometry!AB35)</f>
        <v>0</v>
      </c>
      <c r="P32" s="206">
        <f>Geometry!AB35*((Geometry!G34-Geometry!E34)/(Geometry!H34-Geometry!E34))</f>
        <v>0</v>
      </c>
      <c r="S32" s="1"/>
      <c r="T32" s="1"/>
      <c r="U32" s="1"/>
      <c r="V32" s="1"/>
      <c r="W32" s="1"/>
      <c r="X32" s="1"/>
      <c r="Y32" s="1"/>
      <c r="Z32" s="10"/>
      <c r="AA32" s="1"/>
      <c r="AB32" s="10"/>
      <c r="AC32" s="1"/>
      <c r="AD32" s="1"/>
      <c r="AE32" s="1"/>
      <c r="AF32" s="1"/>
      <c r="AI32"/>
      <c r="AJ32"/>
      <c r="AK32"/>
      <c r="AL32"/>
      <c r="AM32"/>
      <c r="AN32"/>
      <c r="AO32"/>
      <c r="AP32"/>
      <c r="AQ32"/>
      <c r="AR32"/>
      <c r="AS32"/>
      <c r="AT32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/>
    </row>
    <row r="33" spans="2:58" x14ac:dyDescent="0.3">
      <c r="B33" s="78"/>
      <c r="C33"/>
      <c r="D33" s="145" t="s">
        <v>281</v>
      </c>
      <c r="E33" s="184"/>
      <c r="F33" s="10"/>
      <c r="G33" s="185"/>
      <c r="H33" s="207">
        <f>Geometry!AZ12</f>
        <v>22</v>
      </c>
      <c r="I33" s="42" t="str">
        <f>IF(AND(G33&lt;&gt;0,G33&lt;H33),"May require WSDOT Approval","")</f>
        <v/>
      </c>
      <c r="J33"/>
      <c r="K33" s="112"/>
      <c r="L33" s="79"/>
      <c r="N33" s="130"/>
      <c r="S33" s="1"/>
      <c r="T33"/>
      <c r="U33" s="1"/>
      <c r="V33" s="1" t="s">
        <v>123</v>
      </c>
      <c r="W33" s="1"/>
      <c r="X33" s="1"/>
      <c r="Y33" s="10">
        <f>Geometry!AI19</f>
        <v>0</v>
      </c>
      <c r="Z33" s="10"/>
      <c r="AA33"/>
      <c r="AB33" s="22">
        <f>Geometry!AM19</f>
        <v>6</v>
      </c>
      <c r="AC33" s="1" t="s">
        <v>116</v>
      </c>
      <c r="AD33" s="1"/>
      <c r="AE33" s="1"/>
      <c r="AF33" s="1"/>
      <c r="AI33"/>
      <c r="AJ33"/>
      <c r="AK33"/>
      <c r="AL33"/>
      <c r="AM33"/>
      <c r="AN33"/>
      <c r="AO33"/>
      <c r="AP33"/>
      <c r="AQ33"/>
      <c r="AR33"/>
      <c r="AS33"/>
      <c r="AT33"/>
      <c r="AU33" s="1"/>
      <c r="AV33" s="1"/>
      <c r="AW33" s="1"/>
      <c r="AX33" s="442" t="s">
        <v>242</v>
      </c>
      <c r="AY33" s="442"/>
      <c r="AZ33" s="442"/>
      <c r="BA33" s="442"/>
      <c r="BB33" s="1"/>
      <c r="BC33" s="1"/>
      <c r="BD33" s="1"/>
      <c r="BE33" s="1"/>
      <c r="BF33"/>
    </row>
    <row r="34" spans="2:58" x14ac:dyDescent="0.3">
      <c r="B34" s="78"/>
      <c r="C34"/>
      <c r="D34" s="27" t="s">
        <v>248</v>
      </c>
      <c r="E34" s="184"/>
      <c r="F34" s="10"/>
      <c r="G34" s="185"/>
      <c r="H34" s="207">
        <f>Geometry!AZ22</f>
        <v>4</v>
      </c>
      <c r="I34" s="42" t="str">
        <f>IF(AND(G34&lt;&gt;0,G34&lt;H34),"May require WSDOT Approval","")</f>
        <v/>
      </c>
      <c r="J34"/>
      <c r="K34"/>
      <c r="L34" s="79"/>
      <c r="N34" s="130"/>
      <c r="S34" s="1"/>
      <c r="T34" s="1"/>
      <c r="U34" s="1"/>
      <c r="V34" s="1"/>
      <c r="W34" s="1"/>
      <c r="X34" s="1"/>
      <c r="Y34" s="10"/>
      <c r="Z34" s="10"/>
      <c r="AA34" s="1"/>
      <c r="AB34" s="10"/>
      <c r="AC34" s="1"/>
      <c r="AD34" s="1"/>
      <c r="AE34" s="1"/>
      <c r="AF34" s="1"/>
      <c r="AI34"/>
      <c r="AJ34"/>
      <c r="AK34"/>
      <c r="AL34"/>
      <c r="AM34"/>
      <c r="AN34"/>
      <c r="AO34"/>
      <c r="AP34"/>
      <c r="AQ34"/>
      <c r="AR34"/>
      <c r="AS34"/>
      <c r="AT34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</row>
    <row r="35" spans="2:58" x14ac:dyDescent="0.3">
      <c r="B35" s="78"/>
      <c r="C35"/>
      <c r="D35" s="27" t="s">
        <v>122</v>
      </c>
      <c r="E35" s="19">
        <f>(E33+(E34*2))</f>
        <v>0</v>
      </c>
      <c r="F35" s="20"/>
      <c r="G35" s="19">
        <f>(G33+(G34*2))</f>
        <v>0</v>
      </c>
      <c r="H35" s="21">
        <f>(H33+(H34*2))</f>
        <v>30</v>
      </c>
      <c r="I35" s="26" t="str">
        <f>IF(AND(G35&lt;&gt;0,H35&gt;G35),"Pts Reduced as % short of standard","")</f>
        <v/>
      </c>
      <c r="J35"/>
      <c r="K35"/>
      <c r="L35" s="79"/>
      <c r="N35" s="130"/>
      <c r="S35" s="1"/>
      <c r="T35"/>
      <c r="U35" s="1"/>
      <c r="V35" s="1" t="s">
        <v>124</v>
      </c>
      <c r="W35" s="1"/>
      <c r="X35" s="1"/>
      <c r="Y35" s="10">
        <f>Geometry!AI20</f>
        <v>0</v>
      </c>
      <c r="Z35" s="10"/>
      <c r="AA35" s="1"/>
      <c r="AB35" s="22">
        <f>Geometry!AM25</f>
        <v>4</v>
      </c>
      <c r="AC35" s="1" t="s">
        <v>117</v>
      </c>
      <c r="AD35" s="1"/>
      <c r="AE35" s="1"/>
      <c r="AF35" s="1"/>
      <c r="AI35"/>
      <c r="AJ35"/>
      <c r="AK35"/>
      <c r="AL35"/>
      <c r="AM35"/>
      <c r="AN35"/>
      <c r="AO35"/>
      <c r="AP35"/>
      <c r="AQ35"/>
      <c r="AR35"/>
      <c r="AS35"/>
      <c r="AT35"/>
      <c r="AU35" s="1"/>
      <c r="AV35" s="10"/>
      <c r="AW35" s="289" t="s">
        <v>234</v>
      </c>
      <c r="AX35" s="10"/>
      <c r="AY35" s="10"/>
      <c r="AZ35" s="1"/>
      <c r="BA35" s="1"/>
      <c r="BB35" s="10"/>
      <c r="BC35" s="289" t="s">
        <v>234</v>
      </c>
      <c r="BD35" s="10"/>
      <c r="BE35" s="10"/>
      <c r="BF35"/>
    </row>
    <row r="36" spans="2:58" ht="13.5" thickBot="1" x14ac:dyDescent="0.35">
      <c r="B36" s="80"/>
      <c r="C36" s="81"/>
      <c r="D36" s="103"/>
      <c r="E36" s="81"/>
      <c r="F36" s="81"/>
      <c r="G36" s="81"/>
      <c r="H36" s="104"/>
      <c r="I36" s="81"/>
      <c r="J36" s="81"/>
      <c r="K36" s="81"/>
      <c r="L36" s="87"/>
      <c r="N36" s="130"/>
      <c r="S36" s="1"/>
      <c r="T36" s="1"/>
      <c r="U36" s="1"/>
      <c r="V36" s="1"/>
      <c r="W36" s="1"/>
      <c r="X36" s="1"/>
      <c r="Y36" s="1"/>
      <c r="Z36" s="10"/>
      <c r="AA36" s="1"/>
      <c r="AB36" s="10"/>
      <c r="AC36" s="1"/>
      <c r="AD36" s="1"/>
      <c r="AE36" s="1"/>
      <c r="AF36" s="1"/>
      <c r="AI36"/>
      <c r="AJ36"/>
      <c r="AK36"/>
      <c r="AL36"/>
      <c r="AM36"/>
      <c r="AN36"/>
      <c r="AO36"/>
      <c r="AP36"/>
      <c r="AQ36"/>
      <c r="AR36"/>
      <c r="AS36"/>
      <c r="AT36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</row>
    <row r="37" spans="2:58" x14ac:dyDescent="0.3">
      <c r="S37" s="1"/>
      <c r="T37" s="1"/>
      <c r="U37" s="1"/>
      <c r="V37" s="1"/>
      <c r="W37" s="1"/>
      <c r="X37" s="1"/>
      <c r="Y37" s="1"/>
      <c r="Z37" s="10"/>
      <c r="AA37" s="1"/>
      <c r="AB37" s="10"/>
      <c r="AC37" s="1"/>
      <c r="AD37" s="1"/>
      <c r="AE37" s="1"/>
      <c r="AF37" s="1"/>
      <c r="AI37"/>
      <c r="AJ37"/>
      <c r="AK37"/>
      <c r="AL37"/>
      <c r="AM37"/>
      <c r="AN37"/>
      <c r="AO37"/>
      <c r="AP37"/>
      <c r="AQ37"/>
      <c r="AR37"/>
      <c r="AS37"/>
      <c r="AT37"/>
      <c r="AU37" s="2" t="s">
        <v>243</v>
      </c>
      <c r="AV37" s="1"/>
      <c r="AW37" s="10" t="s">
        <v>244</v>
      </c>
      <c r="AX37"/>
      <c r="AY37"/>
      <c r="AZ37" s="1"/>
      <c r="BA37" s="2" t="s">
        <v>243</v>
      </c>
      <c r="BB37" s="1"/>
      <c r="BC37" s="10" t="s">
        <v>245</v>
      </c>
      <c r="BD37"/>
      <c r="BE37"/>
      <c r="BF37"/>
    </row>
    <row r="38" spans="2:58" x14ac:dyDescent="0.3">
      <c r="S38" s="1"/>
      <c r="T38"/>
      <c r="U38" s="1"/>
      <c r="V38" s="1"/>
      <c r="W38" s="1"/>
      <c r="X38" s="304" t="s">
        <v>118</v>
      </c>
      <c r="Y38"/>
      <c r="Z38"/>
      <c r="AA38"/>
      <c r="AB38" s="10"/>
      <c r="AC38" s="1"/>
      <c r="AD38" s="1"/>
      <c r="AE38" s="305">
        <f>SUM(AB33,AB35)</f>
        <v>10</v>
      </c>
      <c r="AF38" s="1"/>
      <c r="AI38"/>
      <c r="AJ38"/>
      <c r="AK38"/>
      <c r="AL38"/>
      <c r="AM38"/>
      <c r="AN38"/>
      <c r="AO38"/>
      <c r="AP38"/>
      <c r="AQ38"/>
      <c r="AR38"/>
      <c r="AS38"/>
      <c r="AT38"/>
      <c r="AU38" s="2" t="s">
        <v>246</v>
      </c>
      <c r="AV38" s="293" t="s">
        <v>62</v>
      </c>
      <c r="AW38" s="293" t="s">
        <v>236</v>
      </c>
      <c r="AX38" s="293" t="s">
        <v>237</v>
      </c>
      <c r="AY38" s="293" t="s">
        <v>64</v>
      </c>
      <c r="AZ38" s="1"/>
      <c r="BA38" s="2" t="s">
        <v>246</v>
      </c>
      <c r="BB38" s="293" t="s">
        <v>62</v>
      </c>
      <c r="BC38" s="293" t="s">
        <v>236</v>
      </c>
      <c r="BD38" s="293" t="s">
        <v>237</v>
      </c>
      <c r="BE38" s="293" t="s">
        <v>64</v>
      </c>
      <c r="BF38"/>
    </row>
    <row r="39" spans="2:58" ht="13.5" customHeight="1" x14ac:dyDescent="0.3">
      <c r="L39" s="134"/>
      <c r="M39" s="135"/>
      <c r="N39" s="136"/>
      <c r="O39" s="129"/>
      <c r="Q39" s="131"/>
      <c r="AI39"/>
      <c r="AJ39"/>
      <c r="AK39"/>
      <c r="AL39"/>
      <c r="AM39"/>
      <c r="AN39"/>
      <c r="AO39"/>
      <c r="AP39"/>
      <c r="AQ39"/>
      <c r="AR39"/>
      <c r="AS39"/>
      <c r="AT39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</row>
    <row r="40" spans="2:58" x14ac:dyDescent="0.3">
      <c r="L40" s="137"/>
      <c r="M40" s="137"/>
      <c r="N40" s="138"/>
      <c r="O40" s="139"/>
      <c r="P40" s="132"/>
      <c r="Q40" s="131"/>
      <c r="AI40"/>
      <c r="AJ40"/>
      <c r="AK40"/>
      <c r="AL40"/>
      <c r="AM40"/>
      <c r="AN40"/>
      <c r="AO40"/>
      <c r="AP40"/>
      <c r="AQ40"/>
      <c r="AR40"/>
      <c r="AS40"/>
      <c r="AT40"/>
      <c r="AU40" s="10">
        <v>20</v>
      </c>
      <c r="AV40" s="10">
        <v>20</v>
      </c>
      <c r="AW40" s="10">
        <v>20</v>
      </c>
      <c r="AX40" s="10">
        <v>22</v>
      </c>
      <c r="AY40" s="10">
        <v>24</v>
      </c>
      <c r="AZ40" s="1"/>
      <c r="BA40" s="2" t="s">
        <v>247</v>
      </c>
      <c r="BB40" s="10">
        <v>2</v>
      </c>
      <c r="BC40" s="10">
        <v>4</v>
      </c>
      <c r="BD40" s="10">
        <v>6</v>
      </c>
      <c r="BE40" s="10">
        <v>8</v>
      </c>
      <c r="BF40"/>
    </row>
    <row r="41" spans="2:58" x14ac:dyDescent="0.3">
      <c r="L41" s="137"/>
      <c r="M41" s="137"/>
      <c r="N41" s="138"/>
      <c r="O41" s="140"/>
      <c r="P41" s="306"/>
      <c r="Q41" s="307"/>
      <c r="R41" s="307"/>
      <c r="S41" s="307"/>
      <c r="T41" s="307"/>
      <c r="U41" s="307"/>
      <c r="V41" s="307"/>
      <c r="W41" s="307"/>
      <c r="X41" s="308"/>
      <c r="Y41" s="307"/>
      <c r="Z41" s="309"/>
      <c r="AI41"/>
      <c r="AJ41"/>
      <c r="AK41"/>
      <c r="AL41"/>
      <c r="AM41"/>
      <c r="AN41"/>
      <c r="AO41"/>
      <c r="AP41"/>
      <c r="AQ41"/>
      <c r="AR41"/>
      <c r="AS41"/>
      <c r="AT41"/>
      <c r="AU41" s="10">
        <v>25</v>
      </c>
      <c r="AV41" s="10">
        <v>20</v>
      </c>
      <c r="AW41" s="10">
        <v>20</v>
      </c>
      <c r="AX41" s="10">
        <v>22</v>
      </c>
      <c r="AY41" s="10">
        <v>24</v>
      </c>
      <c r="AZ41" s="1"/>
      <c r="BA41" s="10"/>
      <c r="BB41" s="10"/>
      <c r="BC41" s="10"/>
      <c r="BD41" s="10"/>
      <c r="BE41" s="10"/>
      <c r="BF41"/>
    </row>
    <row r="42" spans="2:58" x14ac:dyDescent="0.3">
      <c r="L42" s="137"/>
      <c r="M42" s="137"/>
      <c r="N42" s="138"/>
      <c r="O42" s="139"/>
      <c r="P42" s="310"/>
      <c r="Q42" s="311" t="s">
        <v>133</v>
      </c>
      <c r="R42" s="312"/>
      <c r="S42" s="312"/>
      <c r="T42" s="312"/>
      <c r="U42" s="312"/>
      <c r="V42" s="312"/>
      <c r="W42" s="312"/>
      <c r="X42" s="312"/>
      <c r="Y42" s="313"/>
      <c r="Z42" s="314"/>
      <c r="AI42"/>
      <c r="AJ42"/>
      <c r="AK42"/>
      <c r="AL42"/>
      <c r="AM42"/>
      <c r="AN42"/>
      <c r="AO42"/>
      <c r="AP42"/>
      <c r="AQ42"/>
      <c r="AR42"/>
      <c r="AS42"/>
      <c r="AT42"/>
      <c r="AU42" s="10">
        <v>30</v>
      </c>
      <c r="AV42" s="10">
        <v>20</v>
      </c>
      <c r="AW42" s="10">
        <v>20</v>
      </c>
      <c r="AX42" s="10">
        <v>22</v>
      </c>
      <c r="AY42" s="10">
        <v>24</v>
      </c>
      <c r="AZ42" s="1"/>
      <c r="BA42" s="10"/>
      <c r="BB42" s="10"/>
      <c r="BC42" s="10"/>
      <c r="BD42" s="10"/>
      <c r="BE42" s="10"/>
      <c r="BF42"/>
    </row>
    <row r="43" spans="2:58" x14ac:dyDescent="0.3">
      <c r="L43" s="137"/>
      <c r="M43" s="137"/>
      <c r="N43" s="138"/>
      <c r="O43" s="139"/>
      <c r="P43" s="310"/>
      <c r="Q43" s="313"/>
      <c r="R43" s="313"/>
      <c r="S43" s="313"/>
      <c r="T43" s="313"/>
      <c r="U43" s="313"/>
      <c r="V43" s="313"/>
      <c r="W43" s="313"/>
      <c r="X43" s="292"/>
      <c r="Y43" s="313"/>
      <c r="Z43" s="314"/>
      <c r="AI43"/>
      <c r="AJ43"/>
      <c r="AK43"/>
      <c r="AL43"/>
      <c r="AM43"/>
      <c r="AN43"/>
      <c r="AO43"/>
      <c r="AP43"/>
      <c r="AQ43"/>
      <c r="AR43"/>
      <c r="AS43"/>
      <c r="AT43"/>
      <c r="AU43" s="10">
        <v>35</v>
      </c>
      <c r="AV43" s="10">
        <v>20</v>
      </c>
      <c r="AW43" s="10">
        <v>22</v>
      </c>
      <c r="AX43" s="10">
        <v>22</v>
      </c>
      <c r="AY43" s="10">
        <v>24</v>
      </c>
      <c r="AZ43" s="1"/>
      <c r="BA43" s="10"/>
      <c r="BB43" s="10"/>
      <c r="BC43" s="10"/>
      <c r="BD43" s="10"/>
      <c r="BE43" s="10"/>
      <c r="BF43"/>
    </row>
    <row r="44" spans="2:58" x14ac:dyDescent="0.3">
      <c r="L44" s="137"/>
      <c r="M44" s="137"/>
      <c r="N44" s="138"/>
      <c r="O44" s="139"/>
      <c r="P44" s="315">
        <f>'Traffic &amp; Accidents'!D8</f>
        <v>0</v>
      </c>
      <c r="Q44" s="313" t="s">
        <v>126</v>
      </c>
      <c r="R44" s="313"/>
      <c r="S44" s="316" t="s">
        <v>129</v>
      </c>
      <c r="T44" s="316"/>
      <c r="U44" s="316"/>
      <c r="V44" s="292"/>
      <c r="W44" s="313" t="s">
        <v>134</v>
      </c>
      <c r="X44" s="317"/>
      <c r="Y44" s="292"/>
      <c r="Z44" s="314"/>
      <c r="AI44"/>
      <c r="AJ44"/>
      <c r="AK44"/>
      <c r="AL44"/>
      <c r="AM44"/>
      <c r="AN44"/>
      <c r="AO44"/>
      <c r="AP44"/>
      <c r="AQ44"/>
      <c r="AR44"/>
      <c r="AS44"/>
      <c r="AT44"/>
      <c r="AU44" s="10">
        <v>40</v>
      </c>
      <c r="AV44" s="10">
        <v>20</v>
      </c>
      <c r="AW44" s="10">
        <v>22</v>
      </c>
      <c r="AX44" s="10">
        <v>22</v>
      </c>
      <c r="AY44" s="10">
        <v>24</v>
      </c>
      <c r="AZ44" s="1"/>
      <c r="BA44" s="10"/>
      <c r="BB44" s="10"/>
      <c r="BC44" s="10"/>
      <c r="BD44" s="10"/>
      <c r="BE44" s="10"/>
      <c r="BF44"/>
    </row>
    <row r="45" spans="2:58" x14ac:dyDescent="0.3">
      <c r="L45" s="137"/>
      <c r="M45" s="137"/>
      <c r="N45" s="138"/>
      <c r="O45" s="139"/>
      <c r="P45" s="318"/>
      <c r="Q45" s="313"/>
      <c r="R45" s="313"/>
      <c r="S45" s="287">
        <f>IF(P47&lt;&gt;0,T45,S46)</f>
        <v>20</v>
      </c>
      <c r="T45" s="287">
        <f>IF(P44&lt;400,40,U45)</f>
        <v>40</v>
      </c>
      <c r="U45" s="287">
        <f>IF(P44&lt;(2001),50,60)</f>
        <v>50</v>
      </c>
      <c r="V45" s="292"/>
      <c r="W45" s="313"/>
      <c r="X45" s="319"/>
      <c r="Y45" s="313"/>
      <c r="Z45" s="314"/>
      <c r="AI45"/>
      <c r="AJ45"/>
      <c r="AK45"/>
      <c r="AL45"/>
      <c r="AM45"/>
      <c r="AN45"/>
      <c r="AO45"/>
      <c r="AP45"/>
      <c r="AQ45"/>
      <c r="AR45"/>
      <c r="AS45"/>
      <c r="AT45"/>
      <c r="AU45" s="10">
        <v>45</v>
      </c>
      <c r="AV45" s="10">
        <v>20</v>
      </c>
      <c r="AW45" s="10">
        <v>22</v>
      </c>
      <c r="AX45" s="10">
        <v>22</v>
      </c>
      <c r="AY45" s="10">
        <v>24</v>
      </c>
      <c r="AZ45" s="1"/>
      <c r="BA45" s="10"/>
      <c r="BB45" s="10"/>
      <c r="BC45" s="10"/>
      <c r="BD45" s="10"/>
      <c r="BE45" s="10"/>
      <c r="BF45"/>
    </row>
    <row r="46" spans="2:58" x14ac:dyDescent="0.3">
      <c r="L46" s="137"/>
      <c r="M46" s="137"/>
      <c r="N46" s="138"/>
      <c r="O46" s="139"/>
      <c r="P46" s="320" t="s">
        <v>77</v>
      </c>
      <c r="Q46" s="287"/>
      <c r="R46" s="287"/>
      <c r="S46" s="287">
        <f>IF(P48&lt;&gt;0,T46,S47)</f>
        <v>20</v>
      </c>
      <c r="T46" s="287">
        <f>IF(P44&lt;(400),30,U46)</f>
        <v>30</v>
      </c>
      <c r="U46" s="287">
        <f>IF(P44&lt;(2001),40,50)</f>
        <v>40</v>
      </c>
      <c r="V46" s="292"/>
      <c r="W46" s="321">
        <f>IF(T50=Geometry!L71,Geometry!M71,W47)</f>
        <v>115</v>
      </c>
      <c r="X46" s="322"/>
      <c r="Y46" s="313"/>
      <c r="Z46" s="314"/>
      <c r="AI46"/>
      <c r="AJ46"/>
      <c r="AK46"/>
      <c r="AL46"/>
      <c r="AM46"/>
      <c r="AN46"/>
      <c r="AO46"/>
      <c r="AP46"/>
      <c r="AQ46"/>
      <c r="AR46"/>
      <c r="AS46"/>
      <c r="AT46"/>
      <c r="AU46" s="10">
        <v>50</v>
      </c>
      <c r="AV46" s="10">
        <v>20</v>
      </c>
      <c r="AW46" s="10">
        <v>22</v>
      </c>
      <c r="AX46" s="10">
        <v>22</v>
      </c>
      <c r="AY46" s="10">
        <v>24</v>
      </c>
      <c r="AZ46" s="1"/>
      <c r="BA46" s="10"/>
      <c r="BB46" s="10"/>
      <c r="BC46" s="10"/>
      <c r="BD46" s="10"/>
      <c r="BE46" s="10"/>
      <c r="BF46"/>
    </row>
    <row r="47" spans="2:58" x14ac:dyDescent="0.3">
      <c r="L47" s="137"/>
      <c r="M47" s="137"/>
      <c r="N47" s="138"/>
      <c r="O47" s="139"/>
      <c r="P47" s="315">
        <f>Geometry!H8</f>
        <v>0</v>
      </c>
      <c r="Q47" s="287" t="s">
        <v>135</v>
      </c>
      <c r="R47" s="287"/>
      <c r="S47" s="287">
        <f>T47</f>
        <v>20</v>
      </c>
      <c r="T47" s="287">
        <f>IF(P44&lt;(400),20,U47)</f>
        <v>20</v>
      </c>
      <c r="U47" s="287">
        <f>IF(P44&lt;(2001),30,40)</f>
        <v>30</v>
      </c>
      <c r="V47" s="292"/>
      <c r="W47" s="307">
        <f>IF(T50=Geometry!L72,Geometry!M72,W48)</f>
        <v>115</v>
      </c>
      <c r="X47" s="322"/>
      <c r="Y47" s="313"/>
      <c r="Z47" s="314"/>
      <c r="AI47"/>
      <c r="AJ47"/>
      <c r="AK47"/>
      <c r="AL47"/>
      <c r="AM47"/>
      <c r="AN47"/>
      <c r="AO47"/>
      <c r="AP47"/>
      <c r="AQ47"/>
      <c r="AR47"/>
      <c r="AS47"/>
      <c r="AT47"/>
      <c r="AU47" s="10">
        <v>55</v>
      </c>
      <c r="AV47" s="10">
        <v>22</v>
      </c>
      <c r="AW47" s="10">
        <v>22</v>
      </c>
      <c r="AX47" s="10">
        <v>24</v>
      </c>
      <c r="AY47" s="10">
        <v>24</v>
      </c>
      <c r="AZ47" s="1"/>
      <c r="BA47" s="10"/>
      <c r="BB47" s="10"/>
      <c r="BC47" s="10"/>
      <c r="BD47" s="10"/>
      <c r="BE47" s="10"/>
      <c r="BF47"/>
    </row>
    <row r="48" spans="2:58" x14ac:dyDescent="0.3">
      <c r="L48" s="137"/>
      <c r="M48" s="137"/>
      <c r="N48" s="138"/>
      <c r="O48" s="139"/>
      <c r="P48" s="315">
        <f>Geometry!I8</f>
        <v>0</v>
      </c>
      <c r="Q48" s="287" t="s">
        <v>83</v>
      </c>
      <c r="R48" s="287"/>
      <c r="S48" s="292"/>
      <c r="T48" s="292"/>
      <c r="U48" s="292"/>
      <c r="V48" s="292"/>
      <c r="W48" s="313">
        <f>IF(T50=Geometry!L73,Geometry!M73,W49)</f>
        <v>115</v>
      </c>
      <c r="X48" s="322"/>
      <c r="Y48" s="313"/>
      <c r="Z48" s="314"/>
      <c r="AI48"/>
      <c r="AJ48"/>
      <c r="AK48"/>
      <c r="AL48"/>
      <c r="AM48"/>
      <c r="AN48"/>
      <c r="AO48"/>
      <c r="AP48"/>
      <c r="AQ48"/>
      <c r="AR48"/>
      <c r="AS48"/>
      <c r="AT48"/>
      <c r="AU48" s="10">
        <v>60</v>
      </c>
      <c r="AV48" s="10">
        <v>22</v>
      </c>
      <c r="AW48" s="10">
        <v>22</v>
      </c>
      <c r="AX48" s="10">
        <v>24</v>
      </c>
      <c r="AY48" s="10">
        <v>24</v>
      </c>
      <c r="AZ48" s="1"/>
      <c r="BA48" s="10"/>
      <c r="BB48" s="10"/>
      <c r="BC48" s="10"/>
      <c r="BD48" s="10"/>
      <c r="BE48" s="10"/>
      <c r="BF48"/>
    </row>
    <row r="49" spans="1:58" x14ac:dyDescent="0.3">
      <c r="L49" s="137"/>
      <c r="M49" s="137"/>
      <c r="N49" s="138"/>
      <c r="O49" s="139"/>
      <c r="P49" s="315">
        <f>Geometry!J8</f>
        <v>0</v>
      </c>
      <c r="Q49" s="287" t="s">
        <v>136</v>
      </c>
      <c r="R49" s="287"/>
      <c r="S49" s="292"/>
      <c r="T49" s="290" t="s">
        <v>137</v>
      </c>
      <c r="U49" s="292"/>
      <c r="V49" s="292"/>
      <c r="W49" s="313">
        <f>IF(T50=Geometry!L74,Geometry!M74,W50)</f>
        <v>115</v>
      </c>
      <c r="X49" s="322"/>
      <c r="Y49" s="313"/>
      <c r="Z49" s="314"/>
      <c r="AI49"/>
      <c r="AJ49"/>
      <c r="AK49"/>
      <c r="AL49"/>
      <c r="AM49"/>
      <c r="AN49"/>
      <c r="AO49"/>
      <c r="AP49"/>
      <c r="AQ49"/>
      <c r="AR49"/>
      <c r="AS49"/>
      <c r="AT49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</row>
    <row r="50" spans="1:58" x14ac:dyDescent="0.3">
      <c r="L50" s="137"/>
      <c r="M50" s="137"/>
      <c r="N50" s="141"/>
      <c r="O50" s="142"/>
      <c r="P50" s="320"/>
      <c r="Q50" s="287"/>
      <c r="R50" s="287"/>
      <c r="S50" s="292"/>
      <c r="T50" s="288">
        <f>S45</f>
        <v>20</v>
      </c>
      <c r="U50" s="292"/>
      <c r="V50" s="292"/>
      <c r="W50" s="313">
        <f>IF(T50=Geometry!L75,Geometry!M75,0)</f>
        <v>115</v>
      </c>
      <c r="X50" s="322"/>
      <c r="Y50" s="313"/>
      <c r="Z50" s="314"/>
    </row>
    <row r="51" spans="1:58" x14ac:dyDescent="0.3">
      <c r="L51" s="137"/>
      <c r="M51" s="137"/>
      <c r="N51" s="141"/>
      <c r="O51" s="142"/>
      <c r="P51" s="320"/>
      <c r="Q51" s="287"/>
      <c r="R51" s="287"/>
      <c r="S51" s="313"/>
      <c r="T51" s="292"/>
      <c r="U51" s="292"/>
      <c r="V51" s="292"/>
      <c r="W51" s="292"/>
      <c r="X51" s="292"/>
      <c r="Y51" s="313"/>
      <c r="Z51" s="314"/>
    </row>
    <row r="52" spans="1:58" x14ac:dyDescent="0.3">
      <c r="P52" s="323"/>
      <c r="Q52" s="324"/>
      <c r="R52" s="324" t="s">
        <v>138</v>
      </c>
      <c r="S52" s="324" t="s">
        <v>139</v>
      </c>
      <c r="T52" s="325"/>
      <c r="U52" s="324"/>
      <c r="V52" s="324"/>
      <c r="W52" s="324"/>
      <c r="X52" s="324"/>
      <c r="Y52" s="313"/>
      <c r="Z52" s="314"/>
    </row>
    <row r="53" spans="1:58" x14ac:dyDescent="0.3">
      <c r="H53" s="194" t="s">
        <v>129</v>
      </c>
      <c r="I53" s="195"/>
      <c r="J53" s="196"/>
      <c r="P53" s="323"/>
      <c r="Q53" s="324" t="s">
        <v>140</v>
      </c>
      <c r="R53" s="324" t="s">
        <v>131</v>
      </c>
      <c r="S53" s="324" t="s">
        <v>141</v>
      </c>
      <c r="T53" s="324" t="s">
        <v>132</v>
      </c>
      <c r="U53" s="324"/>
      <c r="V53" s="324"/>
      <c r="W53" s="324"/>
      <c r="X53" s="324"/>
      <c r="Y53" s="313"/>
      <c r="Z53" s="314"/>
    </row>
    <row r="54" spans="1:58" x14ac:dyDescent="0.3">
      <c r="H54" s="197">
        <f>IF(Geometry!H8&lt;&gt;0,I54,H55)</f>
        <v>20</v>
      </c>
      <c r="I54" s="198">
        <f>IF('Traffic &amp; Accidents'!D8&lt;400,40,J54)</f>
        <v>40</v>
      </c>
      <c r="J54" s="199">
        <f>IF('Traffic &amp; Accidents'!D8&lt;2001,50,60)</f>
        <v>50</v>
      </c>
      <c r="P54" s="326" t="s">
        <v>142</v>
      </c>
      <c r="Q54" s="327" t="s">
        <v>143</v>
      </c>
      <c r="R54" s="327" t="s">
        <v>139</v>
      </c>
      <c r="S54" s="327" t="s">
        <v>144</v>
      </c>
      <c r="T54" s="327" t="s">
        <v>145</v>
      </c>
      <c r="U54" s="327"/>
      <c r="V54" s="327"/>
      <c r="W54" s="327"/>
      <c r="X54" s="327"/>
      <c r="Y54" s="313"/>
      <c r="Z54" s="314"/>
    </row>
    <row r="55" spans="1:58" x14ac:dyDescent="0.3">
      <c r="H55" s="201">
        <f>IF(Geometry!I8&lt;&gt;0,I55,H56)</f>
        <v>20</v>
      </c>
      <c r="I55" s="198">
        <f>IF('Traffic &amp; Accidents'!D8&lt;400,30,J55)</f>
        <v>30</v>
      </c>
      <c r="J55" s="199">
        <f>IF('Traffic &amp; Accidents'!D8&lt;2001,40,50)</f>
        <v>40</v>
      </c>
      <c r="P55" s="328">
        <v>1</v>
      </c>
      <c r="Q55" s="315">
        <f>Geometry!C19</f>
        <v>0</v>
      </c>
      <c r="R55" s="329">
        <f t="shared" ref="R55:R64" si="0">Q73</f>
        <v>90</v>
      </c>
      <c r="S55" s="329">
        <f>IF(T50&gt;R55,T50-R55,T50-R55)</f>
        <v>-70</v>
      </c>
      <c r="T55" s="297">
        <f t="shared" ref="T55:T64" si="1">IF(S55&gt;=0,1,0)</f>
        <v>0</v>
      </c>
      <c r="U55" s="297"/>
      <c r="V55" s="297"/>
      <c r="W55" s="297"/>
      <c r="X55" s="297"/>
      <c r="Y55" s="313"/>
      <c r="Z55" s="314"/>
    </row>
    <row r="56" spans="1:58" x14ac:dyDescent="0.3">
      <c r="H56" s="203">
        <f>I56</f>
        <v>20</v>
      </c>
      <c r="I56" s="204">
        <f>IF('Traffic &amp; Accidents'!D8&lt;400,20,J56)</f>
        <v>20</v>
      </c>
      <c r="J56" s="205">
        <f>IF('Traffic &amp; Accidents'!D8&lt;2001,30,40)</f>
        <v>30</v>
      </c>
      <c r="P56" s="328">
        <v>2</v>
      </c>
      <c r="Q56" s="315">
        <f>Geometry!C20</f>
        <v>0</v>
      </c>
      <c r="R56" s="329">
        <f t="shared" si="0"/>
        <v>90</v>
      </c>
      <c r="S56" s="329">
        <f>IF(T50&gt;R56,T50-R56,T50-R56)</f>
        <v>-70</v>
      </c>
      <c r="T56" s="297">
        <f t="shared" si="1"/>
        <v>0</v>
      </c>
      <c r="U56" s="297"/>
      <c r="V56" s="297"/>
      <c r="W56" s="297"/>
      <c r="X56" s="297"/>
      <c r="Y56" s="313"/>
      <c r="Z56" s="314"/>
    </row>
    <row r="57" spans="1:58" x14ac:dyDescent="0.3">
      <c r="P57" s="328">
        <v>3</v>
      </c>
      <c r="Q57" s="315">
        <f>Geometry!C21</f>
        <v>0</v>
      </c>
      <c r="R57" s="329">
        <f t="shared" si="0"/>
        <v>90</v>
      </c>
      <c r="S57" s="329">
        <f>IF(T50&gt;R57,T50-R57,T50-R57)</f>
        <v>-70</v>
      </c>
      <c r="T57" s="297">
        <f t="shared" si="1"/>
        <v>0</v>
      </c>
      <c r="U57" s="297"/>
      <c r="V57" s="297"/>
      <c r="W57" s="297"/>
      <c r="X57" s="297"/>
      <c r="Y57" s="313"/>
      <c r="Z57" s="314"/>
    </row>
    <row r="58" spans="1:58" x14ac:dyDescent="0.3">
      <c r="P58" s="328">
        <v>4</v>
      </c>
      <c r="Q58" s="315">
        <f>Geometry!C22</f>
        <v>0</v>
      </c>
      <c r="R58" s="329">
        <f t="shared" si="0"/>
        <v>90</v>
      </c>
      <c r="S58" s="329">
        <f>IF(T50&gt;R58,T50-R58,T50-R58)</f>
        <v>-70</v>
      </c>
      <c r="T58" s="297">
        <f t="shared" si="1"/>
        <v>0</v>
      </c>
      <c r="U58" s="297"/>
      <c r="V58" s="297"/>
      <c r="W58" s="297"/>
      <c r="X58" s="297"/>
      <c r="Y58" s="313"/>
      <c r="Z58" s="314"/>
    </row>
    <row r="59" spans="1:58" x14ac:dyDescent="0.3">
      <c r="P59" s="328">
        <v>5</v>
      </c>
      <c r="Q59" s="315">
        <f>Geometry!C23</f>
        <v>0</v>
      </c>
      <c r="R59" s="329">
        <f t="shared" si="0"/>
        <v>90</v>
      </c>
      <c r="S59" s="329">
        <f>IF(T50&gt;R59,T50-R59,T50-R59)</f>
        <v>-70</v>
      </c>
      <c r="T59" s="297">
        <f t="shared" si="1"/>
        <v>0</v>
      </c>
      <c r="U59" s="297"/>
      <c r="V59" s="297"/>
      <c r="W59" s="297"/>
      <c r="X59" s="297"/>
      <c r="Y59" s="313"/>
      <c r="Z59" s="314"/>
    </row>
    <row r="60" spans="1:58" x14ac:dyDescent="0.3">
      <c r="A60" s="437"/>
      <c r="B60" s="198"/>
      <c r="C60" s="198"/>
      <c r="D60" s="198"/>
      <c r="E60" s="198"/>
      <c r="F60" s="198"/>
      <c r="G60" s="198"/>
      <c r="H60" s="198"/>
      <c r="I60" s="137"/>
      <c r="J60" s="198"/>
      <c r="K60" s="137"/>
      <c r="L60" s="198"/>
      <c r="M60" s="198"/>
      <c r="N60" s="198"/>
      <c r="P60" s="328">
        <v>6</v>
      </c>
      <c r="Q60" s="315">
        <f>Geometry!C24</f>
        <v>0</v>
      </c>
      <c r="R60" s="329">
        <f t="shared" si="0"/>
        <v>90</v>
      </c>
      <c r="S60" s="329">
        <f>IF(T50&gt;R60,T50-R60,T50-R60)</f>
        <v>-70</v>
      </c>
      <c r="T60" s="297">
        <f t="shared" si="1"/>
        <v>0</v>
      </c>
      <c r="U60" s="297"/>
      <c r="V60" s="297"/>
      <c r="W60" s="297"/>
      <c r="X60" s="297"/>
      <c r="Y60" s="313"/>
      <c r="Z60" s="314"/>
    </row>
    <row r="61" spans="1:58" x14ac:dyDescent="0.3">
      <c r="A61" s="437"/>
      <c r="B61" s="330" t="s">
        <v>55</v>
      </c>
      <c r="C61" s="198"/>
      <c r="D61" s="198"/>
      <c r="E61" s="198"/>
      <c r="F61" s="198"/>
      <c r="G61" s="198"/>
      <c r="H61" s="198"/>
      <c r="I61" s="137"/>
      <c r="J61" s="198"/>
      <c r="K61" s="137"/>
      <c r="L61" s="198"/>
      <c r="M61" s="198"/>
      <c r="N61" s="198"/>
      <c r="P61" s="328">
        <v>7</v>
      </c>
      <c r="Q61" s="315">
        <f>Geometry!C25</f>
        <v>0</v>
      </c>
      <c r="R61" s="329">
        <f t="shared" si="0"/>
        <v>90</v>
      </c>
      <c r="S61" s="329">
        <f>IF(T50&gt;R61,T50-R61,T50-R61)</f>
        <v>-70</v>
      </c>
      <c r="T61" s="297">
        <f t="shared" si="1"/>
        <v>0</v>
      </c>
      <c r="U61" s="297"/>
      <c r="V61" s="297"/>
      <c r="W61" s="297"/>
      <c r="X61" s="297"/>
      <c r="Y61" s="313"/>
      <c r="Z61" s="314"/>
    </row>
    <row r="62" spans="1:58" x14ac:dyDescent="0.3">
      <c r="A62" s="437"/>
      <c r="B62" s="198"/>
      <c r="C62" s="198"/>
      <c r="D62" s="198"/>
      <c r="E62" s="198"/>
      <c r="F62" s="198"/>
      <c r="G62" s="198"/>
      <c r="H62" s="198"/>
      <c r="I62" s="137"/>
      <c r="J62" s="198"/>
      <c r="K62" s="137"/>
      <c r="L62" s="198"/>
      <c r="M62" s="198"/>
      <c r="N62" s="198"/>
      <c r="P62" s="328">
        <v>8</v>
      </c>
      <c r="Q62" s="315">
        <f>Geometry!C26</f>
        <v>0</v>
      </c>
      <c r="R62" s="329">
        <f t="shared" si="0"/>
        <v>90</v>
      </c>
      <c r="S62" s="329">
        <f>IF(T50&gt;R62,T50-R62,T50-R62)</f>
        <v>-70</v>
      </c>
      <c r="T62" s="297">
        <f t="shared" si="1"/>
        <v>0</v>
      </c>
      <c r="U62" s="297"/>
      <c r="V62" s="297"/>
      <c r="W62" s="297"/>
      <c r="X62" s="297"/>
      <c r="Y62" s="287"/>
      <c r="Z62" s="314"/>
    </row>
    <row r="63" spans="1:58" x14ac:dyDescent="0.3">
      <c r="A63" s="437"/>
      <c r="C63" s="198" t="s">
        <v>56</v>
      </c>
      <c r="D63" s="198"/>
      <c r="E63" s="198"/>
      <c r="F63" s="198"/>
      <c r="G63" s="198"/>
      <c r="H63" s="198"/>
      <c r="I63" s="137"/>
      <c r="J63" s="198"/>
      <c r="K63" s="137"/>
      <c r="L63" s="198"/>
      <c r="M63" s="198"/>
      <c r="N63" s="198"/>
      <c r="P63" s="328">
        <v>9</v>
      </c>
      <c r="Q63" s="315">
        <f>Geometry!C27</f>
        <v>0</v>
      </c>
      <c r="R63" s="329">
        <f t="shared" si="0"/>
        <v>90</v>
      </c>
      <c r="S63" s="329">
        <f>IF(T50&gt;R63,T50-R63,T50-R63)</f>
        <v>-70</v>
      </c>
      <c r="T63" s="297">
        <f t="shared" si="1"/>
        <v>0</v>
      </c>
      <c r="U63" s="297"/>
      <c r="V63" s="297"/>
      <c r="W63" s="297"/>
      <c r="X63" s="297"/>
      <c r="Y63" s="291"/>
      <c r="Z63" s="314"/>
    </row>
    <row r="64" spans="1:58" ht="13.5" thickBot="1" x14ac:dyDescent="0.35">
      <c r="A64" s="437"/>
      <c r="C64" s="198" t="s">
        <v>57</v>
      </c>
      <c r="D64" s="198"/>
      <c r="E64" s="198"/>
      <c r="F64" s="198"/>
      <c r="G64" s="198"/>
      <c r="H64" s="198"/>
      <c r="I64" s="137"/>
      <c r="J64" s="198"/>
      <c r="K64" s="137"/>
      <c r="L64" s="198"/>
      <c r="M64" s="198"/>
      <c r="N64" s="198"/>
      <c r="P64" s="328">
        <v>10</v>
      </c>
      <c r="Q64" s="315">
        <f>Geometry!C28</f>
        <v>0</v>
      </c>
      <c r="R64" s="329">
        <f t="shared" si="0"/>
        <v>90</v>
      </c>
      <c r="S64" s="329">
        <f>IF(T50&gt;R64,T50-R64,T50-R64)</f>
        <v>-70</v>
      </c>
      <c r="T64" s="297">
        <f t="shared" si="1"/>
        <v>0</v>
      </c>
      <c r="U64" s="297"/>
      <c r="V64" s="297"/>
      <c r="W64" s="297"/>
      <c r="X64" s="297"/>
      <c r="Y64" s="291"/>
      <c r="Z64" s="314"/>
    </row>
    <row r="65" spans="1:26" ht="13.5" thickBot="1" x14ac:dyDescent="0.35">
      <c r="A65" s="437"/>
      <c r="B65" s="198" t="s">
        <v>58</v>
      </c>
      <c r="C65" s="198"/>
      <c r="D65" s="198"/>
      <c r="E65" s="198"/>
      <c r="F65" s="198"/>
      <c r="G65" s="198"/>
      <c r="H65" s="198"/>
      <c r="I65" s="331" t="s">
        <v>222</v>
      </c>
      <c r="J65" s="198"/>
      <c r="K65" s="137"/>
      <c r="L65" s="198"/>
      <c r="M65" s="198"/>
      <c r="N65" s="198"/>
      <c r="P65" s="328"/>
      <c r="Q65" s="297"/>
      <c r="R65" s="329"/>
      <c r="S65" s="329"/>
      <c r="T65" s="332">
        <f>IF(SUM(T55:T64)&gt;0,5,0)</f>
        <v>0</v>
      </c>
      <c r="U65" s="297"/>
      <c r="V65" s="297"/>
      <c r="W65" s="297"/>
      <c r="X65" s="297"/>
      <c r="Y65" s="291"/>
      <c r="Z65" s="314"/>
    </row>
    <row r="66" spans="1:26" x14ac:dyDescent="0.3">
      <c r="A66" s="437"/>
      <c r="B66" s="198"/>
      <c r="C66" s="198"/>
      <c r="D66" s="198"/>
      <c r="F66" s="198"/>
      <c r="G66" s="198"/>
      <c r="H66" s="198"/>
      <c r="I66" s="331" t="s">
        <v>223</v>
      </c>
      <c r="J66" s="198"/>
      <c r="K66" s="137"/>
      <c r="L66" s="198"/>
      <c r="M66" s="198"/>
      <c r="N66" s="198"/>
      <c r="P66" s="328"/>
      <c r="Q66" s="297"/>
      <c r="R66" s="329"/>
      <c r="S66" s="329"/>
      <c r="T66" s="297" t="s">
        <v>275</v>
      </c>
      <c r="U66" s="297"/>
      <c r="V66" s="297"/>
      <c r="W66" s="297"/>
      <c r="X66" s="297"/>
      <c r="Y66" s="291"/>
      <c r="Z66" s="333"/>
    </row>
    <row r="67" spans="1:26" x14ac:dyDescent="0.3">
      <c r="A67" s="437"/>
      <c r="B67" s="198"/>
      <c r="C67" s="198"/>
      <c r="D67" s="198"/>
      <c r="E67" s="198" t="s">
        <v>59</v>
      </c>
      <c r="F67" s="198"/>
      <c r="G67" s="198"/>
      <c r="H67" s="198"/>
      <c r="I67" s="137"/>
      <c r="J67" s="198"/>
      <c r="K67" s="137"/>
      <c r="L67" s="198"/>
      <c r="M67" s="198"/>
      <c r="N67" s="198"/>
      <c r="P67" s="328"/>
      <c r="Q67" s="297"/>
      <c r="R67" s="329"/>
      <c r="S67" s="329"/>
      <c r="T67" s="297"/>
      <c r="U67" s="297"/>
      <c r="V67" s="297"/>
      <c r="W67" s="297"/>
      <c r="X67" s="297"/>
      <c r="Y67" s="291"/>
      <c r="Z67" s="333"/>
    </row>
    <row r="68" spans="1:26" x14ac:dyDescent="0.3">
      <c r="A68" s="437"/>
      <c r="B68" s="198"/>
      <c r="C68" s="198"/>
      <c r="D68" s="198"/>
      <c r="E68" s="198"/>
      <c r="F68" s="198"/>
      <c r="G68" s="198"/>
      <c r="H68" s="198"/>
      <c r="I68" s="137"/>
      <c r="J68" s="198"/>
      <c r="K68" s="137"/>
      <c r="L68" s="198"/>
      <c r="M68" s="198"/>
      <c r="N68" s="198"/>
      <c r="P68" s="435" t="s">
        <v>142</v>
      </c>
      <c r="Q68" s="297"/>
      <c r="R68" s="329"/>
      <c r="S68" s="329"/>
      <c r="T68" s="297"/>
      <c r="U68" s="297"/>
      <c r="V68" s="297"/>
      <c r="W68" s="297"/>
      <c r="X68" s="297"/>
      <c r="Y68" s="291"/>
      <c r="Z68" s="333"/>
    </row>
    <row r="69" spans="1:26" ht="12.75" customHeight="1" x14ac:dyDescent="0.3">
      <c r="A69" s="437"/>
      <c r="B69" s="198"/>
      <c r="C69" s="198"/>
      <c r="D69" s="198"/>
      <c r="F69" s="198"/>
      <c r="G69" s="198"/>
      <c r="H69" s="334" t="s">
        <v>60</v>
      </c>
      <c r="I69" s="137"/>
      <c r="J69" s="198"/>
      <c r="K69" s="137"/>
      <c r="L69" s="335"/>
      <c r="M69" s="335" t="s">
        <v>146</v>
      </c>
      <c r="N69" s="198"/>
      <c r="P69" s="435"/>
      <c r="Q69" s="313"/>
      <c r="R69" s="313"/>
      <c r="S69" s="313"/>
      <c r="T69" s="292"/>
      <c r="U69" s="336"/>
      <c r="V69" s="336"/>
      <c r="W69" s="336"/>
      <c r="X69" s="337"/>
      <c r="Y69" s="291"/>
      <c r="Z69" s="333"/>
    </row>
    <row r="70" spans="1:26" x14ac:dyDescent="0.3">
      <c r="A70" s="437"/>
      <c r="B70" s="198"/>
      <c r="C70" s="198"/>
      <c r="F70" s="198"/>
      <c r="G70" s="198"/>
      <c r="H70" s="198"/>
      <c r="J70" s="198"/>
      <c r="K70" s="137"/>
      <c r="L70" s="338" t="s">
        <v>139</v>
      </c>
      <c r="M70" s="339" t="s">
        <v>148</v>
      </c>
      <c r="N70" s="198"/>
      <c r="P70" s="435"/>
      <c r="Q70" s="340"/>
      <c r="R70" s="313"/>
      <c r="S70" s="313"/>
      <c r="T70" s="313"/>
      <c r="U70" s="313"/>
      <c r="V70" s="313"/>
      <c r="W70" s="313"/>
      <c r="X70" s="313"/>
      <c r="Y70" s="291"/>
      <c r="Z70" s="333"/>
    </row>
    <row r="71" spans="1:26" x14ac:dyDescent="0.3">
      <c r="A71" s="437"/>
      <c r="B71" s="198"/>
      <c r="C71" s="334" t="s">
        <v>61</v>
      </c>
      <c r="F71" s="200" t="s">
        <v>62</v>
      </c>
      <c r="G71" s="200"/>
      <c r="H71" s="200" t="s">
        <v>63</v>
      </c>
      <c r="I71" s="200"/>
      <c r="J71" s="200" t="s">
        <v>64</v>
      </c>
      <c r="K71" s="137"/>
      <c r="L71" s="341">
        <v>60</v>
      </c>
      <c r="M71" s="341">
        <v>1340</v>
      </c>
      <c r="N71" s="198"/>
      <c r="P71" s="435"/>
      <c r="Q71" s="342" t="s">
        <v>149</v>
      </c>
      <c r="R71" s="313"/>
      <c r="S71" s="313"/>
      <c r="T71" s="313"/>
      <c r="U71" s="313"/>
      <c r="V71" s="313"/>
      <c r="W71" s="313"/>
      <c r="X71" s="313"/>
      <c r="Y71" s="292"/>
      <c r="Z71" s="343"/>
    </row>
    <row r="72" spans="1:26" x14ac:dyDescent="0.3">
      <c r="A72" s="437"/>
      <c r="B72" s="198"/>
      <c r="C72" s="198"/>
      <c r="F72" s="137"/>
      <c r="G72" s="137"/>
      <c r="H72" s="137"/>
      <c r="I72" s="137"/>
      <c r="J72" s="137"/>
      <c r="K72" s="137"/>
      <c r="L72" s="341">
        <v>50</v>
      </c>
      <c r="M72" s="341">
        <v>835</v>
      </c>
      <c r="N72" s="198"/>
      <c r="P72" s="310"/>
      <c r="Q72" s="313"/>
      <c r="R72" s="313"/>
      <c r="S72" s="313"/>
      <c r="T72" s="313"/>
      <c r="U72" s="313"/>
      <c r="V72" s="313"/>
      <c r="W72" s="313"/>
      <c r="X72" s="313"/>
      <c r="Y72" s="292"/>
      <c r="Z72" s="343"/>
    </row>
    <row r="73" spans="1:26" x14ac:dyDescent="0.3">
      <c r="A73" s="437"/>
      <c r="B73" s="198"/>
      <c r="C73" s="198" t="s">
        <v>65</v>
      </c>
      <c r="F73" s="341">
        <v>40</v>
      </c>
      <c r="G73" s="137"/>
      <c r="H73" s="137">
        <v>50</v>
      </c>
      <c r="I73" s="137"/>
      <c r="J73" s="344">
        <v>60</v>
      </c>
      <c r="K73" s="137"/>
      <c r="L73" s="341">
        <v>40</v>
      </c>
      <c r="M73" s="341">
        <v>510</v>
      </c>
      <c r="N73" s="198"/>
      <c r="P73" s="328">
        <v>1</v>
      </c>
      <c r="Q73" s="345">
        <f t="shared" ref="Q73:Q78" si="2">IF(AND(Q55&gt;0,Q55&lt;=115),(Q55/115)*20,R73)</f>
        <v>90</v>
      </c>
      <c r="R73" s="346">
        <f t="shared" ref="R73:R78" si="3">IF(AND(Q55&gt;115,Q55&lt;=275),20+((Q55-115)/160)*10,S73)</f>
        <v>90</v>
      </c>
      <c r="S73" s="346">
        <f t="shared" ref="S73:S78" si="4">IF(AND(Q55&gt;275,Q55&lt;=510),30+((Q55-275)/235)*10,T73)</f>
        <v>90</v>
      </c>
      <c r="T73" s="346">
        <f t="shared" ref="T73:T78" si="5">IF(AND(Q55&gt;510,Q55&lt;=835),40+((Q55-510)/325)*10,U73)</f>
        <v>90</v>
      </c>
      <c r="U73" s="346">
        <f t="shared" ref="U73:U78" si="6">IF(AND(Q55&gt;835,Q55&lt;=1340),50+((Q55-835)/505)*10,V73)</f>
        <v>90</v>
      </c>
      <c r="V73" s="346">
        <f t="shared" ref="V73:V78" si="7">IF(Q55&gt;1340,65,90)</f>
        <v>90</v>
      </c>
      <c r="W73" s="313"/>
      <c r="X73" s="313"/>
      <c r="Y73" s="292"/>
      <c r="Z73" s="343"/>
    </row>
    <row r="74" spans="1:26" x14ac:dyDescent="0.3">
      <c r="A74" s="437"/>
      <c r="B74" s="198"/>
      <c r="C74" s="198" t="s">
        <v>66</v>
      </c>
      <c r="F74" s="341">
        <v>30</v>
      </c>
      <c r="G74" s="137"/>
      <c r="H74" s="137">
        <v>40</v>
      </c>
      <c r="I74" s="137"/>
      <c r="J74" s="347">
        <v>50</v>
      </c>
      <c r="K74" s="137"/>
      <c r="L74" s="341">
        <v>30</v>
      </c>
      <c r="M74" s="341">
        <v>275</v>
      </c>
      <c r="N74" s="198"/>
      <c r="P74" s="328">
        <v>2</v>
      </c>
      <c r="Q74" s="345">
        <f t="shared" si="2"/>
        <v>90</v>
      </c>
      <c r="R74" s="346">
        <f t="shared" si="3"/>
        <v>90</v>
      </c>
      <c r="S74" s="346">
        <f t="shared" si="4"/>
        <v>90</v>
      </c>
      <c r="T74" s="346">
        <f t="shared" si="5"/>
        <v>90</v>
      </c>
      <c r="U74" s="346">
        <f t="shared" si="6"/>
        <v>90</v>
      </c>
      <c r="V74" s="346">
        <f t="shared" si="7"/>
        <v>90</v>
      </c>
      <c r="W74" s="313"/>
      <c r="X74" s="313"/>
      <c r="Y74" s="292"/>
      <c r="Z74" s="343"/>
    </row>
    <row r="75" spans="1:26" x14ac:dyDescent="0.3">
      <c r="A75" s="437"/>
      <c r="B75" s="198"/>
      <c r="C75" s="198" t="s">
        <v>67</v>
      </c>
      <c r="F75" s="348">
        <v>20</v>
      </c>
      <c r="G75" s="137"/>
      <c r="H75" s="137">
        <v>30</v>
      </c>
      <c r="I75" s="137"/>
      <c r="J75" s="349">
        <v>40</v>
      </c>
      <c r="K75" s="137"/>
      <c r="L75" s="341">
        <v>20</v>
      </c>
      <c r="M75" s="341">
        <v>115</v>
      </c>
      <c r="N75" s="198"/>
      <c r="P75" s="328">
        <v>3</v>
      </c>
      <c r="Q75" s="345">
        <f t="shared" si="2"/>
        <v>90</v>
      </c>
      <c r="R75" s="346">
        <f t="shared" si="3"/>
        <v>90</v>
      </c>
      <c r="S75" s="346">
        <f t="shared" si="4"/>
        <v>90</v>
      </c>
      <c r="T75" s="346">
        <f t="shared" si="5"/>
        <v>90</v>
      </c>
      <c r="U75" s="346">
        <f t="shared" si="6"/>
        <v>90</v>
      </c>
      <c r="V75" s="346">
        <f t="shared" si="7"/>
        <v>90</v>
      </c>
      <c r="W75" s="313"/>
      <c r="X75" s="313"/>
      <c r="Y75" s="292"/>
      <c r="Z75" s="343"/>
    </row>
    <row r="76" spans="1:26" x14ac:dyDescent="0.3">
      <c r="A76" s="437"/>
      <c r="B76" s="198"/>
      <c r="C76" s="198"/>
      <c r="D76" s="198"/>
      <c r="E76" s="198"/>
      <c r="F76" s="198"/>
      <c r="G76" s="198"/>
      <c r="H76" s="198"/>
      <c r="I76" s="137"/>
      <c r="J76" s="198"/>
      <c r="K76" s="137"/>
      <c r="L76" s="198"/>
      <c r="M76" s="198"/>
      <c r="N76" s="198"/>
      <c r="P76" s="328">
        <v>4</v>
      </c>
      <c r="Q76" s="345">
        <f t="shared" si="2"/>
        <v>90</v>
      </c>
      <c r="R76" s="346">
        <f t="shared" si="3"/>
        <v>90</v>
      </c>
      <c r="S76" s="346">
        <f t="shared" si="4"/>
        <v>90</v>
      </c>
      <c r="T76" s="346">
        <f t="shared" si="5"/>
        <v>90</v>
      </c>
      <c r="U76" s="346">
        <f t="shared" si="6"/>
        <v>90</v>
      </c>
      <c r="V76" s="346">
        <f t="shared" si="7"/>
        <v>90</v>
      </c>
      <c r="W76" s="313"/>
      <c r="X76" s="313"/>
      <c r="Y76" s="292"/>
      <c r="Z76" s="343"/>
    </row>
    <row r="77" spans="1:26" x14ac:dyDescent="0.3">
      <c r="A77" s="437"/>
      <c r="B77" s="198"/>
      <c r="C77" s="350"/>
      <c r="D77" s="198"/>
      <c r="E77" s="198"/>
      <c r="F77" s="198"/>
      <c r="G77" s="198"/>
      <c r="H77" s="198"/>
      <c r="I77" s="137"/>
      <c r="J77" s="198"/>
      <c r="K77" s="137"/>
      <c r="L77" s="198"/>
      <c r="M77" s="198"/>
      <c r="N77" s="198"/>
      <c r="P77" s="328">
        <v>5</v>
      </c>
      <c r="Q77" s="345">
        <f t="shared" si="2"/>
        <v>90</v>
      </c>
      <c r="R77" s="346">
        <f t="shared" si="3"/>
        <v>90</v>
      </c>
      <c r="S77" s="346">
        <f t="shared" si="4"/>
        <v>90</v>
      </c>
      <c r="T77" s="346">
        <f t="shared" si="5"/>
        <v>90</v>
      </c>
      <c r="U77" s="346">
        <f t="shared" si="6"/>
        <v>90</v>
      </c>
      <c r="V77" s="346">
        <f t="shared" si="7"/>
        <v>90</v>
      </c>
      <c r="W77" s="313"/>
      <c r="X77" s="313"/>
      <c r="Y77" s="292"/>
      <c r="Z77" s="343"/>
    </row>
    <row r="78" spans="1:26" x14ac:dyDescent="0.3">
      <c r="A78" s="437"/>
      <c r="C78" s="350" t="s">
        <v>26</v>
      </c>
      <c r="D78" s="351" t="s">
        <v>68</v>
      </c>
      <c r="E78" s="352"/>
      <c r="F78" s="198"/>
      <c r="G78" s="198"/>
      <c r="H78" s="198"/>
      <c r="I78" s="137"/>
      <c r="J78" s="198"/>
      <c r="K78" s="137"/>
      <c r="L78" s="198"/>
      <c r="M78" s="198"/>
      <c r="N78" s="198"/>
      <c r="P78" s="328">
        <v>6</v>
      </c>
      <c r="Q78" s="345">
        <f t="shared" si="2"/>
        <v>90</v>
      </c>
      <c r="R78" s="346">
        <f t="shared" si="3"/>
        <v>90</v>
      </c>
      <c r="S78" s="346">
        <f t="shared" si="4"/>
        <v>90</v>
      </c>
      <c r="T78" s="346">
        <f t="shared" si="5"/>
        <v>90</v>
      </c>
      <c r="U78" s="346">
        <f t="shared" si="6"/>
        <v>90</v>
      </c>
      <c r="V78" s="346">
        <f t="shared" si="7"/>
        <v>90</v>
      </c>
      <c r="W78" s="313"/>
      <c r="X78" s="313"/>
      <c r="Y78" s="292"/>
      <c r="Z78" s="343"/>
    </row>
    <row r="79" spans="1:26" x14ac:dyDescent="0.3">
      <c r="A79" s="437"/>
      <c r="C79" s="198"/>
      <c r="D79" s="198"/>
      <c r="E79" s="198"/>
      <c r="F79" s="198"/>
      <c r="G79" s="198"/>
      <c r="H79" s="198"/>
      <c r="I79" s="137"/>
      <c r="J79" s="198"/>
      <c r="K79" s="137"/>
      <c r="L79" s="198"/>
      <c r="M79" s="198"/>
      <c r="N79" s="198"/>
      <c r="P79" s="328">
        <v>7</v>
      </c>
      <c r="Q79" s="345">
        <f>IF(AND(Q61&gt;0,Q61&lt;=115),(Q61/115)*20,R79)</f>
        <v>90</v>
      </c>
      <c r="R79" s="346">
        <f>IF(AND(Q57&gt;115,Q57&lt;=275),20+((Q57-115)/160)*10,S79)</f>
        <v>90</v>
      </c>
      <c r="S79" s="346">
        <f>IF(AND(Q57&gt;275,Q57&lt;=510),30+((Q57-275)/235)*10,T79)</f>
        <v>90</v>
      </c>
      <c r="T79" s="346">
        <f>IF(AND(Q57&gt;510,Q57&lt;=835),40+((Q57-510)/325)*10,U79)</f>
        <v>90</v>
      </c>
      <c r="U79" s="346">
        <f>IF(AND(Q57&gt;835,Q57&lt;=1340),50+((Q57-835)/505)*10,V79)</f>
        <v>90</v>
      </c>
      <c r="V79" s="346">
        <f>IF(Q57&gt;1340,65,90)</f>
        <v>90</v>
      </c>
      <c r="W79" s="313"/>
      <c r="X79" s="313"/>
      <c r="Y79" s="292"/>
      <c r="Z79" s="343"/>
    </row>
    <row r="80" spans="1:26" x14ac:dyDescent="0.3">
      <c r="A80" s="437"/>
      <c r="C80" s="137">
        <v>0</v>
      </c>
      <c r="D80" s="198" t="s">
        <v>69</v>
      </c>
      <c r="E80" s="198"/>
      <c r="F80" s="198"/>
      <c r="G80" s="198"/>
      <c r="H80" s="198"/>
      <c r="I80" s="137"/>
      <c r="J80" s="198"/>
      <c r="K80" s="137"/>
      <c r="L80" s="198"/>
      <c r="M80" s="198"/>
      <c r="N80" s="198"/>
      <c r="P80" s="328">
        <v>8</v>
      </c>
      <c r="Q80" s="345">
        <f t="shared" ref="Q80:Q86" si="8">IF(AND(Q62&gt;0,Q62&lt;=115),(Q62/115)*20,R80)</f>
        <v>90</v>
      </c>
      <c r="R80" s="346">
        <f t="shared" ref="R80:R86" si="9">IF(AND(Q62&gt;115,Q62&lt;=275),20+((Q62-115)/160)*10,S80)</f>
        <v>90</v>
      </c>
      <c r="S80" s="346">
        <f t="shared" ref="S80:S86" si="10">IF(AND(Q62&gt;275,Q62&lt;=510),30+((Q62-275)/235)*10,T80)</f>
        <v>90</v>
      </c>
      <c r="T80" s="346">
        <f t="shared" ref="T80:T86" si="11">IF(AND(Q62&gt;510,Q62&lt;=835),40+((Q62-510)/325)*10,U80)</f>
        <v>90</v>
      </c>
      <c r="U80" s="346">
        <f t="shared" ref="U80:U86" si="12">IF(AND(Q62&gt;835,Q62&lt;=1340),50+((Q62-835)/505)*10,V80)</f>
        <v>90</v>
      </c>
      <c r="V80" s="346">
        <f t="shared" ref="V80:V86" si="13">IF(Q62&gt;1340,65,90)</f>
        <v>90</v>
      </c>
      <c r="W80" s="313"/>
      <c r="X80" s="287"/>
      <c r="Y80" s="292"/>
      <c r="Z80" s="343"/>
    </row>
    <row r="81" spans="1:26" x14ac:dyDescent="0.3">
      <c r="A81" s="437"/>
      <c r="C81" s="137">
        <v>5</v>
      </c>
      <c r="D81" s="198" t="s">
        <v>70</v>
      </c>
      <c r="E81" s="198"/>
      <c r="F81" s="198"/>
      <c r="G81" s="198"/>
      <c r="H81" s="198"/>
      <c r="I81" s="137"/>
      <c r="J81" s="198"/>
      <c r="K81" s="137"/>
      <c r="L81" s="198"/>
      <c r="M81" s="198"/>
      <c r="N81" s="198"/>
      <c r="P81" s="328">
        <v>9</v>
      </c>
      <c r="Q81" s="345">
        <f t="shared" si="8"/>
        <v>90</v>
      </c>
      <c r="R81" s="346">
        <f t="shared" si="9"/>
        <v>90</v>
      </c>
      <c r="S81" s="346">
        <f t="shared" si="10"/>
        <v>90</v>
      </c>
      <c r="T81" s="346">
        <f t="shared" si="11"/>
        <v>90</v>
      </c>
      <c r="U81" s="346">
        <f t="shared" si="12"/>
        <v>90</v>
      </c>
      <c r="V81" s="346">
        <f t="shared" si="13"/>
        <v>90</v>
      </c>
      <c r="W81" s="313"/>
      <c r="X81" s="291"/>
      <c r="Y81" s="292"/>
      <c r="Z81" s="343"/>
    </row>
    <row r="82" spans="1:26" x14ac:dyDescent="0.3">
      <c r="A82" s="437"/>
      <c r="C82" s="137"/>
      <c r="D82" s="198"/>
      <c r="E82" s="198"/>
      <c r="F82" s="198"/>
      <c r="G82" s="198"/>
      <c r="H82" s="198"/>
      <c r="I82" s="137"/>
      <c r="J82" s="198"/>
      <c r="K82" s="137"/>
      <c r="L82" s="198"/>
      <c r="M82" s="198"/>
      <c r="N82" s="198"/>
      <c r="P82" s="328">
        <v>10</v>
      </c>
      <c r="Q82" s="345">
        <f t="shared" si="8"/>
        <v>90</v>
      </c>
      <c r="R82" s="346">
        <f t="shared" si="9"/>
        <v>90</v>
      </c>
      <c r="S82" s="346">
        <f t="shared" si="10"/>
        <v>90</v>
      </c>
      <c r="T82" s="346">
        <f t="shared" si="11"/>
        <v>90</v>
      </c>
      <c r="U82" s="346">
        <f t="shared" si="12"/>
        <v>90</v>
      </c>
      <c r="V82" s="346">
        <f t="shared" si="13"/>
        <v>90</v>
      </c>
      <c r="W82" s="313"/>
      <c r="X82" s="291"/>
      <c r="Y82" s="292"/>
      <c r="Z82" s="343"/>
    </row>
    <row r="83" spans="1:26" x14ac:dyDescent="0.3">
      <c r="A83" s="437"/>
      <c r="C83" s="137"/>
      <c r="D83" s="198"/>
      <c r="E83" s="198"/>
      <c r="F83" s="198"/>
      <c r="G83" s="198"/>
      <c r="H83" s="198"/>
      <c r="I83" s="137"/>
      <c r="J83" s="198"/>
      <c r="K83" s="137"/>
      <c r="L83" s="198"/>
      <c r="M83" s="198"/>
      <c r="N83" s="198"/>
      <c r="P83" s="328">
        <v>11</v>
      </c>
      <c r="Q83" s="345">
        <f t="shared" si="8"/>
        <v>90</v>
      </c>
      <c r="R83" s="346">
        <f t="shared" si="9"/>
        <v>90</v>
      </c>
      <c r="S83" s="346">
        <f t="shared" si="10"/>
        <v>90</v>
      </c>
      <c r="T83" s="346">
        <f t="shared" si="11"/>
        <v>90</v>
      </c>
      <c r="U83" s="346">
        <f t="shared" si="12"/>
        <v>90</v>
      </c>
      <c r="V83" s="346">
        <f t="shared" si="13"/>
        <v>90</v>
      </c>
      <c r="W83" s="313"/>
      <c r="X83" s="291"/>
      <c r="Y83" s="292"/>
      <c r="Z83" s="343"/>
    </row>
    <row r="84" spans="1:26" x14ac:dyDescent="0.3">
      <c r="A84" s="437"/>
      <c r="B84" s="198"/>
      <c r="C84" s="198"/>
      <c r="D84" s="198"/>
      <c r="E84" s="198"/>
      <c r="F84" s="198"/>
      <c r="G84" s="198"/>
      <c r="H84" s="198"/>
      <c r="I84" s="137"/>
      <c r="J84" s="198"/>
      <c r="K84" s="137"/>
      <c r="L84" s="198"/>
      <c r="M84" s="198"/>
      <c r="N84" s="198"/>
      <c r="P84" s="328">
        <v>12</v>
      </c>
      <c r="Q84" s="345">
        <f t="shared" si="8"/>
        <v>90</v>
      </c>
      <c r="R84" s="346">
        <f t="shared" si="9"/>
        <v>90</v>
      </c>
      <c r="S84" s="346">
        <f t="shared" si="10"/>
        <v>90</v>
      </c>
      <c r="T84" s="346">
        <f t="shared" si="11"/>
        <v>90</v>
      </c>
      <c r="U84" s="346">
        <f t="shared" si="12"/>
        <v>90</v>
      </c>
      <c r="V84" s="346">
        <f t="shared" si="13"/>
        <v>90</v>
      </c>
      <c r="W84" s="313"/>
      <c r="X84" s="291"/>
      <c r="Y84" s="292"/>
      <c r="Z84" s="343"/>
    </row>
    <row r="85" spans="1:26" x14ac:dyDescent="0.3">
      <c r="A85" s="437"/>
      <c r="B85" s="198"/>
      <c r="D85" s="198"/>
      <c r="E85" s="198"/>
      <c r="F85" s="198"/>
      <c r="G85" s="353" t="s">
        <v>71</v>
      </c>
      <c r="J85" s="198"/>
      <c r="K85" s="137"/>
      <c r="L85" s="198"/>
      <c r="M85" s="198"/>
      <c r="N85" s="354">
        <f>IF(Geometry!T65&lt;&gt;0,5,0)</f>
        <v>0</v>
      </c>
      <c r="P85" s="328">
        <v>13</v>
      </c>
      <c r="Q85" s="345">
        <f t="shared" si="8"/>
        <v>90</v>
      </c>
      <c r="R85" s="346">
        <f t="shared" si="9"/>
        <v>90</v>
      </c>
      <c r="S85" s="346">
        <f t="shared" si="10"/>
        <v>90</v>
      </c>
      <c r="T85" s="346">
        <f t="shared" si="11"/>
        <v>90</v>
      </c>
      <c r="U85" s="346">
        <f t="shared" si="12"/>
        <v>90</v>
      </c>
      <c r="V85" s="346">
        <f t="shared" si="13"/>
        <v>90</v>
      </c>
      <c r="W85" s="313"/>
      <c r="X85" s="291"/>
      <c r="Y85" s="292"/>
      <c r="Z85" s="343"/>
    </row>
    <row r="86" spans="1:26" x14ac:dyDescent="0.3">
      <c r="A86" s="437"/>
      <c r="B86" s="198"/>
      <c r="C86" s="198"/>
      <c r="D86" s="198"/>
      <c r="E86" s="198"/>
      <c r="F86" s="198"/>
      <c r="G86" s="198"/>
      <c r="H86" s="198"/>
      <c r="I86" s="137"/>
      <c r="J86" s="198"/>
      <c r="K86" s="137"/>
      <c r="L86" s="198"/>
      <c r="M86" s="198"/>
      <c r="N86" s="198"/>
      <c r="P86" s="328">
        <v>14</v>
      </c>
      <c r="Q86" s="345">
        <f t="shared" si="8"/>
        <v>90</v>
      </c>
      <c r="R86" s="346">
        <f t="shared" si="9"/>
        <v>90</v>
      </c>
      <c r="S86" s="346">
        <f t="shared" si="10"/>
        <v>90</v>
      </c>
      <c r="T86" s="346">
        <f t="shared" si="11"/>
        <v>90</v>
      </c>
      <c r="U86" s="346">
        <f t="shared" si="12"/>
        <v>90</v>
      </c>
      <c r="V86" s="346">
        <f t="shared" si="13"/>
        <v>90</v>
      </c>
      <c r="W86" s="313"/>
      <c r="X86" s="291"/>
      <c r="Y86" s="292"/>
      <c r="Z86" s="343"/>
    </row>
    <row r="87" spans="1:26" x14ac:dyDescent="0.3">
      <c r="P87" s="355"/>
      <c r="Q87" s="356"/>
      <c r="R87" s="356"/>
      <c r="S87" s="356"/>
      <c r="T87" s="356"/>
      <c r="U87" s="356"/>
      <c r="V87" s="356"/>
      <c r="W87" s="356"/>
      <c r="X87" s="356"/>
      <c r="Y87" s="357"/>
      <c r="Z87" s="358"/>
    </row>
    <row r="88" spans="1:26" x14ac:dyDescent="0.3">
      <c r="P88" s="198"/>
    </row>
    <row r="90" spans="1:26" x14ac:dyDescent="0.3">
      <c r="A90" s="437"/>
      <c r="B90" s="198"/>
      <c r="C90" s="198"/>
      <c r="D90" s="198"/>
      <c r="E90" s="198"/>
      <c r="F90" s="198"/>
      <c r="G90" s="198"/>
      <c r="H90" s="198"/>
      <c r="I90" s="137"/>
      <c r="J90" s="198"/>
      <c r="K90" s="137"/>
      <c r="L90" s="198"/>
      <c r="M90" s="198"/>
      <c r="N90" s="198"/>
    </row>
    <row r="91" spans="1:26" x14ac:dyDescent="0.3">
      <c r="A91" s="437"/>
      <c r="B91" s="330" t="s">
        <v>72</v>
      </c>
      <c r="C91" s="198"/>
      <c r="D91" s="198"/>
      <c r="E91" s="198"/>
      <c r="F91" s="198"/>
      <c r="G91" s="198"/>
      <c r="H91" s="198"/>
      <c r="I91" s="137"/>
      <c r="J91" s="198"/>
      <c r="K91" s="137"/>
      <c r="L91" s="198"/>
      <c r="M91" s="198"/>
      <c r="N91" s="198"/>
    </row>
    <row r="92" spans="1:26" x14ac:dyDescent="0.3">
      <c r="A92" s="437"/>
      <c r="B92" s="198"/>
      <c r="C92" s="198"/>
      <c r="D92" s="198"/>
      <c r="E92" s="198"/>
      <c r="F92" s="198"/>
      <c r="G92" s="198"/>
      <c r="H92" s="198"/>
      <c r="I92" s="137"/>
      <c r="J92" s="198"/>
      <c r="K92" s="137"/>
      <c r="L92" s="198"/>
      <c r="M92" s="198"/>
      <c r="N92" s="198"/>
      <c r="P92" s="198"/>
    </row>
    <row r="93" spans="1:26" x14ac:dyDescent="0.3">
      <c r="A93" s="437"/>
      <c r="D93" s="198" t="s">
        <v>56</v>
      </c>
      <c r="E93" s="198"/>
      <c r="F93" s="198"/>
      <c r="G93" s="198"/>
      <c r="H93" s="198"/>
      <c r="I93" s="198"/>
      <c r="J93" s="137"/>
      <c r="K93" s="198"/>
      <c r="L93" s="137"/>
      <c r="M93" s="198"/>
      <c r="N93" s="198"/>
      <c r="P93" s="359">
        <f>IF(OR('BR Summary'!D13=7,'BR Summary'!D13=8),P97,P103)</f>
        <v>0</v>
      </c>
      <c r="Q93" s="126" t="s">
        <v>292</v>
      </c>
    </row>
    <row r="94" spans="1:26" x14ac:dyDescent="0.3">
      <c r="A94" s="437"/>
      <c r="E94" s="198" t="s">
        <v>73</v>
      </c>
      <c r="F94" s="198"/>
      <c r="G94" s="198"/>
      <c r="H94" s="198"/>
      <c r="I94" s="198"/>
      <c r="J94" s="137"/>
      <c r="K94" s="198"/>
      <c r="L94" s="137"/>
      <c r="M94" s="198"/>
      <c r="N94" s="198"/>
    </row>
    <row r="95" spans="1:26" x14ac:dyDescent="0.3">
      <c r="A95" s="437"/>
      <c r="B95" s="198"/>
      <c r="E95" s="198"/>
      <c r="F95" s="198"/>
      <c r="G95" s="198"/>
      <c r="H95" s="198"/>
      <c r="I95" s="198"/>
      <c r="J95" s="137"/>
      <c r="K95" s="198"/>
      <c r="L95" s="137"/>
      <c r="M95" s="198"/>
      <c r="N95" s="198"/>
      <c r="P95" s="138"/>
      <c r="Q95" s="360" t="s">
        <v>150</v>
      </c>
      <c r="R95" s="138"/>
    </row>
    <row r="96" spans="1:26" x14ac:dyDescent="0.3">
      <c r="A96" s="437"/>
      <c r="B96" s="198"/>
      <c r="C96" s="198"/>
      <c r="D96" s="330" t="s">
        <v>75</v>
      </c>
      <c r="E96" s="198"/>
      <c r="F96" s="198"/>
      <c r="G96" s="198" t="s">
        <v>74</v>
      </c>
      <c r="H96" s="198"/>
      <c r="I96" s="198"/>
      <c r="J96" s="137"/>
      <c r="K96" s="198"/>
      <c r="L96" s="137"/>
      <c r="M96" s="198"/>
      <c r="N96" s="198"/>
      <c r="P96" s="137"/>
      <c r="Q96" s="137"/>
      <c r="R96" s="137"/>
    </row>
    <row r="97" spans="1:21" x14ac:dyDescent="0.3">
      <c r="A97" s="437"/>
      <c r="B97" s="198"/>
      <c r="C97" s="198"/>
      <c r="E97" s="198"/>
      <c r="F97" s="198"/>
      <c r="G97" s="198"/>
      <c r="H97" s="198"/>
      <c r="P97" s="137">
        <f>IF(Geometry!P47&lt;&gt;0,Q97,P98)</f>
        <v>0</v>
      </c>
      <c r="Q97" s="137">
        <f>IF(Geometry!P44&lt;400,Geometry!D101,R97)</f>
        <v>7</v>
      </c>
      <c r="R97" s="137">
        <f>IF(Geometry!P44&lt;2001,Geometry!E101,Geometry!F101)</f>
        <v>6</v>
      </c>
    </row>
    <row r="98" spans="1:21" x14ac:dyDescent="0.3">
      <c r="A98" s="437"/>
      <c r="B98" s="198"/>
      <c r="C98" s="198"/>
      <c r="D98" s="138"/>
      <c r="E98" s="341" t="s">
        <v>150</v>
      </c>
      <c r="F98" s="138"/>
      <c r="G98" s="138"/>
      <c r="H98" s="198"/>
      <c r="P98" s="137">
        <f>IF(Geometry!P48&lt;&gt;0,Q98,P99)</f>
        <v>0</v>
      </c>
      <c r="Q98" s="137">
        <f>IF(Geometry!P44&lt;400,Geometry!D102,R98)</f>
        <v>9</v>
      </c>
      <c r="R98" s="137">
        <f>IF(Geometry!P44&lt;2001,Geometry!E102,Geometry!F102)</f>
        <v>8</v>
      </c>
    </row>
    <row r="99" spans="1:21" x14ac:dyDescent="0.3">
      <c r="A99" s="437"/>
      <c r="B99" s="334" t="s">
        <v>77</v>
      </c>
      <c r="D99" s="138"/>
      <c r="E99" s="361" t="s">
        <v>224</v>
      </c>
      <c r="F99" s="138"/>
      <c r="G99" s="138"/>
      <c r="H99" s="198"/>
      <c r="P99" s="137">
        <f>IF(Geometry!P49&lt;&gt;0,Q99,0)</f>
        <v>0</v>
      </c>
      <c r="Q99" s="137">
        <f>IF(Geometry!P44&lt;400,Geometry!D103,R99)</f>
        <v>12</v>
      </c>
      <c r="R99" s="137">
        <f>IF(Geometry!P44&lt;2001,Geometry!E103,Geometry!F103)</f>
        <v>10</v>
      </c>
      <c r="S99" s="350"/>
      <c r="T99" s="350"/>
      <c r="U99" s="350"/>
    </row>
    <row r="100" spans="1:21" x14ac:dyDescent="0.3">
      <c r="A100" s="437"/>
      <c r="B100" s="198" t="s">
        <v>80</v>
      </c>
      <c r="C100" s="198"/>
      <c r="D100" s="362" t="s">
        <v>62</v>
      </c>
      <c r="E100" s="362" t="s">
        <v>147</v>
      </c>
      <c r="F100" s="362" t="s">
        <v>64</v>
      </c>
      <c r="G100" s="362"/>
      <c r="H100" s="198"/>
      <c r="S100" s="198"/>
      <c r="T100" s="198"/>
      <c r="U100" s="198"/>
    </row>
    <row r="101" spans="1:21" x14ac:dyDescent="0.3">
      <c r="A101" s="437"/>
      <c r="B101" s="198" t="s">
        <v>82</v>
      </c>
      <c r="C101" s="198"/>
      <c r="D101" s="138">
        <v>7</v>
      </c>
      <c r="E101" s="138">
        <v>6</v>
      </c>
      <c r="F101" s="341">
        <v>5</v>
      </c>
      <c r="G101" s="341"/>
      <c r="Q101" s="363" t="s">
        <v>151</v>
      </c>
      <c r="S101" s="198"/>
      <c r="T101" s="198"/>
      <c r="U101" s="198"/>
    </row>
    <row r="102" spans="1:21" x14ac:dyDescent="0.3">
      <c r="A102" s="437"/>
      <c r="B102" s="198" t="s">
        <v>83</v>
      </c>
      <c r="C102" s="198"/>
      <c r="D102" s="138">
        <v>9</v>
      </c>
      <c r="E102" s="138">
        <v>8</v>
      </c>
      <c r="F102" s="138">
        <v>7</v>
      </c>
      <c r="G102" s="138"/>
      <c r="H102" s="198"/>
      <c r="P102" s="137"/>
      <c r="Q102" s="137"/>
      <c r="R102" s="137"/>
      <c r="S102" s="198"/>
      <c r="T102" s="198"/>
      <c r="U102" s="198"/>
    </row>
    <row r="103" spans="1:21" x14ac:dyDescent="0.3">
      <c r="A103" s="437"/>
      <c r="B103" s="198" t="s">
        <v>84</v>
      </c>
      <c r="C103" s="198"/>
      <c r="D103" s="138">
        <v>12</v>
      </c>
      <c r="E103" s="138">
        <v>10</v>
      </c>
      <c r="F103" s="138">
        <v>10</v>
      </c>
      <c r="G103" s="138"/>
      <c r="H103" s="198"/>
      <c r="P103" s="137">
        <f>IF(Geometry!P47&lt;&gt;0,Q103,P104)</f>
        <v>0</v>
      </c>
      <c r="Q103" s="137">
        <f>IF(Geometry!P44&lt;400,Geometry!D108,R103)</f>
        <v>5</v>
      </c>
      <c r="R103" s="137">
        <f>IF(Geometry!P44&lt;2001,Geometry!E108,Geometry!F108)</f>
        <v>4</v>
      </c>
    </row>
    <row r="104" spans="1:21" x14ac:dyDescent="0.3">
      <c r="A104" s="437"/>
      <c r="H104" s="198"/>
      <c r="P104" s="137">
        <f>IF(Geometry!P48&lt;&gt;0,Q104,P105)</f>
        <v>0</v>
      </c>
      <c r="Q104" s="137">
        <f>IF(Geometry!P44&lt;400,Geometry!D109,R104)</f>
        <v>6</v>
      </c>
      <c r="R104" s="137">
        <f>IF(Geometry!P44&lt;2001,Geometry!E109,Geometry!F109)</f>
        <v>5</v>
      </c>
      <c r="T104" s="141"/>
    </row>
    <row r="105" spans="1:21" x14ac:dyDescent="0.3">
      <c r="A105" s="437"/>
      <c r="D105" s="137"/>
      <c r="E105" s="341" t="s">
        <v>151</v>
      </c>
      <c r="F105" s="137"/>
      <c r="G105" s="137"/>
      <c r="P105" s="137">
        <f>IF(Geometry!P49&lt;&gt;0,Q105,0)</f>
        <v>0</v>
      </c>
      <c r="Q105" s="137">
        <f>IF(Geometry!P44&lt;400,Geometry!D110,R105)</f>
        <v>8</v>
      </c>
      <c r="R105" s="137">
        <f>IF(Geometry!P44&lt;2001,Geometry!E110,Geometry!F110)</f>
        <v>7</v>
      </c>
      <c r="T105" s="137"/>
    </row>
    <row r="106" spans="1:21" x14ac:dyDescent="0.3">
      <c r="A106" s="437"/>
      <c r="D106" s="137"/>
      <c r="E106" s="361" t="s">
        <v>225</v>
      </c>
      <c r="F106" s="137"/>
      <c r="G106" s="137"/>
      <c r="H106" s="198"/>
      <c r="P106" s="138"/>
      <c r="Q106" s="138"/>
      <c r="R106" s="138"/>
      <c r="S106" s="341"/>
      <c r="T106" s="341"/>
      <c r="U106" s="341"/>
    </row>
    <row r="107" spans="1:21" x14ac:dyDescent="0.3">
      <c r="A107" s="437"/>
      <c r="D107" s="364" t="s">
        <v>78</v>
      </c>
      <c r="E107" s="364" t="s">
        <v>63</v>
      </c>
      <c r="F107" s="364" t="s">
        <v>64</v>
      </c>
      <c r="G107" s="364"/>
      <c r="H107" s="198"/>
      <c r="P107" s="138"/>
      <c r="Q107" s="138"/>
      <c r="R107" s="138"/>
      <c r="S107" s="341"/>
      <c r="T107" s="341"/>
      <c r="U107" s="341"/>
    </row>
    <row r="108" spans="1:21" x14ac:dyDescent="0.3">
      <c r="A108" s="437"/>
      <c r="B108" s="198" t="s">
        <v>82</v>
      </c>
      <c r="D108" s="341">
        <v>5</v>
      </c>
      <c r="E108" s="341">
        <v>4</v>
      </c>
      <c r="F108" s="341">
        <v>3</v>
      </c>
      <c r="G108" s="341"/>
      <c r="H108" s="198"/>
      <c r="I108" s="198"/>
      <c r="J108" s="137"/>
      <c r="K108" s="198"/>
      <c r="L108" s="137"/>
      <c r="M108" s="198"/>
      <c r="N108" s="198"/>
      <c r="P108" s="138"/>
      <c r="Q108" s="138"/>
      <c r="R108" s="365" t="s">
        <v>165</v>
      </c>
    </row>
    <row r="109" spans="1:21" x14ac:dyDescent="0.3">
      <c r="A109" s="437"/>
      <c r="B109" s="198" t="s">
        <v>83</v>
      </c>
      <c r="D109" s="341">
        <v>6</v>
      </c>
      <c r="E109" s="341">
        <v>5</v>
      </c>
      <c r="F109" s="341">
        <v>4</v>
      </c>
      <c r="G109" s="341"/>
      <c r="H109" s="198"/>
      <c r="I109" s="198"/>
      <c r="J109" s="137"/>
      <c r="K109" s="198"/>
      <c r="L109" s="137"/>
      <c r="M109" s="198"/>
      <c r="N109" s="198"/>
      <c r="P109" s="138"/>
      <c r="Q109" s="138"/>
      <c r="R109" s="138"/>
    </row>
    <row r="110" spans="1:21" x14ac:dyDescent="0.3">
      <c r="A110" s="437"/>
      <c r="B110" s="198" t="s">
        <v>84</v>
      </c>
      <c r="D110" s="341">
        <v>8</v>
      </c>
      <c r="E110" s="341">
        <v>7</v>
      </c>
      <c r="F110" s="341">
        <v>6</v>
      </c>
      <c r="G110" s="341"/>
      <c r="H110" s="198"/>
      <c r="I110" s="198"/>
      <c r="J110" s="137"/>
      <c r="K110" s="198"/>
      <c r="L110" s="137"/>
      <c r="M110" s="198"/>
      <c r="N110" s="198"/>
      <c r="Q110" s="126" t="s">
        <v>166</v>
      </c>
      <c r="R110" s="126" t="s">
        <v>130</v>
      </c>
      <c r="S110" s="137" t="s">
        <v>162</v>
      </c>
      <c r="T110" s="126" t="s">
        <v>163</v>
      </c>
    </row>
    <row r="111" spans="1:21" x14ac:dyDescent="0.3">
      <c r="A111" s="437"/>
      <c r="B111" s="198"/>
      <c r="C111" s="198"/>
      <c r="D111" s="198"/>
      <c r="E111" s="198"/>
      <c r="F111" s="198"/>
      <c r="G111" s="198"/>
      <c r="H111" s="198"/>
      <c r="I111" s="137"/>
      <c r="J111" s="198"/>
      <c r="K111" s="137"/>
      <c r="L111" s="198"/>
      <c r="M111" s="198"/>
      <c r="N111" s="198"/>
      <c r="Q111" s="126" t="s">
        <v>161</v>
      </c>
      <c r="R111" s="126" t="s">
        <v>160</v>
      </c>
      <c r="S111" s="137" t="s">
        <v>159</v>
      </c>
      <c r="T111" s="137" t="s">
        <v>161</v>
      </c>
      <c r="U111" s="141"/>
    </row>
    <row r="112" spans="1:21" x14ac:dyDescent="0.3">
      <c r="A112" s="437"/>
      <c r="B112" s="198"/>
      <c r="C112" s="198"/>
      <c r="D112" s="198"/>
      <c r="E112" s="198"/>
      <c r="F112" s="198"/>
      <c r="G112" s="198"/>
      <c r="H112" s="198"/>
      <c r="I112" s="137"/>
      <c r="J112" s="198"/>
      <c r="K112" s="137"/>
      <c r="L112" s="198"/>
      <c r="M112" s="198"/>
      <c r="N112" s="198"/>
      <c r="P112" s="347">
        <v>1</v>
      </c>
      <c r="Q112" s="354">
        <f>Geometry!H19</f>
        <v>0</v>
      </c>
      <c r="R112" s="354">
        <f>Geometry!G19</f>
        <v>0</v>
      </c>
      <c r="S112" s="366">
        <f>P93</f>
        <v>0</v>
      </c>
      <c r="T112" s="137">
        <f t="shared" ref="T112:T121" si="14">IF(R112&gt;S112,Q112,0)</f>
        <v>0</v>
      </c>
      <c r="U112" s="200"/>
    </row>
    <row r="113" spans="1:21" x14ac:dyDescent="0.3">
      <c r="A113" s="437"/>
      <c r="C113" s="334" t="s">
        <v>4</v>
      </c>
      <c r="E113" s="334" t="s">
        <v>85</v>
      </c>
      <c r="F113" s="198"/>
      <c r="G113" s="198"/>
      <c r="H113" s="198"/>
      <c r="I113" s="137"/>
      <c r="J113" s="198"/>
      <c r="K113" s="137"/>
      <c r="L113" s="198"/>
      <c r="M113" s="198"/>
      <c r="N113" s="198"/>
      <c r="P113" s="347">
        <v>2</v>
      </c>
      <c r="Q113" s="354">
        <f>Geometry!H20</f>
        <v>0</v>
      </c>
      <c r="R113" s="354">
        <f>Geometry!G20</f>
        <v>0</v>
      </c>
      <c r="S113" s="366">
        <f>P93</f>
        <v>0</v>
      </c>
      <c r="T113" s="137">
        <f t="shared" si="14"/>
        <v>0</v>
      </c>
      <c r="U113" s="200"/>
    </row>
    <row r="114" spans="1:21" x14ac:dyDescent="0.3">
      <c r="A114" s="437"/>
      <c r="C114" s="198" t="s">
        <v>86</v>
      </c>
      <c r="D114" s="198"/>
      <c r="E114" s="198"/>
      <c r="F114" s="198"/>
      <c r="G114" s="198"/>
      <c r="H114" s="198"/>
      <c r="I114" s="137"/>
      <c r="J114" s="198"/>
      <c r="K114" s="137"/>
      <c r="L114" s="198"/>
      <c r="M114" s="198"/>
      <c r="N114" s="198"/>
      <c r="P114" s="347">
        <v>3</v>
      </c>
      <c r="Q114" s="354">
        <f>Geometry!H21</f>
        <v>0</v>
      </c>
      <c r="R114" s="354">
        <f>Geometry!G21</f>
        <v>0</v>
      </c>
      <c r="S114" s="366">
        <f>P93</f>
        <v>0</v>
      </c>
      <c r="T114" s="137">
        <f t="shared" si="14"/>
        <v>0</v>
      </c>
      <c r="U114" s="137"/>
    </row>
    <row r="115" spans="1:21" x14ac:dyDescent="0.3">
      <c r="A115" s="437"/>
      <c r="C115" s="137">
        <v>0</v>
      </c>
      <c r="D115" s="198"/>
      <c r="E115" s="198" t="s">
        <v>87</v>
      </c>
      <c r="F115" s="198"/>
      <c r="G115" s="198"/>
      <c r="H115" s="198"/>
      <c r="I115" s="137"/>
      <c r="J115" s="198"/>
      <c r="K115" s="137"/>
      <c r="L115" s="198"/>
      <c r="M115" s="198"/>
      <c r="N115" s="198"/>
      <c r="P115" s="347">
        <v>4</v>
      </c>
      <c r="Q115" s="354">
        <f>Geometry!H22</f>
        <v>0</v>
      </c>
      <c r="R115" s="354">
        <f>Geometry!G22</f>
        <v>0</v>
      </c>
      <c r="S115" s="366">
        <f>P93</f>
        <v>0</v>
      </c>
      <c r="T115" s="137">
        <f t="shared" si="14"/>
        <v>0</v>
      </c>
      <c r="U115" s="137"/>
    </row>
    <row r="116" spans="1:21" x14ac:dyDescent="0.3">
      <c r="A116" s="437"/>
      <c r="C116" s="137">
        <v>5</v>
      </c>
      <c r="D116" s="198"/>
      <c r="E116" s="198" t="s">
        <v>88</v>
      </c>
      <c r="F116" s="198"/>
      <c r="G116" s="198"/>
      <c r="H116" s="198"/>
      <c r="I116" s="137"/>
      <c r="J116" s="198"/>
      <c r="K116" s="137"/>
      <c r="L116" s="198"/>
      <c r="M116" s="198"/>
      <c r="N116" s="198"/>
      <c r="P116" s="347">
        <v>5</v>
      </c>
      <c r="Q116" s="354">
        <f>Geometry!H23</f>
        <v>0</v>
      </c>
      <c r="R116" s="354">
        <f>Geometry!G23</f>
        <v>0</v>
      </c>
      <c r="S116" s="366">
        <f>P93</f>
        <v>0</v>
      </c>
      <c r="T116" s="137">
        <f t="shared" si="14"/>
        <v>0</v>
      </c>
      <c r="U116" s="137"/>
    </row>
    <row r="117" spans="1:21" x14ac:dyDescent="0.3">
      <c r="A117" s="437"/>
      <c r="B117" s="137"/>
      <c r="C117" s="198"/>
      <c r="D117" s="198"/>
      <c r="E117" s="198"/>
      <c r="F117" s="198"/>
      <c r="G117" s="198"/>
      <c r="H117" s="198"/>
      <c r="I117" s="137"/>
      <c r="J117" s="198"/>
      <c r="K117" s="137"/>
      <c r="L117" s="198"/>
      <c r="M117" s="198"/>
      <c r="N117" s="198"/>
      <c r="P117" s="347">
        <v>6</v>
      </c>
      <c r="Q117" s="354">
        <f>Geometry!H24</f>
        <v>0</v>
      </c>
      <c r="R117" s="354">
        <f>Geometry!G24</f>
        <v>0</v>
      </c>
      <c r="S117" s="366">
        <f>P93</f>
        <v>0</v>
      </c>
      <c r="T117" s="137">
        <f t="shared" si="14"/>
        <v>0</v>
      </c>
      <c r="U117" s="137"/>
    </row>
    <row r="118" spans="1:21" x14ac:dyDescent="0.3">
      <c r="A118" s="437"/>
      <c r="B118" s="198" t="s">
        <v>12</v>
      </c>
      <c r="C118" s="198"/>
      <c r="D118" s="198"/>
      <c r="E118" s="198"/>
      <c r="F118" s="198"/>
      <c r="G118" s="198"/>
      <c r="H118" s="198"/>
      <c r="I118" s="137"/>
      <c r="J118" s="198"/>
      <c r="K118" s="137"/>
      <c r="L118" s="198"/>
      <c r="M118" s="198"/>
      <c r="N118" s="198"/>
      <c r="P118" s="347">
        <v>7</v>
      </c>
      <c r="Q118" s="354">
        <f>Geometry!H25</f>
        <v>0</v>
      </c>
      <c r="R118" s="354">
        <f>Geometry!G25</f>
        <v>0</v>
      </c>
      <c r="S118" s="366">
        <f>P93</f>
        <v>0</v>
      </c>
      <c r="T118" s="137">
        <f t="shared" si="14"/>
        <v>0</v>
      </c>
      <c r="U118" s="137"/>
    </row>
    <row r="119" spans="1:21" x14ac:dyDescent="0.3">
      <c r="A119" s="437"/>
      <c r="B119" s="198"/>
      <c r="D119" s="198"/>
      <c r="E119" s="198"/>
      <c r="F119" s="198"/>
      <c r="G119" s="353" t="s">
        <v>89</v>
      </c>
      <c r="J119" s="198"/>
      <c r="K119" s="137"/>
      <c r="L119" s="198"/>
      <c r="M119" s="198"/>
      <c r="N119" s="354">
        <f>IF(Geometry!T122&lt;&gt;0,5,0)</f>
        <v>0</v>
      </c>
      <c r="P119" s="347">
        <v>8</v>
      </c>
      <c r="Q119" s="354">
        <f>Geometry!H26</f>
        <v>0</v>
      </c>
      <c r="R119" s="354">
        <f>Geometry!G26</f>
        <v>0</v>
      </c>
      <c r="S119" s="366">
        <f>P93</f>
        <v>0</v>
      </c>
      <c r="T119" s="137">
        <f t="shared" si="14"/>
        <v>0</v>
      </c>
      <c r="U119" s="137"/>
    </row>
    <row r="120" spans="1:21" x14ac:dyDescent="0.3">
      <c r="P120" s="347">
        <v>9</v>
      </c>
      <c r="Q120" s="354">
        <f>Geometry!H27</f>
        <v>0</v>
      </c>
      <c r="R120" s="354">
        <f>Geometry!G27</f>
        <v>0</v>
      </c>
      <c r="S120" s="366">
        <f>P93</f>
        <v>0</v>
      </c>
      <c r="T120" s="137">
        <f t="shared" si="14"/>
        <v>0</v>
      </c>
      <c r="U120" s="137"/>
    </row>
    <row r="121" spans="1:21" x14ac:dyDescent="0.3">
      <c r="P121" s="347">
        <v>10</v>
      </c>
      <c r="Q121" s="354">
        <f>Geometry!H28</f>
        <v>0</v>
      </c>
      <c r="R121" s="354">
        <f>Geometry!G28</f>
        <v>0</v>
      </c>
      <c r="S121" s="366">
        <f>P93</f>
        <v>0</v>
      </c>
      <c r="T121" s="137">
        <f t="shared" si="14"/>
        <v>0</v>
      </c>
      <c r="U121" s="137"/>
    </row>
    <row r="122" spans="1:21" x14ac:dyDescent="0.3">
      <c r="P122" s="137"/>
      <c r="Q122" s="137"/>
      <c r="R122" s="137"/>
      <c r="S122" s="126" t="s">
        <v>164</v>
      </c>
      <c r="T122" s="354">
        <f>SUM(T112:T121)</f>
        <v>0</v>
      </c>
      <c r="U122" s="137"/>
    </row>
    <row r="123" spans="1:21" x14ac:dyDescent="0.3">
      <c r="P123" s="137"/>
      <c r="Q123" s="137"/>
      <c r="R123" s="137"/>
      <c r="S123" s="126" t="s">
        <v>163</v>
      </c>
      <c r="U123" s="137"/>
    </row>
    <row r="124" spans="1:21" x14ac:dyDescent="0.3">
      <c r="P124" s="137"/>
      <c r="Q124" s="137"/>
      <c r="R124" s="137"/>
      <c r="S124" s="126" t="s">
        <v>161</v>
      </c>
    </row>
    <row r="125" spans="1:21" x14ac:dyDescent="0.3">
      <c r="C125" s="367"/>
      <c r="D125" s="368" t="s">
        <v>76</v>
      </c>
      <c r="E125" s="195"/>
      <c r="F125" s="369"/>
      <c r="G125" s="370"/>
      <c r="H125" s="370"/>
      <c r="I125" s="282"/>
      <c r="J125" s="282"/>
      <c r="K125" s="282"/>
      <c r="L125" s="283"/>
      <c r="P125" s="137"/>
      <c r="Q125" s="137"/>
      <c r="R125" s="137"/>
      <c r="S125" s="366"/>
      <c r="T125" s="137"/>
    </row>
    <row r="126" spans="1:21" x14ac:dyDescent="0.3">
      <c r="C126" s="201"/>
      <c r="D126" s="137"/>
      <c r="E126" s="198"/>
      <c r="F126" s="137"/>
      <c r="G126" s="198"/>
      <c r="H126" s="198"/>
      <c r="L126" s="284"/>
    </row>
    <row r="127" spans="1:21" x14ac:dyDescent="0.3">
      <c r="C127" s="201" t="s">
        <v>152</v>
      </c>
      <c r="D127" s="198" t="s">
        <v>153</v>
      </c>
      <c r="E127" s="198"/>
      <c r="F127" s="141" t="s">
        <v>152</v>
      </c>
      <c r="G127" s="198" t="s">
        <v>153</v>
      </c>
      <c r="H127" s="198"/>
      <c r="L127" s="284"/>
    </row>
    <row r="128" spans="1:21" x14ac:dyDescent="0.3">
      <c r="C128" s="371" t="s">
        <v>154</v>
      </c>
      <c r="D128" s="200" t="s">
        <v>155</v>
      </c>
      <c r="E128" s="137"/>
      <c r="F128" s="200" t="s">
        <v>154</v>
      </c>
      <c r="G128" s="200" t="s">
        <v>155</v>
      </c>
      <c r="H128" s="200"/>
      <c r="L128" s="284"/>
    </row>
    <row r="129" spans="3:16" ht="12.75" customHeight="1" x14ac:dyDescent="0.3">
      <c r="C129" s="372">
        <v>10</v>
      </c>
      <c r="D129" s="373" t="s">
        <v>156</v>
      </c>
      <c r="E129" s="137"/>
      <c r="F129" s="137">
        <v>35</v>
      </c>
      <c r="G129" s="373">
        <v>250</v>
      </c>
      <c r="H129" s="373"/>
      <c r="I129" s="433" t="s">
        <v>301</v>
      </c>
      <c r="J129" s="433"/>
      <c r="K129" s="433"/>
      <c r="L129" s="434"/>
    </row>
    <row r="130" spans="3:16" ht="12.75" customHeight="1" x14ac:dyDescent="0.3">
      <c r="C130" s="372">
        <v>15</v>
      </c>
      <c r="D130" s="373">
        <v>80</v>
      </c>
      <c r="E130" s="137"/>
      <c r="F130" s="137">
        <v>40</v>
      </c>
      <c r="G130" s="373">
        <v>305</v>
      </c>
      <c r="H130" s="373"/>
      <c r="I130" s="433"/>
      <c r="J130" s="433"/>
      <c r="K130" s="433"/>
      <c r="L130" s="434"/>
      <c r="P130" s="198"/>
    </row>
    <row r="131" spans="3:16" x14ac:dyDescent="0.3">
      <c r="C131" s="372">
        <v>20</v>
      </c>
      <c r="D131" s="373">
        <v>115</v>
      </c>
      <c r="E131" s="137"/>
      <c r="F131" s="137">
        <v>45</v>
      </c>
      <c r="G131" s="373">
        <v>360</v>
      </c>
      <c r="H131" s="373"/>
      <c r="I131" s="433"/>
      <c r="J131" s="433"/>
      <c r="K131" s="433"/>
      <c r="L131" s="434"/>
    </row>
    <row r="132" spans="3:16" x14ac:dyDescent="0.3">
      <c r="C132" s="372">
        <v>25</v>
      </c>
      <c r="D132" s="373">
        <v>155</v>
      </c>
      <c r="E132" s="137"/>
      <c r="F132" s="137">
        <v>50</v>
      </c>
      <c r="G132" s="373">
        <v>425</v>
      </c>
      <c r="H132" s="373"/>
      <c r="L132" s="284"/>
    </row>
    <row r="133" spans="3:16" x14ac:dyDescent="0.3">
      <c r="C133" s="372">
        <v>30</v>
      </c>
      <c r="D133" s="373">
        <v>200</v>
      </c>
      <c r="E133" s="137"/>
      <c r="F133" s="137">
        <v>55</v>
      </c>
      <c r="G133" s="373">
        <v>495</v>
      </c>
      <c r="H133" s="373"/>
      <c r="L133" s="284"/>
    </row>
    <row r="134" spans="3:16" x14ac:dyDescent="0.3">
      <c r="C134" s="201"/>
      <c r="D134" s="198"/>
      <c r="E134" s="198"/>
      <c r="F134" s="137">
        <v>60</v>
      </c>
      <c r="G134" s="373">
        <v>570</v>
      </c>
      <c r="H134" s="373"/>
      <c r="L134" s="284"/>
    </row>
    <row r="135" spans="3:16" x14ac:dyDescent="0.3">
      <c r="C135" s="203"/>
      <c r="D135" s="374"/>
      <c r="E135" s="204"/>
      <c r="F135" s="374"/>
      <c r="G135" s="204"/>
      <c r="H135" s="204"/>
      <c r="I135" s="285"/>
      <c r="J135" s="285"/>
      <c r="K135" s="285"/>
      <c r="L135" s="286"/>
    </row>
  </sheetData>
  <sheetProtection algorithmName="SHA-512" hashValue="I6FMvrkXFlsyGL4xbi8cURBbpMNYGe2qdKcYnx1TpDqepAoZIvAKJq+x5xB0ruK+RWqmfj0IBh8Wf7Ju9fbMQQ==" saltValue="CzHK1jmkjvJtzX3q5ocGAQ==" spinCount="100000" sheet="1" selectLockedCells="1"/>
  <mergeCells count="15">
    <mergeCell ref="AX33:BA33"/>
    <mergeCell ref="BA14:BC14"/>
    <mergeCell ref="AV24:AW24"/>
    <mergeCell ref="BA24:BD24"/>
    <mergeCell ref="AV14:AW14"/>
    <mergeCell ref="C4:E4"/>
    <mergeCell ref="G11:I11"/>
    <mergeCell ref="C11:D11"/>
    <mergeCell ref="F4:J4"/>
    <mergeCell ref="H7:J7"/>
    <mergeCell ref="I129:L131"/>
    <mergeCell ref="P68:P71"/>
    <mergeCell ref="B15:B18"/>
    <mergeCell ref="A60:A86"/>
    <mergeCell ref="A90:A119"/>
  </mergeCells>
  <conditionalFormatting sqref="D15:D16">
    <cfRule type="expression" dxfId="4" priority="7" stopIfTrue="1">
      <formula>ISERROR($C$57)</formula>
    </cfRule>
  </conditionalFormatting>
  <conditionalFormatting sqref="I15 J16">
    <cfRule type="expression" dxfId="3" priority="6" stopIfTrue="1">
      <formula>ISERROR($I$57)</formula>
    </cfRule>
  </conditionalFormatting>
  <conditionalFormatting sqref="I15">
    <cfRule type="containsErrors" dxfId="2" priority="1">
      <formula>ISERROR(I15)</formula>
    </cfRule>
  </conditionalFormatting>
  <conditionalFormatting sqref="J29:J30 O50:O51">
    <cfRule type="expression" dxfId="1" priority="8" stopIfTrue="1">
      <formula>ISERROR(#REF!)</formula>
    </cfRule>
  </conditionalFormatting>
  <conditionalFormatting sqref="L29:L30">
    <cfRule type="expression" dxfId="0" priority="4" stopIfTrue="1">
      <formula>ISERROR(#REF!)</formula>
    </cfRule>
  </conditionalFormatting>
  <hyperlinks>
    <hyperlink ref="C15" location="Geometry!A60" display="Calculation Below" xr:uid="{00000000-0004-0000-0300-000000000000}"/>
    <hyperlink ref="H15" location="Geometry!A90" display="Calc." xr:uid="{00000000-0004-0000-0300-000001000000}"/>
  </hyperlink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indexed="35"/>
  </sheetPr>
  <dimension ref="A1:K73"/>
  <sheetViews>
    <sheetView showGridLines="0" tabSelected="1" zoomScale="110" zoomScaleNormal="110" workbookViewId="0">
      <selection activeCell="G32" sqref="G32"/>
    </sheetView>
  </sheetViews>
  <sheetFormatPr defaultColWidth="7.7265625" defaultRowHeight="12.5" x14ac:dyDescent="0.25"/>
  <cols>
    <col min="1" max="16384" width="7.7265625" style="265"/>
  </cols>
  <sheetData>
    <row r="1" spans="1:10" ht="12.75" customHeight="1" x14ac:dyDescent="0.25">
      <c r="A1" s="446"/>
      <c r="C1" s="447" t="s">
        <v>259</v>
      </c>
      <c r="D1" s="448"/>
      <c r="E1" s="448"/>
      <c r="F1" s="448"/>
      <c r="G1" s="448"/>
      <c r="H1" s="449"/>
    </row>
    <row r="2" spans="1:10" ht="12.75" customHeight="1" thickBot="1" x14ac:dyDescent="0.3">
      <c r="A2" s="446"/>
      <c r="C2" s="450"/>
      <c r="D2" s="451"/>
      <c r="E2" s="451"/>
      <c r="F2" s="451"/>
      <c r="G2" s="451"/>
      <c r="H2" s="452"/>
    </row>
    <row r="3" spans="1:10" ht="12.75" customHeight="1" x14ac:dyDescent="0.25">
      <c r="A3" s="446"/>
      <c r="C3" s="274"/>
      <c r="D3" s="274"/>
      <c r="E3" s="274"/>
      <c r="F3" s="274"/>
      <c r="G3" s="274"/>
      <c r="H3" s="274"/>
    </row>
    <row r="4" spans="1:10" ht="13" x14ac:dyDescent="0.3">
      <c r="A4" s="446"/>
      <c r="B4" s="45"/>
      <c r="C4" s="46"/>
      <c r="D4" s="46"/>
      <c r="E4" s="46" t="s">
        <v>174</v>
      </c>
      <c r="F4" s="46"/>
      <c r="G4" s="46"/>
      <c r="H4" s="46"/>
      <c r="I4" s="47"/>
      <c r="J4" s="267"/>
    </row>
    <row r="5" spans="1:10" x14ac:dyDescent="0.25">
      <c r="A5" s="446"/>
      <c r="B5" s="48"/>
      <c r="C5" s="49"/>
      <c r="D5" s="50"/>
      <c r="E5" s="50"/>
      <c r="F5" s="50"/>
      <c r="G5" s="50"/>
      <c r="H5" s="49"/>
      <c r="I5" s="51"/>
    </row>
    <row r="6" spans="1:10" x14ac:dyDescent="0.25">
      <c r="A6" s="446"/>
      <c r="B6" s="52" t="s">
        <v>175</v>
      </c>
      <c r="C6" s="53"/>
      <c r="D6" s="54"/>
      <c r="E6" s="50"/>
      <c r="F6" s="50"/>
      <c r="G6" s="55" t="s">
        <v>178</v>
      </c>
      <c r="H6" s="53"/>
      <c r="I6" s="56"/>
      <c r="J6" s="269"/>
    </row>
    <row r="7" spans="1:10" x14ac:dyDescent="0.25">
      <c r="A7" s="446"/>
      <c r="B7" s="57" t="s">
        <v>251</v>
      </c>
      <c r="C7" s="49"/>
      <c r="D7" s="50"/>
      <c r="E7" s="50"/>
      <c r="F7" s="50"/>
      <c r="G7" s="58" t="s">
        <v>252</v>
      </c>
      <c r="H7" s="49"/>
      <c r="I7" s="51"/>
      <c r="J7" s="269"/>
    </row>
    <row r="8" spans="1:10" x14ac:dyDescent="0.25">
      <c r="A8" s="446"/>
      <c r="B8" s="52"/>
      <c r="C8" s="55" t="s">
        <v>228</v>
      </c>
      <c r="D8" s="59" t="s">
        <v>26</v>
      </c>
      <c r="E8" s="50"/>
      <c r="F8" s="50"/>
      <c r="G8" s="49"/>
      <c r="H8" s="55" t="s">
        <v>228</v>
      </c>
      <c r="I8" s="60" t="s">
        <v>26</v>
      </c>
      <c r="J8" s="269"/>
    </row>
    <row r="9" spans="1:10" x14ac:dyDescent="0.25">
      <c r="A9" s="446"/>
      <c r="B9" s="272" t="s">
        <v>179</v>
      </c>
      <c r="C9" s="111"/>
      <c r="D9" s="49" t="str">
        <f>IF(C9&lt;&gt;"",1,"")</f>
        <v/>
      </c>
      <c r="E9" s="61">
        <f>IF(D9&lt;&gt;"",1,0)</f>
        <v>0</v>
      </c>
      <c r="F9" s="50"/>
      <c r="G9" s="271" t="s">
        <v>180</v>
      </c>
      <c r="H9" s="111"/>
      <c r="I9" s="62" t="str">
        <f>IF(H9&lt;&gt;"",1,"")</f>
        <v/>
      </c>
      <c r="J9" s="270">
        <f>IF(I9&lt;&gt;"",1,0)</f>
        <v>0</v>
      </c>
    </row>
    <row r="10" spans="1:10" x14ac:dyDescent="0.25">
      <c r="A10" s="446"/>
      <c r="B10" s="272" t="s">
        <v>181</v>
      </c>
      <c r="C10" s="111"/>
      <c r="D10" s="49" t="str">
        <f>IF(C10&lt;&gt;"",3,"")</f>
        <v/>
      </c>
      <c r="E10" s="61">
        <f>IF(D10&lt;&gt;"",1,0)</f>
        <v>0</v>
      </c>
      <c r="F10" s="50"/>
      <c r="G10" s="271" t="s">
        <v>182</v>
      </c>
      <c r="H10" s="5"/>
      <c r="I10" s="62" t="str">
        <f>IF(H10&lt;&gt;"",2,"")</f>
        <v/>
      </c>
      <c r="J10" s="270">
        <f>IF(I10&lt;&gt;"",1,0)</f>
        <v>0</v>
      </c>
    </row>
    <row r="11" spans="1:10" x14ac:dyDescent="0.25">
      <c r="A11" s="446"/>
      <c r="B11" s="272" t="s">
        <v>183</v>
      </c>
      <c r="C11" s="111"/>
      <c r="D11" s="3" t="str">
        <f>IF(C11&lt;&gt;"",5,"")</f>
        <v/>
      </c>
      <c r="E11" s="61">
        <f>IF(D11&lt;&gt;"",1,0)</f>
        <v>0</v>
      </c>
      <c r="F11" s="50"/>
      <c r="G11" s="271" t="s">
        <v>181</v>
      </c>
      <c r="H11" s="111"/>
      <c r="I11" s="62" t="str">
        <f>IF(H11&lt;&gt;"",4,"")</f>
        <v/>
      </c>
      <c r="J11" s="270">
        <f>IF(I11&lt;&gt;"",1,0)</f>
        <v>0</v>
      </c>
    </row>
    <row r="12" spans="1:10" x14ac:dyDescent="0.25">
      <c r="A12" s="446"/>
      <c r="B12" s="48"/>
      <c r="C12" s="50"/>
      <c r="D12" s="49"/>
      <c r="E12" s="61">
        <f>SUM(E9:E11)</f>
        <v>0</v>
      </c>
      <c r="F12" s="50"/>
      <c r="G12" s="271" t="s">
        <v>183</v>
      </c>
      <c r="H12" s="387"/>
      <c r="I12" s="63" t="str">
        <f>IF(H12&lt;&gt;"",5,"")</f>
        <v/>
      </c>
      <c r="J12" s="270">
        <f>IF(I12&lt;&gt;"",1,0)</f>
        <v>0</v>
      </c>
    </row>
    <row r="13" spans="1:10" x14ac:dyDescent="0.25">
      <c r="A13" s="446"/>
      <c r="B13" s="48"/>
      <c r="C13" s="55" t="s">
        <v>229</v>
      </c>
      <c r="D13" s="4">
        <f>IF(E12&gt;1,0,SUM(D9:D11))</f>
        <v>0</v>
      </c>
      <c r="E13" s="50"/>
      <c r="F13" s="50"/>
      <c r="G13" s="55" t="s">
        <v>230</v>
      </c>
      <c r="H13" s="4">
        <f>IF(J13&gt;1,0,SUM(I9:I12))</f>
        <v>0</v>
      </c>
      <c r="I13" s="62"/>
      <c r="J13" s="270">
        <f>SUM(J9:J12)</f>
        <v>0</v>
      </c>
    </row>
    <row r="14" spans="1:10" x14ac:dyDescent="0.25">
      <c r="A14" s="446"/>
      <c r="B14" s="64"/>
      <c r="C14" s="65"/>
      <c r="D14" s="65"/>
      <c r="E14" s="65"/>
      <c r="F14" s="65"/>
      <c r="G14" s="65"/>
      <c r="H14" s="65"/>
      <c r="I14" s="66"/>
      <c r="J14" s="269"/>
    </row>
    <row r="15" spans="1:10" x14ac:dyDescent="0.25">
      <c r="A15" s="446"/>
    </row>
    <row r="16" spans="1:10" ht="13" x14ac:dyDescent="0.3">
      <c r="B16" s="45"/>
      <c r="C16" s="67"/>
      <c r="D16" s="46" t="s">
        <v>184</v>
      </c>
      <c r="E16" s="67"/>
      <c r="F16" s="68"/>
    </row>
    <row r="17" spans="2:9" x14ac:dyDescent="0.25">
      <c r="B17" s="48"/>
      <c r="C17" s="50"/>
      <c r="D17" s="53"/>
      <c r="E17" s="54"/>
      <c r="F17" s="51"/>
    </row>
    <row r="18" spans="2:9" x14ac:dyDescent="0.25">
      <c r="B18" s="48"/>
      <c r="C18" s="50"/>
      <c r="D18" s="55" t="s">
        <v>228</v>
      </c>
      <c r="E18" s="59" t="s">
        <v>26</v>
      </c>
      <c r="F18" s="51"/>
    </row>
    <row r="19" spans="2:9" x14ac:dyDescent="0.25">
      <c r="B19" s="273" t="s">
        <v>185</v>
      </c>
      <c r="C19" s="50"/>
      <c r="D19" s="5"/>
      <c r="E19" s="49" t="str">
        <f>IF(D19&lt;&gt;"",1,"")</f>
        <v/>
      </c>
      <c r="F19" s="69">
        <f>IF(E19&lt;&gt;"",1,0)</f>
        <v>0</v>
      </c>
    </row>
    <row r="20" spans="2:9" x14ac:dyDescent="0.25">
      <c r="B20" s="273" t="s">
        <v>186</v>
      </c>
      <c r="C20" s="50"/>
      <c r="D20" s="111"/>
      <c r="E20" s="49" t="str">
        <f>IF(D20&lt;&gt;"",2,"")</f>
        <v/>
      </c>
      <c r="F20" s="69">
        <f>IF(E20&lt;&gt;"",1,0)</f>
        <v>0</v>
      </c>
    </row>
    <row r="21" spans="2:9" x14ac:dyDescent="0.25">
      <c r="B21" s="273" t="s">
        <v>187</v>
      </c>
      <c r="C21" s="50"/>
      <c r="D21" s="111"/>
      <c r="E21" s="49" t="str">
        <f>IF(D21&lt;&gt;"",5,"")</f>
        <v/>
      </c>
      <c r="F21" s="69">
        <f>IF(E21&lt;&gt;"",1,0)</f>
        <v>0</v>
      </c>
    </row>
    <row r="22" spans="2:9" x14ac:dyDescent="0.25">
      <c r="B22" s="273" t="s">
        <v>188</v>
      </c>
      <c r="C22" s="50"/>
      <c r="D22" s="111"/>
      <c r="E22" s="3" t="str">
        <f>IF(D22&lt;&gt;"",6,"")</f>
        <v/>
      </c>
      <c r="F22" s="69">
        <f>IF(E22&lt;&gt;"",1,0)</f>
        <v>0</v>
      </c>
    </row>
    <row r="23" spans="2:9" x14ac:dyDescent="0.25">
      <c r="B23" s="273" t="s">
        <v>189</v>
      </c>
      <c r="C23" s="50"/>
      <c r="D23" s="111"/>
      <c r="E23" s="3" t="str">
        <f>IF(D23&lt;&gt;"",10,"")</f>
        <v/>
      </c>
      <c r="F23" s="69">
        <f>IF(E23&lt;&gt;"",1,0)</f>
        <v>0</v>
      </c>
    </row>
    <row r="24" spans="2:9" x14ac:dyDescent="0.25">
      <c r="B24" s="48"/>
      <c r="C24" s="50"/>
      <c r="D24" s="50"/>
      <c r="E24" s="50"/>
      <c r="F24" s="69">
        <f>SUM(F19:F23)</f>
        <v>0</v>
      </c>
    </row>
    <row r="25" spans="2:9" x14ac:dyDescent="0.25">
      <c r="B25" s="48"/>
      <c r="C25" s="50"/>
      <c r="D25" s="55" t="s">
        <v>190</v>
      </c>
      <c r="E25" s="4">
        <f>IF(F24&gt;1,0,SUM(E19:E23))</f>
        <v>0</v>
      </c>
      <c r="F25" s="51"/>
    </row>
    <row r="26" spans="2:9" x14ac:dyDescent="0.25">
      <c r="B26" s="64"/>
      <c r="C26" s="65"/>
      <c r="D26" s="65"/>
      <c r="E26" s="65"/>
      <c r="F26" s="66"/>
    </row>
    <row r="28" spans="2:9" ht="13" x14ac:dyDescent="0.3">
      <c r="B28" s="45"/>
      <c r="C28" s="46"/>
      <c r="D28" s="46" t="s">
        <v>191</v>
      </c>
      <c r="E28" s="46"/>
      <c r="F28" s="46"/>
      <c r="G28" s="46"/>
      <c r="H28" s="47"/>
    </row>
    <row r="29" spans="2:9" x14ac:dyDescent="0.25">
      <c r="B29" s="48"/>
      <c r="C29" s="50"/>
      <c r="D29" s="50"/>
      <c r="E29" s="50"/>
      <c r="F29" s="49"/>
      <c r="G29" s="50"/>
      <c r="H29" s="51"/>
    </row>
    <row r="30" spans="2:9" x14ac:dyDescent="0.25">
      <c r="B30" s="48"/>
      <c r="C30" s="50"/>
      <c r="D30" s="50"/>
      <c r="E30" s="50"/>
      <c r="F30" s="53"/>
      <c r="G30" s="54"/>
      <c r="H30" s="51"/>
    </row>
    <row r="31" spans="2:9" x14ac:dyDescent="0.25">
      <c r="B31" s="48"/>
      <c r="C31" s="50"/>
      <c r="D31" s="50"/>
      <c r="E31" s="50"/>
      <c r="F31" s="49"/>
      <c r="G31" s="55" t="s">
        <v>228</v>
      </c>
      <c r="H31" s="60" t="s">
        <v>26</v>
      </c>
      <c r="I31" s="269"/>
    </row>
    <row r="32" spans="2:9" x14ac:dyDescent="0.25">
      <c r="B32" s="74" t="s">
        <v>192</v>
      </c>
      <c r="C32" s="50"/>
      <c r="D32" s="50"/>
      <c r="E32" s="50"/>
      <c r="F32" s="49">
        <v>2</v>
      </c>
      <c r="G32" s="5"/>
      <c r="H32" s="62" t="str">
        <f>IF(G32&lt;&gt;"",F32,"")</f>
        <v/>
      </c>
      <c r="I32" s="270">
        <f>IF(H32&lt;&gt;"",1,0)</f>
        <v>0</v>
      </c>
    </row>
    <row r="33" spans="2:11" x14ac:dyDescent="0.25">
      <c r="B33" s="74" t="s">
        <v>193</v>
      </c>
      <c r="C33" s="50"/>
      <c r="D33" s="50"/>
      <c r="E33" s="50"/>
      <c r="F33" s="49">
        <v>4</v>
      </c>
      <c r="G33" s="5"/>
      <c r="H33" s="62" t="str">
        <f t="shared" ref="H33:H38" si="0">IF(G33&lt;&gt;"",F33,"")</f>
        <v/>
      </c>
      <c r="I33" s="270">
        <f t="shared" ref="I33:I38" si="1">IF(H33&lt;&gt;"",1,0)</f>
        <v>0</v>
      </c>
    </row>
    <row r="34" spans="2:11" x14ac:dyDescent="0.25">
      <c r="B34" s="74" t="s">
        <v>194</v>
      </c>
      <c r="C34" s="50"/>
      <c r="D34" s="50"/>
      <c r="E34" s="50"/>
      <c r="F34" s="49">
        <v>4</v>
      </c>
      <c r="G34" s="111"/>
      <c r="H34" s="62" t="str">
        <f t="shared" si="0"/>
        <v/>
      </c>
      <c r="I34" s="270">
        <f t="shared" si="1"/>
        <v>0</v>
      </c>
    </row>
    <row r="35" spans="2:11" x14ac:dyDescent="0.25">
      <c r="B35" s="74" t="s">
        <v>195</v>
      </c>
      <c r="C35" s="50"/>
      <c r="D35" s="50"/>
      <c r="E35" s="50"/>
      <c r="F35" s="49">
        <v>6</v>
      </c>
      <c r="G35" s="5"/>
      <c r="H35" s="62" t="str">
        <f t="shared" si="0"/>
        <v/>
      </c>
      <c r="I35" s="270">
        <f t="shared" si="1"/>
        <v>0</v>
      </c>
    </row>
    <row r="36" spans="2:11" x14ac:dyDescent="0.25">
      <c r="B36" s="74" t="s">
        <v>196</v>
      </c>
      <c r="C36" s="50"/>
      <c r="D36" s="50"/>
      <c r="E36" s="50"/>
      <c r="F36" s="49">
        <v>8</v>
      </c>
      <c r="G36" s="5"/>
      <c r="H36" s="62" t="str">
        <f t="shared" si="0"/>
        <v/>
      </c>
      <c r="I36" s="270">
        <f t="shared" si="1"/>
        <v>0</v>
      </c>
    </row>
    <row r="37" spans="2:11" x14ac:dyDescent="0.25">
      <c r="B37" s="74" t="s">
        <v>197</v>
      </c>
      <c r="C37" s="50"/>
      <c r="D37" s="50"/>
      <c r="E37" s="50"/>
      <c r="F37" s="49">
        <v>10</v>
      </c>
      <c r="G37" s="111"/>
      <c r="H37" s="62" t="str">
        <f t="shared" si="0"/>
        <v/>
      </c>
      <c r="I37" s="270">
        <f t="shared" si="1"/>
        <v>0</v>
      </c>
    </row>
    <row r="38" spans="2:11" x14ac:dyDescent="0.25">
      <c r="B38" s="74" t="s">
        <v>198</v>
      </c>
      <c r="C38" s="50"/>
      <c r="D38" s="50"/>
      <c r="E38" s="50"/>
      <c r="F38" s="49">
        <v>10</v>
      </c>
      <c r="G38" s="111"/>
      <c r="H38" s="62" t="str">
        <f t="shared" si="0"/>
        <v/>
      </c>
      <c r="I38" s="270">
        <f t="shared" si="1"/>
        <v>0</v>
      </c>
    </row>
    <row r="39" spans="2:11" x14ac:dyDescent="0.25">
      <c r="B39" s="48"/>
      <c r="C39" s="50"/>
      <c r="D39" s="50"/>
      <c r="E39" s="50"/>
      <c r="F39" s="50"/>
      <c r="G39" s="49"/>
      <c r="H39" s="62"/>
      <c r="I39" s="270">
        <f>SUM(I32:I38)</f>
        <v>0</v>
      </c>
    </row>
    <row r="40" spans="2:11" x14ac:dyDescent="0.25">
      <c r="B40" s="48"/>
      <c r="C40" s="50"/>
      <c r="D40" s="50"/>
      <c r="E40" s="50"/>
      <c r="F40" s="55" t="s">
        <v>199</v>
      </c>
      <c r="G40" s="4">
        <f>IF(I39&gt;1,0,SUM(H32:H38))</f>
        <v>0</v>
      </c>
      <c r="H40" s="62"/>
      <c r="I40" s="269"/>
    </row>
    <row r="41" spans="2:11" x14ac:dyDescent="0.25">
      <c r="B41" s="64"/>
      <c r="C41" s="65"/>
      <c r="D41" s="65"/>
      <c r="E41" s="65"/>
      <c r="F41" s="65"/>
      <c r="G41" s="65"/>
      <c r="H41" s="66"/>
    </row>
    <row r="43" spans="2:11" ht="13" x14ac:dyDescent="0.3">
      <c r="B43" s="70"/>
      <c r="C43" s="46" t="s">
        <v>54</v>
      </c>
      <c r="D43" s="46"/>
      <c r="E43" s="68"/>
      <c r="G43" s="70"/>
      <c r="H43" s="46" t="s">
        <v>53</v>
      </c>
      <c r="I43" s="46"/>
      <c r="J43" s="68"/>
    </row>
    <row r="44" spans="2:11" x14ac:dyDescent="0.25">
      <c r="B44" s="48"/>
      <c r="C44" s="49" t="s">
        <v>176</v>
      </c>
      <c r="D44" s="50" t="s">
        <v>177</v>
      </c>
      <c r="E44" s="51"/>
      <c r="G44" s="52" t="s">
        <v>200</v>
      </c>
      <c r="H44" s="49" t="s">
        <v>176</v>
      </c>
      <c r="I44" s="50" t="s">
        <v>177</v>
      </c>
      <c r="J44" s="51"/>
    </row>
    <row r="45" spans="2:11" x14ac:dyDescent="0.25">
      <c r="B45" s="52" t="s">
        <v>201</v>
      </c>
      <c r="C45" s="53" t="s">
        <v>26</v>
      </c>
      <c r="D45" s="54" t="s">
        <v>26</v>
      </c>
      <c r="E45" s="51"/>
      <c r="F45" s="269"/>
      <c r="G45" s="52" t="s">
        <v>202</v>
      </c>
      <c r="H45" s="53" t="s">
        <v>26</v>
      </c>
      <c r="I45" s="54" t="s">
        <v>26</v>
      </c>
      <c r="J45" s="51"/>
      <c r="K45" s="269"/>
    </row>
    <row r="46" spans="2:11" x14ac:dyDescent="0.25">
      <c r="B46" s="71" t="s">
        <v>203</v>
      </c>
      <c r="C46" s="49"/>
      <c r="D46" s="55" t="s">
        <v>228</v>
      </c>
      <c r="E46" s="60" t="s">
        <v>26</v>
      </c>
      <c r="F46" s="269"/>
      <c r="G46" s="71" t="s">
        <v>204</v>
      </c>
      <c r="H46" s="49"/>
      <c r="I46" s="55" t="s">
        <v>228</v>
      </c>
      <c r="J46" s="60" t="s">
        <v>26</v>
      </c>
      <c r="K46" s="269"/>
    </row>
    <row r="47" spans="2:11" x14ac:dyDescent="0.25">
      <c r="B47" s="52">
        <v>1</v>
      </c>
      <c r="C47" s="49">
        <v>1</v>
      </c>
      <c r="D47" s="5"/>
      <c r="E47" s="62" t="str">
        <f>IF(D47&lt;&gt;"",1,"")</f>
        <v/>
      </c>
      <c r="F47" s="270">
        <f>IF(E47&lt;&gt;"",1,0)</f>
        <v>0</v>
      </c>
      <c r="G47" s="52" t="s">
        <v>205</v>
      </c>
      <c r="H47" s="49">
        <v>1</v>
      </c>
      <c r="I47" s="5"/>
      <c r="J47" s="62" t="str">
        <f>IF(I47&lt;&gt;"",1,"")</f>
        <v/>
      </c>
      <c r="K47" s="270">
        <f>IF(J47&lt;&gt;"",1,0)</f>
        <v>0</v>
      </c>
    </row>
    <row r="48" spans="2:11" x14ac:dyDescent="0.25">
      <c r="B48" s="52">
        <v>2</v>
      </c>
      <c r="C48" s="49">
        <v>2</v>
      </c>
      <c r="D48" s="111"/>
      <c r="E48" s="63" t="str">
        <f>IF(D48&lt;&gt;"",2,"")</f>
        <v/>
      </c>
      <c r="F48" s="270">
        <f>IF(E48&lt;&gt;"",1,0)</f>
        <v>0</v>
      </c>
      <c r="G48" s="72" t="s">
        <v>206</v>
      </c>
      <c r="H48" s="49">
        <v>2</v>
      </c>
      <c r="I48" s="5"/>
      <c r="J48" s="63" t="str">
        <f>IF(I48&lt;&gt;"",2,"")</f>
        <v/>
      </c>
      <c r="K48" s="270">
        <f>IF(J48&lt;&gt;"",1,0)</f>
        <v>0</v>
      </c>
    </row>
    <row r="49" spans="2:11" x14ac:dyDescent="0.25">
      <c r="B49" s="52">
        <v>3</v>
      </c>
      <c r="C49" s="49">
        <v>3</v>
      </c>
      <c r="D49" s="5"/>
      <c r="E49" s="63" t="str">
        <f>IF(D49&lt;&gt;"",3,"")</f>
        <v/>
      </c>
      <c r="F49" s="270">
        <f>IF(E49&lt;&gt;"",1,0)</f>
        <v>0</v>
      </c>
      <c r="G49" s="73" t="s">
        <v>207</v>
      </c>
      <c r="H49" s="49">
        <v>5</v>
      </c>
      <c r="I49" s="111"/>
      <c r="J49" s="63" t="str">
        <f>IF(I49&lt;&gt;"",5,"")</f>
        <v/>
      </c>
      <c r="K49" s="270">
        <f>IF(J49&lt;&gt;"",1,0)</f>
        <v>0</v>
      </c>
    </row>
    <row r="50" spans="2:11" x14ac:dyDescent="0.25">
      <c r="B50" s="52">
        <v>4</v>
      </c>
      <c r="C50" s="49">
        <v>4</v>
      </c>
      <c r="D50" s="111"/>
      <c r="E50" s="63" t="str">
        <f>IF(D50&lt;&gt;"",4,"")</f>
        <v/>
      </c>
      <c r="F50" s="270">
        <f>IF(E50&lt;&gt;"",1,0)</f>
        <v>0</v>
      </c>
      <c r="G50" s="73" t="s">
        <v>208</v>
      </c>
      <c r="H50" s="49">
        <v>7</v>
      </c>
      <c r="I50" s="111"/>
      <c r="J50" s="63" t="str">
        <f>IF(I50&lt;&gt;"",7,"")</f>
        <v/>
      </c>
      <c r="K50" s="270">
        <f>IF(J50&lt;&gt;"",1,0)</f>
        <v>0</v>
      </c>
    </row>
    <row r="51" spans="2:11" x14ac:dyDescent="0.25">
      <c r="B51" s="52">
        <v>5</v>
      </c>
      <c r="C51" s="49">
        <v>5</v>
      </c>
      <c r="D51" s="111"/>
      <c r="E51" s="63" t="str">
        <f>IF(D51&lt;&gt;"",5,"")</f>
        <v/>
      </c>
      <c r="F51" s="270">
        <f>IF(E51&lt;&gt;"",1,0)</f>
        <v>0</v>
      </c>
      <c r="G51" s="52" t="s">
        <v>111</v>
      </c>
      <c r="H51" s="49">
        <v>10</v>
      </c>
      <c r="I51" s="111"/>
      <c r="J51" s="63" t="str">
        <f>IF(I51&lt;&gt;"",10,"")</f>
        <v/>
      </c>
      <c r="K51" s="270">
        <f>IF(J51&lt;&gt;"",1,0)</f>
        <v>0</v>
      </c>
    </row>
    <row r="52" spans="2:11" x14ac:dyDescent="0.25">
      <c r="B52" s="48"/>
      <c r="C52" s="50"/>
      <c r="D52" s="50"/>
      <c r="E52" s="69"/>
      <c r="F52" s="270">
        <f>SUM(F45:F51)</f>
        <v>0</v>
      </c>
      <c r="G52" s="48"/>
      <c r="H52" s="50"/>
      <c r="I52" s="50"/>
      <c r="J52" s="62"/>
      <c r="K52" s="270">
        <f>SUM(K45:K51)</f>
        <v>0</v>
      </c>
    </row>
    <row r="53" spans="2:11" x14ac:dyDescent="0.25">
      <c r="B53" s="48"/>
      <c r="C53" s="55" t="s">
        <v>209</v>
      </c>
      <c r="D53" s="4">
        <f>IF(F52&gt;1,0,SUM(E47:E51))</f>
        <v>0</v>
      </c>
      <c r="E53" s="51"/>
      <c r="F53" s="269"/>
      <c r="G53" s="74" t="s">
        <v>210</v>
      </c>
      <c r="H53" s="50"/>
      <c r="I53" s="50"/>
      <c r="J53" s="51"/>
    </row>
    <row r="54" spans="2:11" x14ac:dyDescent="0.25">
      <c r="B54" s="64"/>
      <c r="C54" s="65"/>
      <c r="D54" s="65"/>
      <c r="E54" s="66"/>
      <c r="G54" s="48"/>
      <c r="H54" s="50"/>
      <c r="I54" s="50"/>
      <c r="J54" s="51"/>
    </row>
    <row r="55" spans="2:11" x14ac:dyDescent="0.25">
      <c r="G55" s="48"/>
      <c r="H55" s="55" t="s">
        <v>211</v>
      </c>
      <c r="I55" s="4">
        <f>IF(K52&gt;1,0,SUM(J47:J51))</f>
        <v>0</v>
      </c>
      <c r="J55" s="51"/>
    </row>
    <row r="56" spans="2:11" x14ac:dyDescent="0.25">
      <c r="G56" s="64"/>
      <c r="H56" s="65"/>
      <c r="I56" s="65"/>
      <c r="J56" s="66"/>
    </row>
    <row r="58" spans="2:11" ht="13" x14ac:dyDescent="0.3">
      <c r="I58" s="268" t="s">
        <v>227</v>
      </c>
      <c r="J58" s="266">
        <f>MIN(40,(SUM(D13,H13,E25,G40,I55,D53)))</f>
        <v>0</v>
      </c>
    </row>
    <row r="59" spans="2:11" ht="13" x14ac:dyDescent="0.3">
      <c r="F59" s="267"/>
      <c r="G59" s="389" t="s">
        <v>309</v>
      </c>
      <c r="H59" s="267"/>
      <c r="I59" s="267"/>
      <c r="J59" s="267"/>
    </row>
    <row r="60" spans="2:11" ht="13" x14ac:dyDescent="0.3">
      <c r="I60" s="388"/>
    </row>
    <row r="73" spans="6:10" ht="13" x14ac:dyDescent="0.3">
      <c r="F73" s="267"/>
      <c r="G73" s="267"/>
      <c r="H73" s="267"/>
      <c r="I73" s="267"/>
      <c r="J73" s="267"/>
    </row>
  </sheetData>
  <sheetProtection algorithmName="SHA-512" hashValue="lZbVqbKsVmLY+vybPVsMi3C2iUUYABQrROaanvzeVuKPCj8uN4pDtSZD4lo4qrkSGO0g2KLLSBbkvd1eFXZWFw==" saltValue="n4KKW0DwI2t/KVk+Lcar+A==" spinCount="100000" sheet="1" selectLockedCells="1"/>
  <mergeCells count="2">
    <mergeCell ref="A1:A15"/>
    <mergeCell ref="C1:H2"/>
  </mergeCells>
  <phoneticPr fontId="14" type="noConversion"/>
  <pageMargins left="0.55000000000000004" right="0.45" top="0.53" bottom="0.5" header="0.32" footer="0.27"/>
  <pageSetup orientation="portrait" r:id="rId1"/>
  <headerFooter alignWithMargins="0">
    <oddFooter>&amp;L&amp;f&amp;R7/14/04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BR Summary</vt:lpstr>
      <vt:lpstr>Traffic &amp; Accidents</vt:lpstr>
      <vt:lpstr>Structure</vt:lpstr>
      <vt:lpstr>Geometry</vt:lpstr>
      <vt:lpstr>BR Rehab.</vt:lpstr>
      <vt:lpstr>'BR Rehab.'!Print_Area</vt:lpstr>
      <vt:lpstr>'BR Summary'!Print_Area</vt:lpstr>
      <vt:lpstr>Geometry!Print_Area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2018-04-11T22:33:23Z</cp:lastPrinted>
  <dcterms:created xsi:type="dcterms:W3CDTF">2001-04-16T16:59:49Z</dcterms:created>
  <dcterms:modified xsi:type="dcterms:W3CDTF">2024-07-16T18:35:30Z</dcterms:modified>
</cp:coreProperties>
</file>