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NW/"/>
    </mc:Choice>
  </mc:AlternateContent>
  <xr:revisionPtr revIDLastSave="142" documentId="11_0F77A409BCBD690845A7063ABC6EA27BA74BED78" xr6:coauthVersionLast="46" xr6:coauthVersionMax="46" xr10:uidLastSave="{B44764EC-E2CF-4BE5-A3D1-EF9E0DADA7F2}"/>
  <workbookProtection workbookAlgorithmName="SHA-512" workbookHashValue="H9GGzMrnQ7NvsRkjE/umL0nkJfktUr380N9LJLfhW93BIITHR6mmEf8o4JxAEL9mZ5N4kGtva+blpYZd1BKwwQ==" workbookSaltValue="ra0EHsR5XOhoBa+2rnwvXQ==" workbookSpinCount="100000" lockStructure="1"/>
  <bookViews>
    <workbookView xWindow="-110" yWindow="-110" windowWidth="38620" windowHeight="21220" tabRatio="747" xr2:uid="{00000000-000D-0000-FFFF-FFFF00000000}"/>
  </bookViews>
  <sheets>
    <sheet name="2R RATING SUMMARY" sheetId="1" r:id="rId1"/>
    <sheet name="Traffic and ACC" sheetId="2" r:id="rId2"/>
    <sheet name="Surface Rating" sheetId="3" r:id="rId3"/>
    <sheet name="F&amp;G Rating" sheetId="6" r:id="rId4"/>
    <sheet name="GEOMETRY " sheetId="7" r:id="rId5"/>
    <sheet name="2R Safety" sheetId="4" r:id="rId6"/>
    <sheet name="Missing Link" sheetId="5" r:id="rId7"/>
  </sheets>
  <definedNames>
    <definedName name="_xlnm.Print_Area" localSheetId="0">'2R RATING SUMMARY'!$B$3:$M$64</definedName>
    <definedName name="_xlnm.Print_Area" localSheetId="4">'GEOMETRY '!$B$2:$O$11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E45" i="2" s="1"/>
  <c r="K44" i="1"/>
  <c r="I16" i="3"/>
  <c r="N38" i="7"/>
  <c r="M38" i="7" s="1"/>
  <c r="L38" i="7" s="1"/>
  <c r="L37" i="7" s="1"/>
  <c r="N37" i="7"/>
  <c r="M37" i="7" s="1"/>
  <c r="N36" i="7"/>
  <c r="M36" i="7" s="1"/>
  <c r="C22" i="7"/>
  <c r="C24" i="7"/>
  <c r="F35" i="7"/>
  <c r="E36" i="7" s="1"/>
  <c r="E35" i="7" s="1"/>
  <c r="D36" i="7" s="1"/>
  <c r="D35" i="7" s="1"/>
  <c r="C36" i="7" s="1"/>
  <c r="C35" i="7" s="1"/>
  <c r="I36" i="7"/>
  <c r="I37" i="7"/>
  <c r="I38" i="7"/>
  <c r="F51" i="7"/>
  <c r="E52" i="7" s="1"/>
  <c r="E51" i="7"/>
  <c r="D52" i="7" s="1"/>
  <c r="D51" i="7" s="1"/>
  <c r="C52" i="7" s="1"/>
  <c r="C51" i="7" s="1"/>
  <c r="F52" i="7"/>
  <c r="K36" i="1"/>
  <c r="K37" i="1" s="1"/>
  <c r="R83" i="7"/>
  <c r="Q83" i="7"/>
  <c r="P83" i="7"/>
  <c r="O83" i="7"/>
  <c r="R82" i="7"/>
  <c r="Q82" i="7"/>
  <c r="P82" i="7"/>
  <c r="O82" i="7"/>
  <c r="R81" i="7"/>
  <c r="Q81" i="7"/>
  <c r="P81" i="7"/>
  <c r="O81" i="7"/>
  <c r="R80" i="7"/>
  <c r="Q80" i="7"/>
  <c r="P80" i="7"/>
  <c r="O80" i="7"/>
  <c r="R79" i="7"/>
  <c r="Q79" i="7"/>
  <c r="P79" i="7"/>
  <c r="O79" i="7"/>
  <c r="R78" i="7"/>
  <c r="Q78" i="7"/>
  <c r="P78" i="7"/>
  <c r="O78" i="7"/>
  <c r="R77" i="7"/>
  <c r="Q77" i="7"/>
  <c r="P77" i="7"/>
  <c r="O77" i="7"/>
  <c r="R76" i="7"/>
  <c r="Q76" i="7"/>
  <c r="P76" i="7"/>
  <c r="O76" i="7"/>
  <c r="H12" i="6"/>
  <c r="G12" i="6"/>
  <c r="H11" i="6"/>
  <c r="G11" i="6"/>
  <c r="H10" i="6"/>
  <c r="G10" i="6"/>
  <c r="H9" i="6"/>
  <c r="G9" i="6"/>
  <c r="I39" i="2"/>
  <c r="I43" i="2" s="1"/>
  <c r="G39" i="2"/>
  <c r="G43" i="2" s="1"/>
  <c r="E39" i="2"/>
  <c r="E43" i="2" s="1"/>
  <c r="J24" i="2"/>
  <c r="F65" i="2" s="1"/>
  <c r="E24" i="2"/>
  <c r="D66" i="2" s="1"/>
  <c r="K43" i="1"/>
  <c r="H19" i="4"/>
  <c r="K53" i="1" s="1"/>
  <c r="H20" i="4"/>
  <c r="K54" i="1" s="1"/>
  <c r="H13" i="4"/>
  <c r="K52" i="1" s="1"/>
  <c r="K36" i="3"/>
  <c r="I36" i="3"/>
  <c r="G36" i="3"/>
  <c r="E36" i="3"/>
  <c r="K27" i="1"/>
  <c r="K16" i="3"/>
  <c r="G16" i="3"/>
  <c r="E16" i="3"/>
  <c r="I37" i="1"/>
  <c r="I29" i="1"/>
  <c r="I20" i="1"/>
  <c r="I59" i="1"/>
  <c r="F66" i="2" l="1"/>
  <c r="F59" i="2"/>
  <c r="F60" i="2"/>
  <c r="F61" i="2"/>
  <c r="F62" i="2"/>
  <c r="F63" i="2"/>
  <c r="F64" i="2"/>
  <c r="F57" i="2"/>
  <c r="F58" i="2"/>
  <c r="F56" i="2"/>
  <c r="D65" i="2"/>
  <c r="D64" i="2"/>
  <c r="D59" i="2"/>
  <c r="D58" i="2"/>
  <c r="D60" i="2"/>
  <c r="D61" i="2"/>
  <c r="D62" i="2"/>
  <c r="D63" i="2"/>
  <c r="D57" i="2"/>
  <c r="D56" i="2"/>
  <c r="C30" i="7"/>
  <c r="C46" i="7"/>
  <c r="L36" i="7"/>
  <c r="L13" i="7" s="1"/>
  <c r="S66" i="2"/>
  <c r="S65" i="2" s="1"/>
  <c r="S64" i="2" s="1"/>
  <c r="S63" i="2" s="1"/>
  <c r="S62" i="2" s="1"/>
  <c r="S61" i="2" s="1"/>
  <c r="S60" i="2" s="1"/>
  <c r="S59" i="2" s="1"/>
  <c r="S58" i="2" s="1"/>
  <c r="S57" i="2" s="1"/>
  <c r="S56" i="2" s="1"/>
  <c r="K43" i="2"/>
  <c r="C45" i="2" s="1"/>
  <c r="G45" i="2" s="1"/>
  <c r="R66" i="2"/>
  <c r="R65" i="2" s="1"/>
  <c r="R64" i="2" s="1"/>
  <c r="R63" i="2" s="1"/>
  <c r="R62" i="2" s="1"/>
  <c r="R61" i="2" s="1"/>
  <c r="R60" i="2" s="1"/>
  <c r="R59" i="2" s="1"/>
  <c r="R58" i="2" s="1"/>
  <c r="R57" i="2" s="1"/>
  <c r="R56" i="2" s="1"/>
  <c r="K55" i="1"/>
  <c r="H22" i="4"/>
  <c r="H13" i="6"/>
  <c r="G13" i="6" s="1"/>
  <c r="K28" i="1" s="1"/>
  <c r="K29" i="1" s="1"/>
  <c r="K45" i="1"/>
  <c r="F8" i="7" l="1"/>
  <c r="J28" i="2"/>
  <c r="K18" i="1" s="1"/>
  <c r="H63" i="2"/>
  <c r="H57" i="2"/>
  <c r="H64" i="2"/>
  <c r="H56" i="2"/>
  <c r="H65" i="2"/>
  <c r="H58" i="2"/>
  <c r="H66" i="2"/>
  <c r="H62" i="2"/>
  <c r="H59" i="2"/>
  <c r="U66" i="2"/>
  <c r="U65" i="2" s="1"/>
  <c r="U64" i="2" s="1"/>
  <c r="U63" i="2" s="1"/>
  <c r="U62" i="2" s="1"/>
  <c r="U61" i="2" s="1"/>
  <c r="U60" i="2" s="1"/>
  <c r="U59" i="2" s="1"/>
  <c r="U58" i="2" s="1"/>
  <c r="U57" i="2" s="1"/>
  <c r="U56" i="2" s="1"/>
  <c r="K49" i="2" s="1"/>
  <c r="K19" i="1" s="1"/>
  <c r="H60" i="2"/>
  <c r="H61" i="2"/>
  <c r="K20" i="1" l="1"/>
  <c r="K59" i="1" s="1"/>
</calcChain>
</file>

<file path=xl/sharedStrings.xml><?xml version="1.0" encoding="utf-8"?>
<sst xmlns="http://schemas.openxmlformats.org/spreadsheetml/2006/main" count="295" uniqueCount="227">
  <si>
    <t>COUNTY</t>
  </si>
  <si>
    <t>RAP 2R project</t>
  </si>
  <si>
    <t>PROJECT NAME</t>
  </si>
  <si>
    <t>PROJECT LENGTH</t>
  </si>
  <si>
    <t>NW REGION</t>
  </si>
  <si>
    <t>2R RATING SUMMARY:</t>
  </si>
  <si>
    <t>Possible</t>
  </si>
  <si>
    <t>Scored</t>
  </si>
  <si>
    <t>TRAFFIC:</t>
  </si>
  <si>
    <t>(15 points max.)</t>
  </si>
  <si>
    <t>Points</t>
  </si>
  <si>
    <t>TRAFFIC VOLUME</t>
  </si>
  <si>
    <t>TRAFFIC ACCIDENTS</t>
  </si>
  <si>
    <t>Subtotal</t>
  </si>
  <si>
    <t>STRUCTURAL CONDITION:</t>
  </si>
  <si>
    <t>F&amp;G</t>
  </si>
  <si>
    <t>GEOMETRY:</t>
  </si>
  <si>
    <t>(5 points max.)</t>
  </si>
  <si>
    <t>ROAD WIDTH (shoulder to shoulder)</t>
  </si>
  <si>
    <t>Widening</t>
  </si>
  <si>
    <t>2' min.</t>
  </si>
  <si>
    <t>LOCAL SIGNIFICANCE</t>
  </si>
  <si>
    <t>MISSING LINKS</t>
  </si>
  <si>
    <t xml:space="preserve"> (Recent Project-level Improvements on Both Ends)</t>
  </si>
  <si>
    <t>Traffic Control Devises</t>
  </si>
  <si>
    <t>Right Turn Lanes</t>
  </si>
  <si>
    <t>Left Turn Lanes</t>
  </si>
  <si>
    <t>TOTAL 2R RAP WORKSHEET RATING:</t>
  </si>
  <si>
    <t>possible</t>
  </si>
  <si>
    <t>scored</t>
  </si>
  <si>
    <t>NOTES:</t>
  </si>
  <si>
    <t xml:space="preserve">   2.  No points are allowed for conditions which will not be improved by the proposed project.</t>
  </si>
  <si>
    <t xml:space="preserve">   1.  Points for Surface portion of the SURFACE CONDITION will be assigned by CRAB Engineer.</t>
  </si>
  <si>
    <t>TRAFFIC</t>
  </si>
  <si>
    <t>AADT</t>
  </si>
  <si>
    <t>P.D. ONLY ACCIDENTS</t>
  </si>
  <si>
    <t>TRUCK ADT</t>
  </si>
  <si>
    <t>INJURY (non fatal) ACCIDENTS</t>
  </si>
  <si>
    <t>FATAL ACCIDENTS</t>
  </si>
  <si>
    <t>Miles</t>
  </si>
  <si>
    <t>ROADWAY SURFACE CONDITION - ACP AND ACP/PCC (40 Points Max.)</t>
  </si>
  <si>
    <t xml:space="preserve">   </t>
  </si>
  <si>
    <t xml:space="preserve">TYPE OF </t>
  </si>
  <si>
    <t>PERCENTAGE OF DISTRESS</t>
  </si>
  <si>
    <t>DISTRESS</t>
  </si>
  <si>
    <t>ACP</t>
  </si>
  <si>
    <t>No Distress</t>
  </si>
  <si>
    <t>1%-15%</t>
  </si>
  <si>
    <t>16%-30%</t>
  </si>
  <si>
    <t>&gt;30%</t>
  </si>
  <si>
    <t>POINTS:</t>
  </si>
  <si>
    <t>Rutting</t>
  </si>
  <si>
    <t>Corrugations</t>
  </si>
  <si>
    <t>Ravelling</t>
  </si>
  <si>
    <r>
      <t>Cracks</t>
    </r>
    <r>
      <rPr>
        <sz val="8"/>
        <rFont val="MS Sans Serif"/>
        <family val="2"/>
      </rPr>
      <t xml:space="preserve"> </t>
    </r>
    <r>
      <rPr>
        <sz val="7"/>
        <rFont val="MS Sans Serif"/>
        <family val="2"/>
      </rPr>
      <t>(Trans, Long, and sealing)</t>
    </r>
  </si>
  <si>
    <t>Patching</t>
  </si>
  <si>
    <t>Max.</t>
  </si>
  <si>
    <t>ROADWAY SURFACE CONDITION RATING:</t>
  </si>
  <si>
    <t>TOTAL</t>
  </si>
  <si>
    <t>ROADWAY SURFACE CONDITION -  PCC (40 Points Max.)</t>
  </si>
  <si>
    <t>PERCENTAGE OF DISTRESS:</t>
  </si>
  <si>
    <t>DISTRESS:</t>
  </si>
  <si>
    <t>ACP/PCC &amp; PCC</t>
  </si>
  <si>
    <t>POINTS</t>
  </si>
  <si>
    <t>Cracking</t>
  </si>
  <si>
    <t>Joint Spalling</t>
  </si>
  <si>
    <t>Faulting</t>
  </si>
  <si>
    <t>Pavement Wear</t>
  </si>
  <si>
    <t xml:space="preserve"> </t>
  </si>
  <si>
    <t>ROADWAY SURFACE CONDITION RATING - PCC</t>
  </si>
  <si>
    <t>Check if</t>
  </si>
  <si>
    <t>Applicable:</t>
  </si>
  <si>
    <t>Points:</t>
  </si>
  <si>
    <r>
      <t xml:space="preserve">Signs, signals, markings and other devices </t>
    </r>
    <r>
      <rPr>
        <sz val="10"/>
        <rFont val="MS Sans Serif"/>
        <family val="2"/>
      </rPr>
      <t>used to regulate, warn, or guide traffic placed on, over or adjacent to the roadway, pedestrian facility or bikeway - Must attach warrants.</t>
    </r>
  </si>
  <si>
    <t>- Must attach warrants</t>
  </si>
  <si>
    <t>=</t>
  </si>
  <si>
    <t>Left turn lanes</t>
  </si>
  <si>
    <t>Total Operational Features:</t>
  </si>
  <si>
    <t>MISSING LINK STATUS (10 Points)</t>
  </si>
  <si>
    <t>Explain the missing link characteristics of this project, the adjacent improvements made and dates accomplished (equivalent to 2R or larger scope):</t>
  </si>
  <si>
    <t>To qualify, the proposed project must be between recently improved sections (5 years or less) or between a recently improved section and a state higheway, urban boundary or city limits.</t>
  </si>
  <si>
    <t>Scope and type of improvements made</t>
  </si>
  <si>
    <r>
      <t xml:space="preserve">Mileposts of previously improved </t>
    </r>
    <r>
      <rPr>
        <u/>
        <sz val="10"/>
        <rFont val="Arial"/>
        <family val="2"/>
      </rPr>
      <t>section (s)</t>
    </r>
  </si>
  <si>
    <r>
      <t>YEAR</t>
    </r>
    <r>
      <rPr>
        <u/>
        <sz val="10"/>
        <rFont val="Arial"/>
        <family val="2"/>
      </rPr>
      <t xml:space="preserve"> Completed</t>
    </r>
  </si>
  <si>
    <r>
      <rPr>
        <b/>
        <sz val="10"/>
        <color indexed="10"/>
        <rFont val="MS Sans Serif"/>
        <family val="2"/>
      </rPr>
      <t>Check box</t>
    </r>
    <r>
      <rPr>
        <sz val="10"/>
        <rFont val="MS Sans Serif"/>
        <family val="2"/>
      </rPr>
      <t xml:space="preserve"> if this is a </t>
    </r>
    <r>
      <rPr>
        <b/>
        <u/>
        <sz val="10"/>
        <rFont val="MS Sans Serif"/>
        <family val="2"/>
      </rPr>
      <t>Missing Links</t>
    </r>
    <r>
      <rPr>
        <sz val="10"/>
        <rFont val="MS Sans Serif"/>
        <family val="2"/>
      </rPr>
      <t xml:space="preserve"> project</t>
    </r>
  </si>
  <si>
    <t>OR</t>
  </si>
  <si>
    <t>Determine Traffic Volume Rating using Table below</t>
  </si>
  <si>
    <t>ADT = Average Weekday Traffic Volumes</t>
  </si>
  <si>
    <t>TRAFFIC VOLUME RATING</t>
  </si>
  <si>
    <r>
      <t>TRAFFIC ACCIDENTS (</t>
    </r>
    <r>
      <rPr>
        <b/>
        <u/>
        <sz val="10"/>
        <color indexed="10"/>
        <rFont val="MS Sans Serif"/>
        <family val="2"/>
      </rPr>
      <t>10</t>
    </r>
    <r>
      <rPr>
        <u/>
        <sz val="10"/>
        <rFont val="MS Sans Serif"/>
        <family val="2"/>
      </rPr>
      <t xml:space="preserve"> Points Max.)</t>
    </r>
  </si>
  <si>
    <t>(Indicate number of accidents, not number of fatalities, injuries or property damages)</t>
  </si>
  <si>
    <t>Year</t>
  </si>
  <si>
    <t>Prop. Damage</t>
  </si>
  <si>
    <t>Injury</t>
  </si>
  <si>
    <t xml:space="preserve">Fatality </t>
  </si>
  <si>
    <t xml:space="preserve">                                          </t>
  </si>
  <si>
    <t>No. of accidents</t>
  </si>
  <si>
    <t xml:space="preserve">    Subtotal</t>
  </si>
  <si>
    <t>Factor</t>
  </si>
  <si>
    <t>x3</t>
  </si>
  <si>
    <t>x10</t>
  </si>
  <si>
    <t>x25</t>
  </si>
  <si>
    <t xml:space="preserve">                                                     </t>
  </si>
  <si>
    <t>+</t>
  </si>
  <si>
    <t>Total</t>
  </si>
  <si>
    <t xml:space="preserve">  Determine accident rating </t>
  </si>
  <si>
    <t>(Length</t>
  </si>
  <si>
    <t>using table below.</t>
  </si>
  <si>
    <t>in Miles)</t>
  </si>
  <si>
    <t>Acc./Mile)</t>
  </si>
  <si>
    <t xml:space="preserve">TRAFFIC ACCIDENT RATING </t>
  </si>
  <si>
    <t>Traffic Volume Rating</t>
  </si>
  <si>
    <t>Traffic Accident</t>
  </si>
  <si>
    <t>Calculation Table</t>
  </si>
  <si>
    <t>ACCIDENT AND TRAFFIC RATING TABLE</t>
  </si>
  <si>
    <t>CALC</t>
  </si>
  <si>
    <t>Average</t>
  </si>
  <si>
    <t>Rating</t>
  </si>
  <si>
    <t>TRUCK AADT</t>
  </si>
  <si>
    <t>ACCIDENT</t>
  </si>
  <si>
    <t xml:space="preserve"> ADT</t>
  </si>
  <si>
    <t>Truck ADT</t>
  </si>
  <si>
    <t>Acc/Mile</t>
  </si>
  <si>
    <t>&lt;50</t>
  </si>
  <si>
    <t>&lt;5</t>
  </si>
  <si>
    <t>0-2</t>
  </si>
  <si>
    <t>51-100</t>
  </si>
  <si>
    <t>6-10</t>
  </si>
  <si>
    <t>3-4</t>
  </si>
  <si>
    <t>101-250</t>
  </si>
  <si>
    <t>11-25</t>
  </si>
  <si>
    <t>5-6</t>
  </si>
  <si>
    <t>251-500</t>
  </si>
  <si>
    <t>26-50</t>
  </si>
  <si>
    <t>7-8</t>
  </si>
  <si>
    <t>501-750</t>
  </si>
  <si>
    <t>51-75</t>
  </si>
  <si>
    <t>9-10</t>
  </si>
  <si>
    <t>751-1000</t>
  </si>
  <si>
    <t>76-100</t>
  </si>
  <si>
    <t>11-12</t>
  </si>
  <si>
    <t>1001-1250</t>
  </si>
  <si>
    <t>101-125</t>
  </si>
  <si>
    <t>13-14</t>
  </si>
  <si>
    <t>1251-1500</t>
  </si>
  <si>
    <t>126-150</t>
  </si>
  <si>
    <t>15-16</t>
  </si>
  <si>
    <t>1501-2000</t>
  </si>
  <si>
    <t>151-200</t>
  </si>
  <si>
    <t>17-18</t>
  </si>
  <si>
    <t>2001-2500</t>
  </si>
  <si>
    <t>201-250</t>
  </si>
  <si>
    <t>19-20</t>
  </si>
  <si>
    <t>&gt;2500</t>
  </si>
  <si>
    <t>&gt;250</t>
  </si>
  <si>
    <t>&gt;20</t>
  </si>
  <si>
    <t xml:space="preserve">                                              </t>
  </si>
  <si>
    <t>Note: Use the highest value of ADT or Truck ADT</t>
  </si>
  <si>
    <t>From Road Log</t>
  </si>
  <si>
    <t>CLASS</t>
  </si>
  <si>
    <t>POSSIBLE:</t>
  </si>
  <si>
    <t>SCORE</t>
  </si>
  <si>
    <t>T6 or T7</t>
  </si>
  <si>
    <t>T5</t>
  </si>
  <si>
    <t>T4</t>
  </si>
  <si>
    <t>TRUCK CLASS RATING  (20 Points Max.)</t>
  </si>
  <si>
    <t>GEOMETRY RATING</t>
  </si>
  <si>
    <t>Terrain</t>
  </si>
  <si>
    <t>ROADBED WIDTH</t>
  </si>
  <si>
    <t>Flat</t>
  </si>
  <si>
    <t>EXISTING</t>
  </si>
  <si>
    <t>Rolling</t>
  </si>
  <si>
    <t>PROPOSED</t>
  </si>
  <si>
    <t>Mountainous</t>
  </si>
  <si>
    <t>AASHTO Stnd</t>
  </si>
  <si>
    <t>Existing Roadbed Width</t>
  </si>
  <si>
    <t>Proposed Roadbed Width</t>
  </si>
  <si>
    <t>PROPOSED SHOULD NOT BE GREATER THAN:</t>
  </si>
  <si>
    <t>DESIGN ROADBED WIDTH CALCULATION FOR COLLECTORS</t>
  </si>
  <si>
    <t>COLLECTORS</t>
  </si>
  <si>
    <t>&lt; 400</t>
  </si>
  <si>
    <t>400 - 1500</t>
  </si>
  <si>
    <t>1500 - 2000</t>
  </si>
  <si>
    <t>&gt; 2000</t>
  </si>
  <si>
    <t>DESIGN ROADBED WIDTH CALCULATION FOR ARTERIALS</t>
  </si>
  <si>
    <t>ARTERIALS</t>
  </si>
  <si>
    <t>DESIGN</t>
  </si>
  <si>
    <t>LANE WIDTHS PER ADT</t>
  </si>
  <si>
    <t>SHOULDER WIDTHS PER ADT</t>
  </si>
  <si>
    <t>ROADWAY WIDTHS PER ADT</t>
  </si>
  <si>
    <t>SPEED</t>
  </si>
  <si>
    <t>ALL SPEEDS</t>
  </si>
  <si>
    <t>miles to hundredths</t>
  </si>
  <si>
    <t>Fed Function Class</t>
  </si>
  <si>
    <t>FFC</t>
  </si>
  <si>
    <t>T1, T2, or T3</t>
  </si>
  <si>
    <t>CHECK ONE:</t>
  </si>
  <si>
    <t>Current ADT =</t>
  </si>
  <si>
    <t xml:space="preserve">          Current Truck ADT </t>
  </si>
  <si>
    <t>SAFETY CHECKLIST ITEMS:</t>
  </si>
  <si>
    <t>2R Des. Speed Calc. Table</t>
  </si>
  <si>
    <t>(60 points max.)</t>
  </si>
  <si>
    <t>Click on Blue links to input sheets</t>
  </si>
  <si>
    <t>Pumping/Blowups</t>
  </si>
  <si>
    <t>Operational Features: (5 pts max.)</t>
  </si>
  <si>
    <r>
      <t>A</t>
    </r>
    <r>
      <rPr>
        <u/>
        <sz val="10"/>
        <rFont val="MS Sans Serif"/>
        <family val="2"/>
      </rPr>
      <t>. OPERATIONAL FEATURES - 5 Points Max.</t>
    </r>
  </si>
  <si>
    <r>
      <rPr>
        <b/>
        <sz val="8.5"/>
        <color indexed="10"/>
        <rFont val="MS Sans Serif"/>
        <family val="2"/>
      </rPr>
      <t xml:space="preserve">Check this box </t>
    </r>
    <r>
      <rPr>
        <sz val="8.5"/>
        <rFont val="MS Sans Serif"/>
        <family val="2"/>
      </rPr>
      <t xml:space="preserve">if this is your one biennial selection for </t>
    </r>
    <r>
      <rPr>
        <b/>
        <u/>
        <sz val="8.5"/>
        <rFont val="MS Sans Serif"/>
        <family val="2"/>
      </rPr>
      <t>Local Significance</t>
    </r>
  </si>
  <si>
    <t>USE THE RATING DONE BY CRAB STAFF TO FILL THIS SHEET OUT</t>
  </si>
  <si>
    <t>Rating provided by CRAB</t>
  </si>
  <si>
    <t>*</t>
  </si>
  <si>
    <t>Needed for project score</t>
  </si>
  <si>
    <t>NW 2R</t>
  </si>
  <si>
    <t>For Project Ranking</t>
  </si>
  <si>
    <t>County Engineer selected Design Speed</t>
  </si>
  <si>
    <r>
      <rPr>
        <u/>
        <sz val="10"/>
        <rFont val="MS Sans Serif"/>
        <family val="2"/>
      </rPr>
      <t>&gt;</t>
    </r>
    <r>
      <rPr>
        <sz val="10"/>
        <rFont val="MS Sans Serif"/>
        <family val="2"/>
      </rPr>
      <t xml:space="preserve"> 2'</t>
    </r>
  </si>
  <si>
    <t>Design Speed</t>
  </si>
  <si>
    <t>Equivalent Property Damage Only Accidents, Three Year Average</t>
  </si>
  <si>
    <t>(Equivalent</t>
  </si>
  <si>
    <t>Equivalent</t>
  </si>
  <si>
    <t>(from CRAB)</t>
  </si>
  <si>
    <r>
      <t xml:space="preserve">SURFACE </t>
    </r>
    <r>
      <rPr>
        <b/>
        <u/>
        <sz val="8"/>
        <color indexed="12"/>
        <rFont val="MS Sans Serif"/>
        <family val="2"/>
      </rPr>
      <t>-Visual</t>
    </r>
  </si>
  <si>
    <t>Measure percent of project length that each condition appears</t>
  </si>
  <si>
    <t>SAFETY:</t>
  </si>
  <si>
    <t>Right turn lanes.</t>
  </si>
  <si>
    <t>Use the last five 
full years' reports</t>
  </si>
  <si>
    <t>ACCIDENTS:</t>
  </si>
  <si>
    <r>
      <t xml:space="preserve">Throughout the worksheet, input data in </t>
    </r>
    <r>
      <rPr>
        <b/>
        <u/>
        <sz val="10"/>
        <color indexed="60"/>
        <rFont val="MS Sans Serif"/>
        <family val="2"/>
      </rPr>
      <t>yellow shaded cells</t>
    </r>
    <r>
      <rPr>
        <b/>
        <sz val="10"/>
        <color indexed="60"/>
        <rFont val="MS Sans Serif"/>
        <family val="2"/>
      </rPr>
      <t xml:space="preserve">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</si>
</sst>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yyyy"/>
    <numFmt numFmtId="166" formatCode="0#"/>
    <numFmt numFmtId="167" formatCode="#"/>
    <numFmt numFmtId="168" formatCode="mm/dd/yy;@"/>
  </numFmts>
  <fonts count="62" x14ac:knownFonts="1"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b/>
      <u/>
      <sz val="14"/>
      <name val="MS Sans Serif"/>
      <family val="2"/>
    </font>
    <font>
      <sz val="8"/>
      <name val="MS Sans Serif"/>
      <family val="2"/>
    </font>
    <font>
      <b/>
      <sz val="10"/>
      <name val="MS Sans Serif"/>
      <family val="2"/>
    </font>
    <font>
      <u/>
      <sz val="10"/>
      <name val="MS Sans Serif"/>
      <family val="2"/>
    </font>
    <font>
      <b/>
      <sz val="10"/>
      <color indexed="12"/>
      <name val="MS Sans Serif"/>
      <family val="2"/>
    </font>
    <font>
      <b/>
      <u/>
      <sz val="10"/>
      <name val="MS Sans Serif"/>
      <family val="2"/>
    </font>
    <font>
      <b/>
      <sz val="10"/>
      <color indexed="10"/>
      <name val="MS Sans Serif"/>
      <family val="2"/>
    </font>
    <font>
      <u/>
      <sz val="10"/>
      <color indexed="12"/>
      <name val="MS Sans Serif"/>
      <family val="2"/>
    </font>
    <font>
      <u/>
      <sz val="8"/>
      <name val="MS Sans Serif"/>
      <family val="2"/>
    </font>
    <font>
      <sz val="10"/>
      <color indexed="9"/>
      <name val="MS Sans Serif"/>
      <family val="2"/>
    </font>
    <font>
      <sz val="10"/>
      <color indexed="10"/>
      <name val="MS Sans Serif"/>
      <family val="2"/>
    </font>
    <font>
      <sz val="10"/>
      <name val="Arial"/>
      <family val="2"/>
    </font>
    <font>
      <b/>
      <sz val="12"/>
      <name val="MS Sans Serif"/>
      <family val="2"/>
    </font>
    <font>
      <u/>
      <sz val="12"/>
      <name val="MS Sans Serif"/>
      <family val="2"/>
    </font>
    <font>
      <sz val="12"/>
      <name val="Arial"/>
      <family val="2"/>
    </font>
    <font>
      <sz val="7"/>
      <name val="MS Sans Serif"/>
      <family val="2"/>
    </font>
    <font>
      <sz val="6"/>
      <name val="MS Sans Serif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4"/>
      <name val="MS Sans Serif"/>
      <family val="2"/>
    </font>
    <font>
      <u/>
      <sz val="10"/>
      <name val="Arial"/>
      <family val="2"/>
    </font>
    <font>
      <b/>
      <sz val="8.5"/>
      <color indexed="10"/>
      <name val="MS Sans Serif"/>
      <family val="2"/>
    </font>
    <font>
      <b/>
      <u/>
      <sz val="10"/>
      <color indexed="14"/>
      <name val="Arial"/>
      <family val="2"/>
    </font>
    <font>
      <sz val="8.5"/>
      <name val="MS Sans Serif"/>
      <family val="2"/>
    </font>
    <font>
      <b/>
      <u/>
      <sz val="10"/>
      <color indexed="12"/>
      <name val="Arial"/>
      <family val="2"/>
    </font>
    <font>
      <b/>
      <u/>
      <sz val="8.5"/>
      <name val="MS Sans Serif"/>
      <family val="2"/>
    </font>
    <font>
      <b/>
      <u/>
      <sz val="10"/>
      <color indexed="10"/>
      <name val="MS Sans Serif"/>
      <family val="2"/>
    </font>
    <font>
      <b/>
      <sz val="12"/>
      <color indexed="14"/>
      <name val="MS Sans Serif"/>
      <family val="2"/>
    </font>
    <font>
      <b/>
      <u/>
      <sz val="18"/>
      <color indexed="12"/>
      <name val="Arial"/>
      <family val="2"/>
    </font>
    <font>
      <sz val="8"/>
      <color indexed="10"/>
      <name val="MS Sans Serif"/>
      <family val="2"/>
    </font>
    <font>
      <b/>
      <u/>
      <sz val="8"/>
      <name val="MS Sans Serif"/>
      <family val="2"/>
    </font>
    <font>
      <sz val="7"/>
      <color indexed="10"/>
      <name val="MS Sans Serif"/>
      <family val="2"/>
    </font>
    <font>
      <b/>
      <sz val="8"/>
      <name val="MS Sans Serif"/>
      <family val="2"/>
    </font>
    <font>
      <sz val="14"/>
      <color indexed="10"/>
      <name val="MS Sans Serif"/>
      <family val="2"/>
    </font>
    <font>
      <b/>
      <sz val="13.5"/>
      <name val="MS Sans Serif"/>
      <family val="2"/>
    </font>
    <font>
      <b/>
      <u/>
      <sz val="10"/>
      <color indexed="12"/>
      <name val="MS Sans Serif"/>
      <family val="2"/>
    </font>
    <font>
      <b/>
      <sz val="10"/>
      <color indexed="60"/>
      <name val="MS Sans Serif"/>
      <family val="2"/>
    </font>
    <font>
      <b/>
      <u/>
      <sz val="10"/>
      <color indexed="60"/>
      <name val="MS Sans Serif"/>
      <family val="2"/>
    </font>
    <font>
      <sz val="10"/>
      <name val="MS Sans Serif"/>
    </font>
    <font>
      <b/>
      <u/>
      <sz val="8"/>
      <color indexed="12"/>
      <name val="MS Sans Serif"/>
      <family val="2"/>
    </font>
    <font>
      <b/>
      <sz val="8"/>
      <name val="MS Sans Serif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 tint="-0.14999847407452621"/>
      <name val="MS Sans Serif"/>
      <family val="2"/>
    </font>
    <font>
      <b/>
      <sz val="18"/>
      <color rgb="FF7030A0"/>
      <name val="MS Sans Serif"/>
      <family val="2"/>
    </font>
    <font>
      <b/>
      <sz val="12"/>
      <color rgb="FFFF0000"/>
      <name val="MS Sans Serif"/>
      <family val="2"/>
    </font>
    <font>
      <b/>
      <sz val="14"/>
      <color rgb="FF7030A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0070C0"/>
      <name val="MS Sans Serif"/>
      <family val="2"/>
    </font>
    <font>
      <b/>
      <sz val="8"/>
      <color rgb="FFFF0000"/>
      <name val="MS Sans Serif"/>
      <family val="2"/>
    </font>
    <font>
      <b/>
      <sz val="12"/>
      <color rgb="FFC00000"/>
      <name val="MS Sans Serif"/>
      <family val="2"/>
    </font>
    <font>
      <b/>
      <sz val="10"/>
      <color rgb="FFC00000"/>
      <name val="MS Sans Serif"/>
      <family val="2"/>
    </font>
    <font>
      <b/>
      <sz val="18"/>
      <color rgb="FF7030A0"/>
      <name val="Arial"/>
      <family val="2"/>
    </font>
    <font>
      <sz val="10"/>
      <color rgb="FF0000FF"/>
      <name val="MS Sans Serif"/>
      <family val="2"/>
    </font>
    <font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8"/>
      <color rgb="FFFF0000"/>
      <name val="MS Sans Serif"/>
    </font>
    <font>
      <b/>
      <sz val="10"/>
      <name val="MS Sans Serif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6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/>
      <diagonal/>
    </border>
    <border>
      <left/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/>
      <top/>
      <bottom/>
      <diagonal/>
    </border>
    <border>
      <left/>
      <right style="medium">
        <color indexed="48"/>
      </right>
      <top/>
      <bottom/>
      <diagonal/>
    </border>
    <border>
      <left style="medium">
        <color indexed="48"/>
      </left>
      <right/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 style="medium">
        <color indexed="48"/>
      </right>
      <top/>
      <bottom style="medium">
        <color indexed="48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50"/>
      </left>
      <right/>
      <top style="medium">
        <color indexed="50"/>
      </top>
      <bottom/>
      <diagonal/>
    </border>
    <border>
      <left/>
      <right style="medium">
        <color indexed="50"/>
      </right>
      <top style="medium">
        <color indexed="50"/>
      </top>
      <bottom/>
      <diagonal/>
    </border>
    <border>
      <left style="medium">
        <color indexed="50"/>
      </left>
      <right/>
      <top/>
      <bottom/>
      <diagonal/>
    </border>
    <border>
      <left/>
      <right style="medium">
        <color indexed="50"/>
      </right>
      <top/>
      <bottom/>
      <diagonal/>
    </border>
    <border>
      <left/>
      <right/>
      <top/>
      <bottom style="medium">
        <color indexed="50"/>
      </bottom>
      <diagonal/>
    </border>
    <border>
      <left/>
      <right style="medium">
        <color indexed="50"/>
      </right>
      <top/>
      <bottom style="medium">
        <color indexed="50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0"/>
      </left>
      <right/>
      <top/>
      <bottom style="medium">
        <color indexed="5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5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9">
    <xf numFmtId="0" fontId="0" fillId="0" borderId="0"/>
    <xf numFmtId="43" fontId="44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1" fillId="0" borderId="0">
      <alignment horizontal="center"/>
    </xf>
    <xf numFmtId="0" fontId="44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</cellStyleXfs>
  <cellXfs count="494">
    <xf numFmtId="0" fontId="0" fillId="0" borderId="0" xfId="0"/>
    <xf numFmtId="0" fontId="46" fillId="3" borderId="0" xfId="0" applyFont="1" applyFill="1" applyAlignment="1" applyProtection="1">
      <alignment horizontal="left"/>
    </xf>
    <xf numFmtId="0" fontId="46" fillId="0" borderId="50" xfId="0" applyFont="1" applyFill="1" applyBorder="1" applyAlignment="1" applyProtection="1">
      <alignment horizontal="left"/>
    </xf>
    <xf numFmtId="0" fontId="46" fillId="0" borderId="51" xfId="0" applyFont="1" applyFill="1" applyBorder="1" applyAlignment="1" applyProtection="1">
      <alignment horizontal="left"/>
    </xf>
    <xf numFmtId="0" fontId="46" fillId="0" borderId="52" xfId="0" applyFont="1" applyFill="1" applyBorder="1" applyAlignment="1" applyProtection="1">
      <alignment horizontal="left"/>
    </xf>
    <xf numFmtId="0" fontId="0" fillId="0" borderId="53" xfId="0" applyBorder="1" applyAlignment="1" applyProtection="1">
      <alignment horizontal="left"/>
    </xf>
    <xf numFmtId="0" fontId="0" fillId="3" borderId="0" xfId="0" applyFill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0" fillId="0" borderId="1" xfId="0" applyFill="1" applyBorder="1" applyAlignment="1" applyProtection="1"/>
    <xf numFmtId="164" fontId="0" fillId="0" borderId="0" xfId="0" applyNumberFormat="1" applyFill="1" applyBorder="1" applyAlignment="1" applyProtection="1"/>
    <xf numFmtId="0" fontId="0" fillId="0" borderId="0" xfId="0" applyBorder="1" applyAlignment="1" applyProtection="1"/>
    <xf numFmtId="0" fontId="47" fillId="0" borderId="0" xfId="0" applyFont="1" applyBorder="1" applyAlignment="1" applyProtection="1">
      <alignment vertical="top" wrapText="1"/>
    </xf>
    <xf numFmtId="0" fontId="47" fillId="0" borderId="54" xfId="0" applyFont="1" applyBorder="1" applyAlignment="1" applyProtection="1">
      <alignment vertical="top" wrapText="1"/>
    </xf>
    <xf numFmtId="0" fontId="0" fillId="0" borderId="0" xfId="0" applyFill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0" fillId="0" borderId="54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2" xfId="0" applyBorder="1" applyAlignment="1" applyProtection="1"/>
    <xf numFmtId="0" fontId="0" fillId="0" borderId="2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center"/>
    </xf>
    <xf numFmtId="0" fontId="4" fillId="0" borderId="53" xfId="0" applyFont="1" applyBorder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0" fillId="0" borderId="3" xfId="0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2" fontId="1" fillId="0" borderId="4" xfId="0" applyNumberFormat="1" applyFont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2" fontId="0" fillId="0" borderId="4" xfId="0" applyNumberFormat="1" applyBorder="1" applyAlignment="1" applyProtection="1">
      <alignment horizontal="center"/>
    </xf>
    <xf numFmtId="0" fontId="0" fillId="3" borderId="0" xfId="0" applyFill="1" applyProtection="1"/>
    <xf numFmtId="0" fontId="5" fillId="0" borderId="0" xfId="0" applyFont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2" fontId="9" fillId="0" borderId="0" xfId="0" applyNumberFormat="1" applyFont="1" applyBorder="1" applyAlignment="1" applyProtection="1">
      <alignment horizontal="center"/>
    </xf>
    <xf numFmtId="0" fontId="0" fillId="0" borderId="5" xfId="0" applyBorder="1" applyAlignment="1" applyProtection="1">
      <alignment horizontal="left"/>
    </xf>
    <xf numFmtId="0" fontId="4" fillId="0" borderId="5" xfId="0" applyFont="1" applyBorder="1" applyAlignment="1" applyProtection="1">
      <alignment horizontal="right"/>
    </xf>
    <xf numFmtId="0" fontId="5" fillId="0" borderId="5" xfId="0" applyFont="1" applyBorder="1" applyAlignment="1" applyProtection="1">
      <alignment horizontal="right"/>
    </xf>
    <xf numFmtId="0" fontId="5" fillId="0" borderId="5" xfId="0" applyFont="1" applyBorder="1" applyAlignment="1" applyProtection="1">
      <alignment horizontal="center"/>
    </xf>
    <xf numFmtId="2" fontId="9" fillId="0" borderId="5" xfId="0" applyNumberFormat="1" applyFont="1" applyBorder="1" applyAlignment="1" applyProtection="1">
      <alignment horizontal="center"/>
    </xf>
    <xf numFmtId="0" fontId="48" fillId="0" borderId="6" xfId="0" applyFont="1" applyBorder="1" applyAlignment="1" applyProtection="1">
      <alignment textRotation="180"/>
    </xf>
    <xf numFmtId="0" fontId="48" fillId="0" borderId="0" xfId="0" applyFont="1" applyBorder="1" applyAlignment="1" applyProtection="1">
      <alignment textRotation="180"/>
    </xf>
    <xf numFmtId="2" fontId="5" fillId="0" borderId="0" xfId="0" applyNumberFormat="1" applyFont="1" applyBorder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4" fillId="3" borderId="0" xfId="0" applyFont="1" applyFill="1" applyProtection="1"/>
    <xf numFmtId="0" fontId="5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49" fillId="0" borderId="0" xfId="0" applyFont="1" applyBorder="1" applyAlignment="1" applyProtection="1">
      <alignment wrapText="1"/>
    </xf>
    <xf numFmtId="0" fontId="49" fillId="0" borderId="0" xfId="0" applyFont="1" applyBorder="1" applyAlignment="1" applyProtection="1"/>
    <xf numFmtId="2" fontId="0" fillId="3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center"/>
    </xf>
    <xf numFmtId="0" fontId="12" fillId="3" borderId="0" xfId="0" applyFont="1" applyFill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5" fillId="4" borderId="2" xfId="0" applyFont="1" applyFill="1" applyBorder="1" applyAlignment="1" applyProtection="1">
      <alignment horizontal="center"/>
    </xf>
    <xf numFmtId="2" fontId="50" fillId="0" borderId="0" xfId="0" quotePrefix="1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2" fontId="50" fillId="0" borderId="5" xfId="0" quotePrefix="1" applyNumberFormat="1" applyFont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1" fillId="0" borderId="5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Protection="1"/>
    <xf numFmtId="2" fontId="5" fillId="0" borderId="0" xfId="0" applyNumberFormat="1" applyFont="1" applyBorder="1" applyAlignment="1" applyProtection="1">
      <alignment horizontal="right"/>
    </xf>
    <xf numFmtId="1" fontId="0" fillId="0" borderId="4" xfId="0" applyNumberForma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53" xfId="0" applyBorder="1" applyProtection="1"/>
    <xf numFmtId="0" fontId="0" fillId="0" borderId="0" xfId="0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1" fillId="0" borderId="53" xfId="0" applyFont="1" applyBorder="1" applyProtection="1"/>
    <xf numFmtId="0" fontId="0" fillId="0" borderId="0" xfId="0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2" fontId="13" fillId="0" borderId="0" xfId="0" applyNumberFormat="1" applyFont="1" applyBorder="1" applyAlignment="1" applyProtection="1">
      <alignment horizontal="center"/>
    </xf>
    <xf numFmtId="0" fontId="0" fillId="0" borderId="55" xfId="0" applyBorder="1" applyAlignment="1" applyProtection="1">
      <alignment horizontal="left"/>
    </xf>
    <xf numFmtId="0" fontId="0" fillId="0" borderId="56" xfId="0" applyBorder="1" applyAlignment="1" applyProtection="1">
      <alignment horizontal="left"/>
    </xf>
    <xf numFmtId="0" fontId="0" fillId="0" borderId="57" xfId="0" applyBorder="1" applyAlignment="1" applyProtection="1">
      <alignment horizontal="left"/>
    </xf>
    <xf numFmtId="0" fontId="0" fillId="3" borderId="0" xfId="0" applyFill="1" applyAlignment="1" applyProtection="1">
      <alignment horizontal="right"/>
    </xf>
    <xf numFmtId="0" fontId="0" fillId="3" borderId="0" xfId="0" quotePrefix="1" applyFill="1" applyBorder="1" applyAlignment="1" applyProtection="1">
      <alignment horizontal="center"/>
    </xf>
    <xf numFmtId="9" fontId="0" fillId="3" borderId="0" xfId="0" applyNumberForma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Alignment="1" applyProtection="1">
      <alignment horizontal="left" vertical="center"/>
    </xf>
    <xf numFmtId="2" fontId="9" fillId="0" borderId="0" xfId="0" applyNumberFormat="1" applyFont="1" applyBorder="1" applyAlignment="1" applyProtection="1"/>
    <xf numFmtId="0" fontId="0" fillId="0" borderId="51" xfId="0" applyBorder="1" applyAlignment="1" applyProtection="1">
      <alignment horizontal="left" vertical="center"/>
    </xf>
    <xf numFmtId="0" fontId="0" fillId="0" borderId="51" xfId="0" applyBorder="1" applyProtection="1"/>
    <xf numFmtId="0" fontId="0" fillId="0" borderId="52" xfId="0" applyBorder="1" applyProtection="1"/>
    <xf numFmtId="0" fontId="0" fillId="0" borderId="0" xfId="0" applyBorder="1" applyProtection="1"/>
    <xf numFmtId="0" fontId="14" fillId="0" borderId="0" xfId="0" applyFont="1" applyBorder="1" applyAlignment="1" applyProtection="1">
      <alignment vertical="top" wrapText="1"/>
    </xf>
    <xf numFmtId="0" fontId="0" fillId="0" borderId="54" xfId="0" applyBorder="1" applyProtection="1"/>
    <xf numFmtId="0" fontId="0" fillId="2" borderId="4" xfId="0" applyFill="1" applyBorder="1" applyAlignment="1" applyProtection="1">
      <alignment horizontal="center"/>
      <protection locked="0"/>
    </xf>
    <xf numFmtId="0" fontId="4" fillId="0" borderId="0" xfId="0" applyFont="1" applyBorder="1" applyProtection="1"/>
    <xf numFmtId="0" fontId="1" fillId="0" borderId="0" xfId="0" applyFont="1" applyBorder="1" applyProtection="1"/>
    <xf numFmtId="0" fontId="10" fillId="0" borderId="0" xfId="2" applyBorder="1" applyAlignment="1" applyProtection="1">
      <alignment horizontal="center"/>
    </xf>
    <xf numFmtId="0" fontId="0" fillId="0" borderId="55" xfId="0" applyBorder="1" applyProtection="1"/>
    <xf numFmtId="0" fontId="0" fillId="0" borderId="56" xfId="0" applyBorder="1" applyProtection="1"/>
    <xf numFmtId="0" fontId="10" fillId="0" borderId="56" xfId="2" applyBorder="1" applyAlignment="1" applyProtection="1">
      <alignment horizontal="center"/>
    </xf>
    <xf numFmtId="0" fontId="1" fillId="0" borderId="56" xfId="0" applyFont="1" applyBorder="1" applyProtection="1"/>
    <xf numFmtId="0" fontId="5" fillId="0" borderId="56" xfId="0" applyFont="1" applyBorder="1" applyAlignment="1" applyProtection="1">
      <alignment horizontal="right"/>
    </xf>
    <xf numFmtId="0" fontId="0" fillId="0" borderId="57" xfId="0" applyBorder="1" applyProtection="1"/>
    <xf numFmtId="0" fontId="10" fillId="0" borderId="0" xfId="2" applyAlignment="1" applyProtection="1">
      <alignment horizontal="center"/>
    </xf>
    <xf numFmtId="0" fontId="1" fillId="0" borderId="0" xfId="0" applyFont="1" applyProtection="1"/>
    <xf numFmtId="0" fontId="5" fillId="0" borderId="0" xfId="0" applyFont="1" applyAlignment="1" applyProtection="1">
      <alignment horizontal="right"/>
    </xf>
    <xf numFmtId="0" fontId="44" fillId="0" borderId="0" xfId="5"/>
    <xf numFmtId="0" fontId="7" fillId="0" borderId="0" xfId="5" applyFont="1" applyFill="1" applyAlignment="1">
      <alignment horizontal="left"/>
    </xf>
    <xf numFmtId="0" fontId="8" fillId="0" borderId="0" xfId="5" applyFont="1" applyFill="1" applyAlignment="1">
      <alignment horizontal="left"/>
    </xf>
    <xf numFmtId="0" fontId="44" fillId="0" borderId="0" xfId="5" applyFill="1" applyAlignment="1">
      <alignment horizontal="left"/>
    </xf>
    <xf numFmtId="0" fontId="44" fillId="0" borderId="0" xfId="5" applyFill="1"/>
    <xf numFmtId="0" fontId="44" fillId="0" borderId="0" xfId="5" applyAlignment="1">
      <alignment horizontal="left"/>
    </xf>
    <xf numFmtId="0" fontId="44" fillId="0" borderId="0" xfId="5" applyFill="1" applyAlignment="1">
      <alignment horizontal="center"/>
    </xf>
    <xf numFmtId="0" fontId="44" fillId="0" borderId="0" xfId="5" applyFill="1" applyAlignment="1"/>
    <xf numFmtId="0" fontId="2" fillId="0" borderId="7" xfId="5" applyFont="1" applyFill="1" applyBorder="1" applyAlignment="1">
      <alignment horizontal="left"/>
    </xf>
    <xf numFmtId="0" fontId="2" fillId="0" borderId="8" xfId="5" applyFont="1" applyFill="1" applyBorder="1"/>
    <xf numFmtId="0" fontId="2" fillId="0" borderId="8" xfId="5" applyFont="1" applyFill="1" applyBorder="1" applyAlignment="1">
      <alignment horizontal="left"/>
    </xf>
    <xf numFmtId="0" fontId="2" fillId="0" borderId="8" xfId="5" applyFont="1" applyFill="1" applyBorder="1" applyAlignment="1">
      <alignment horizontal="center"/>
    </xf>
    <xf numFmtId="0" fontId="2" fillId="0" borderId="9" xfId="5" applyFont="1" applyFill="1" applyBorder="1" applyAlignment="1">
      <alignment horizontal="left"/>
    </xf>
    <xf numFmtId="0" fontId="15" fillId="0" borderId="10" xfId="5" applyFont="1" applyFill="1" applyBorder="1" applyAlignment="1">
      <alignment horizontal="left"/>
    </xf>
    <xf numFmtId="0" fontId="2" fillId="0" borderId="0" xfId="5" applyFont="1" applyFill="1" applyBorder="1"/>
    <xf numFmtId="0" fontId="2" fillId="0" borderId="0" xfId="5" applyFont="1" applyFill="1" applyBorder="1" applyAlignment="1">
      <alignment horizontal="left"/>
    </xf>
    <xf numFmtId="0" fontId="2" fillId="0" borderId="0" xfId="5" applyFont="1" applyFill="1" applyBorder="1" applyAlignment="1">
      <alignment horizontal="center"/>
    </xf>
    <xf numFmtId="0" fontId="16" fillId="0" borderId="0" xfId="5" applyFont="1" applyFill="1" applyBorder="1" applyAlignment="1">
      <alignment horizontal="left"/>
    </xf>
    <xf numFmtId="0" fontId="2" fillId="0" borderId="11" xfId="5" applyFont="1" applyFill="1" applyBorder="1" applyAlignment="1">
      <alignment horizontal="left"/>
    </xf>
    <xf numFmtId="0" fontId="2" fillId="0" borderId="10" xfId="5" applyFont="1" applyFill="1" applyBorder="1" applyAlignment="1">
      <alignment horizontal="left"/>
    </xf>
    <xf numFmtId="0" fontId="2" fillId="0" borderId="0" xfId="5" applyFont="1" applyFill="1" applyBorder="1" applyAlignment="1"/>
    <xf numFmtId="0" fontId="16" fillId="0" borderId="0" xfId="5" applyFont="1" applyFill="1" applyBorder="1" applyAlignment="1">
      <alignment horizontal="right"/>
    </xf>
    <xf numFmtId="0" fontId="16" fillId="0" borderId="0" xfId="5" applyFont="1" applyFill="1" applyBorder="1"/>
    <xf numFmtId="0" fontId="16" fillId="0" borderId="0" xfId="5" applyFont="1" applyFill="1" applyBorder="1" applyAlignment="1">
      <alignment horizontal="center"/>
    </xf>
    <xf numFmtId="0" fontId="2" fillId="5" borderId="10" xfId="5" applyFont="1" applyFill="1" applyBorder="1" applyAlignment="1">
      <alignment horizontal="left"/>
    </xf>
    <xf numFmtId="0" fontId="2" fillId="5" borderId="0" xfId="5" applyFont="1" applyFill="1" applyBorder="1"/>
    <xf numFmtId="0" fontId="2" fillId="5" borderId="0" xfId="5" applyFont="1" applyFill="1" applyBorder="1" applyAlignment="1"/>
    <xf numFmtId="0" fontId="2" fillId="5" borderId="0" xfId="5" applyFont="1" applyFill="1" applyBorder="1" applyAlignment="1">
      <alignment horizontal="center"/>
    </xf>
    <xf numFmtId="0" fontId="2" fillId="5" borderId="0" xfId="5" applyFont="1" applyFill="1" applyBorder="1" applyAlignment="1">
      <alignment horizontal="left"/>
    </xf>
    <xf numFmtId="0" fontId="19" fillId="5" borderId="0" xfId="5" applyFont="1" applyFill="1" applyBorder="1" applyAlignment="1">
      <alignment horizontal="center" vertical="top"/>
    </xf>
    <xf numFmtId="0" fontId="2" fillId="5" borderId="3" xfId="5" applyFont="1" applyFill="1" applyBorder="1" applyAlignment="1">
      <alignment horizontal="center"/>
    </xf>
    <xf numFmtId="0" fontId="2" fillId="0" borderId="0" xfId="5" applyFont="1" applyFill="1" applyBorder="1" applyAlignment="1">
      <alignment horizontal="right"/>
    </xf>
    <xf numFmtId="0" fontId="17" fillId="0" borderId="10" xfId="5" applyFont="1" applyFill="1" applyBorder="1" applyAlignment="1">
      <alignment horizontal="left"/>
    </xf>
    <xf numFmtId="0" fontId="17" fillId="0" borderId="0" xfId="5" applyFont="1" applyFill="1" applyBorder="1" applyAlignment="1">
      <alignment horizontal="right"/>
    </xf>
    <xf numFmtId="0" fontId="15" fillId="0" borderId="0" xfId="5" applyFont="1" applyFill="1" applyBorder="1"/>
    <xf numFmtId="0" fontId="2" fillId="0" borderId="12" xfId="5" applyFont="1" applyFill="1" applyBorder="1" applyAlignment="1">
      <alignment horizontal="left"/>
    </xf>
    <xf numFmtId="0" fontId="2" fillId="0" borderId="13" xfId="5" applyFont="1" applyFill="1" applyBorder="1"/>
    <xf numFmtId="0" fontId="2" fillId="0" borderId="13" xfId="5" applyFont="1" applyFill="1" applyBorder="1" applyAlignment="1">
      <alignment horizontal="left"/>
    </xf>
    <xf numFmtId="0" fontId="2" fillId="0" borderId="13" xfId="5" applyFont="1" applyFill="1" applyBorder="1" applyAlignment="1">
      <alignment horizontal="right"/>
    </xf>
    <xf numFmtId="0" fontId="15" fillId="0" borderId="13" xfId="5" applyFont="1" applyFill="1" applyBorder="1"/>
    <xf numFmtId="0" fontId="2" fillId="0" borderId="14" xfId="5" applyFont="1" applyFill="1" applyBorder="1" applyAlignment="1">
      <alignment horizontal="left"/>
    </xf>
    <xf numFmtId="0" fontId="44" fillId="0" borderId="0" xfId="5" applyFill="1" applyAlignment="1">
      <alignment horizontal="right"/>
    </xf>
    <xf numFmtId="0" fontId="5" fillId="0" borderId="0" xfId="5" applyFont="1" applyFill="1" applyAlignment="1">
      <alignment horizontal="center"/>
    </xf>
    <xf numFmtId="0" fontId="44" fillId="0" borderId="0" xfId="5" applyFill="1" applyBorder="1" applyAlignment="1">
      <alignment horizontal="left"/>
    </xf>
    <xf numFmtId="0" fontId="44" fillId="0" borderId="0" xfId="5" applyFill="1" applyBorder="1"/>
    <xf numFmtId="0" fontId="5" fillId="0" borderId="0" xfId="5" applyFont="1" applyFill="1" applyBorder="1" applyAlignment="1">
      <alignment horizontal="left"/>
    </xf>
    <xf numFmtId="0" fontId="2" fillId="0" borderId="15" xfId="5" applyFont="1" applyFill="1" applyBorder="1" applyAlignment="1">
      <alignment horizontal="left"/>
    </xf>
    <xf numFmtId="0" fontId="44" fillId="0" borderId="16" xfId="5" applyBorder="1"/>
    <xf numFmtId="0" fontId="2" fillId="0" borderId="16" xfId="5" applyFont="1" applyFill="1" applyBorder="1" applyAlignment="1">
      <alignment horizontal="left"/>
    </xf>
    <xf numFmtId="0" fontId="2" fillId="0" borderId="16" xfId="5" applyFont="1" applyFill="1" applyBorder="1" applyAlignment="1">
      <alignment horizontal="center"/>
    </xf>
    <xf numFmtId="0" fontId="2" fillId="0" borderId="16" xfId="5" applyFont="1" applyFill="1" applyBorder="1"/>
    <xf numFmtId="0" fontId="2" fillId="0" borderId="17" xfId="5" applyFont="1" applyFill="1" applyBorder="1" applyAlignment="1">
      <alignment horizontal="left"/>
    </xf>
    <xf numFmtId="0" fontId="2" fillId="0" borderId="18" xfId="5" applyFont="1" applyFill="1" applyBorder="1" applyAlignment="1">
      <alignment horizontal="left"/>
    </xf>
    <xf numFmtId="0" fontId="44" fillId="0" borderId="0" xfId="5" applyBorder="1"/>
    <xf numFmtId="0" fontId="2" fillId="0" borderId="19" xfId="5" applyFont="1" applyFill="1" applyBorder="1" applyAlignment="1">
      <alignment horizontal="left"/>
    </xf>
    <xf numFmtId="0" fontId="2" fillId="5" borderId="18" xfId="5" applyFont="1" applyFill="1" applyBorder="1" applyAlignment="1">
      <alignment horizontal="left"/>
    </xf>
    <xf numFmtId="0" fontId="44" fillId="5" borderId="0" xfId="5" applyFill="1" applyBorder="1"/>
    <xf numFmtId="0" fontId="2" fillId="0" borderId="18" xfId="5" applyFont="1" applyFill="1" applyBorder="1"/>
    <xf numFmtId="0" fontId="2" fillId="0" borderId="20" xfId="5" applyFont="1" applyFill="1" applyBorder="1" applyAlignment="1">
      <alignment horizontal="left"/>
    </xf>
    <xf numFmtId="0" fontId="44" fillId="0" borderId="21" xfId="5" applyBorder="1"/>
    <xf numFmtId="0" fontId="2" fillId="0" borderId="21" xfId="5" applyFont="1" applyFill="1" applyBorder="1" applyAlignment="1">
      <alignment horizontal="left"/>
    </xf>
    <xf numFmtId="0" fontId="2" fillId="0" borderId="21" xfId="5" applyFont="1" applyFill="1" applyBorder="1" applyAlignment="1">
      <alignment horizontal="right"/>
    </xf>
    <xf numFmtId="0" fontId="2" fillId="0" borderId="21" xfId="5" applyFont="1" applyFill="1" applyBorder="1"/>
    <xf numFmtId="0" fontId="2" fillId="0" borderId="21" xfId="5" applyFont="1" applyFill="1" applyBorder="1" applyAlignment="1">
      <alignment horizontal="center"/>
    </xf>
    <xf numFmtId="0" fontId="2" fillId="0" borderId="22" xfId="5" applyFont="1" applyFill="1" applyBorder="1" applyAlignment="1">
      <alignment horizontal="left"/>
    </xf>
    <xf numFmtId="0" fontId="8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/>
    </xf>
    <xf numFmtId="0" fontId="14" fillId="2" borderId="4" xfId="0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3" fillId="0" borderId="0" xfId="0" applyFont="1" applyFill="1" applyBorder="1" applyProtection="1"/>
    <xf numFmtId="0" fontId="8" fillId="0" borderId="0" xfId="0" applyFont="1" applyBorder="1" applyAlignment="1" applyProtection="1">
      <alignment vertical="top" wrapText="1"/>
    </xf>
    <xf numFmtId="0" fontId="0" fillId="0" borderId="0" xfId="0" quotePrefix="1" applyBorder="1" applyAlignment="1" applyProtection="1">
      <alignment horizontal="left"/>
    </xf>
    <xf numFmtId="0" fontId="9" fillId="0" borderId="4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1" fontId="5" fillId="4" borderId="0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vertical="top" wrapText="1"/>
    </xf>
    <xf numFmtId="0" fontId="14" fillId="0" borderId="0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vertical="top"/>
    </xf>
    <xf numFmtId="0" fontId="14" fillId="0" borderId="0" xfId="0" applyFont="1" applyFill="1" applyBorder="1" applyAlignment="1" applyProtection="1">
      <alignment horizontal="left" vertical="top"/>
    </xf>
    <xf numFmtId="166" fontId="0" fillId="2" borderId="4" xfId="0" applyNumberFormat="1" applyFont="1" applyFill="1" applyBorder="1" applyAlignment="1" applyProtection="1">
      <alignment horizontal="center"/>
      <protection locked="0"/>
    </xf>
    <xf numFmtId="0" fontId="51" fillId="0" borderId="50" xfId="0" applyFont="1" applyBorder="1" applyProtection="1"/>
    <xf numFmtId="0" fontId="51" fillId="0" borderId="53" xfId="0" applyFont="1" applyBorder="1" applyProtection="1"/>
    <xf numFmtId="0" fontId="51" fillId="0" borderId="0" xfId="5" applyFont="1" applyFill="1" applyAlignment="1">
      <alignment horizontal="left"/>
    </xf>
    <xf numFmtId="0" fontId="0" fillId="6" borderId="0" xfId="0" applyFill="1"/>
    <xf numFmtId="0" fontId="0" fillId="0" borderId="0" xfId="0" applyFill="1" applyBorder="1"/>
    <xf numFmtId="0" fontId="7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0" fillId="0" borderId="0" xfId="0" applyFill="1" applyBorder="1" applyAlignment="1">
      <alignment horizontal="left"/>
    </xf>
    <xf numFmtId="0" fontId="9" fillId="0" borderId="0" xfId="0" applyFont="1" applyFill="1" applyBorder="1" applyProtection="1"/>
    <xf numFmtId="0" fontId="5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/>
    </xf>
    <xf numFmtId="0" fontId="0" fillId="6" borderId="0" xfId="0" applyFill="1" applyBorder="1"/>
    <xf numFmtId="0" fontId="14" fillId="0" borderId="0" xfId="0" applyFont="1" applyFill="1" applyBorder="1" applyAlignment="1" applyProtection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0" fillId="0" borderId="52" xfId="0" applyFill="1" applyBorder="1"/>
    <xf numFmtId="0" fontId="0" fillId="0" borderId="53" xfId="0" applyFill="1" applyBorder="1"/>
    <xf numFmtId="0" fontId="0" fillId="0" borderId="54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1" fontId="50" fillId="0" borderId="0" xfId="0" applyNumberFormat="1" applyFont="1" applyBorder="1" applyAlignment="1" applyProtection="1">
      <alignment horizontal="center"/>
    </xf>
    <xf numFmtId="0" fontId="1" fillId="6" borderId="0" xfId="6" applyFill="1" applyProtection="1"/>
    <xf numFmtId="0" fontId="1" fillId="0" borderId="23" xfId="6" applyFill="1" applyBorder="1" applyAlignment="1" applyProtection="1">
      <alignment horizontal="left"/>
    </xf>
    <xf numFmtId="0" fontId="1" fillId="0" borderId="24" xfId="6" applyFill="1" applyBorder="1" applyAlignment="1" applyProtection="1">
      <alignment horizontal="left"/>
    </xf>
    <xf numFmtId="0" fontId="1" fillId="0" borderId="25" xfId="6" applyFill="1" applyBorder="1" applyAlignment="1" applyProtection="1">
      <alignment horizontal="left"/>
    </xf>
    <xf numFmtId="0" fontId="32" fillId="0" borderId="26" xfId="6" applyFont="1" applyFill="1" applyBorder="1" applyAlignment="1" applyProtection="1">
      <alignment vertical="top" wrapText="1"/>
    </xf>
    <xf numFmtId="0" fontId="33" fillId="7" borderId="25" xfId="6" applyFont="1" applyFill="1" applyBorder="1" applyAlignment="1" applyProtection="1"/>
    <xf numFmtId="0" fontId="1" fillId="7" borderId="0" xfId="6" applyFill="1" applyBorder="1" applyProtection="1"/>
    <xf numFmtId="0" fontId="33" fillId="0" borderId="0" xfId="6" applyFont="1" applyFill="1" applyBorder="1" applyAlignment="1" applyProtection="1"/>
    <xf numFmtId="0" fontId="1" fillId="0" borderId="0" xfId="6" applyFill="1" applyBorder="1" applyAlignment="1" applyProtection="1">
      <alignment horizontal="left"/>
    </xf>
    <xf numFmtId="0" fontId="1" fillId="0" borderId="0" xfId="6" applyFill="1" applyBorder="1" applyProtection="1"/>
    <xf numFmtId="0" fontId="1" fillId="0" borderId="0" xfId="6" applyFill="1" applyBorder="1" applyAlignment="1" applyProtection="1">
      <alignment horizontal="center"/>
    </xf>
    <xf numFmtId="0" fontId="34" fillId="0" borderId="0" xfId="6" applyFont="1" applyFill="1" applyBorder="1" applyAlignment="1" applyProtection="1">
      <alignment vertical="top" wrapText="1"/>
    </xf>
    <xf numFmtId="0" fontId="1" fillId="7" borderId="25" xfId="6" applyFill="1" applyBorder="1" applyAlignment="1" applyProtection="1">
      <alignment horizontal="left"/>
    </xf>
    <xf numFmtId="0" fontId="1" fillId="7" borderId="0" xfId="6" applyFill="1" applyBorder="1" applyAlignment="1" applyProtection="1">
      <alignment horizontal="left"/>
    </xf>
    <xf numFmtId="0" fontId="1" fillId="8" borderId="4" xfId="6" applyFill="1" applyBorder="1" applyAlignment="1" applyProtection="1">
      <alignment horizontal="center"/>
      <protection locked="0"/>
    </xf>
    <xf numFmtId="0" fontId="4" fillId="0" borderId="0" xfId="6" applyFont="1" applyFill="1" applyBorder="1" applyAlignment="1" applyProtection="1">
      <alignment horizontal="left"/>
    </xf>
    <xf numFmtId="0" fontId="35" fillId="0" borderId="0" xfId="6" applyFont="1" applyFill="1" applyBorder="1" applyAlignment="1" applyProtection="1">
      <alignment horizontal="center" vertical="top" wrapText="1"/>
    </xf>
    <xf numFmtId="0" fontId="4" fillId="7" borderId="0" xfId="6" applyFont="1" applyFill="1" applyBorder="1" applyAlignment="1" applyProtection="1">
      <alignment horizontal="left"/>
    </xf>
    <xf numFmtId="0" fontId="36" fillId="0" borderId="25" xfId="6" applyFont="1" applyFill="1" applyBorder="1" applyAlignment="1" applyProtection="1">
      <alignment horizontal="right" vertical="top"/>
    </xf>
    <xf numFmtId="9" fontId="32" fillId="7" borderId="0" xfId="8" applyFont="1" applyFill="1" applyBorder="1" applyAlignment="1" applyProtection="1">
      <alignment horizontal="left"/>
    </xf>
    <xf numFmtId="0" fontId="1" fillId="7" borderId="0" xfId="6" applyFill="1" applyBorder="1" applyAlignment="1" applyProtection="1">
      <alignment horizontal="right" vertical="center"/>
    </xf>
    <xf numFmtId="0" fontId="4" fillId="7" borderId="0" xfId="6" quotePrefix="1" applyFont="1" applyFill="1" applyBorder="1" applyAlignment="1" applyProtection="1">
      <alignment vertical="center"/>
    </xf>
    <xf numFmtId="0" fontId="36" fillId="7" borderId="0" xfId="6" applyFont="1" applyFill="1" applyBorder="1" applyAlignment="1" applyProtection="1">
      <alignment horizontal="right" vertical="top"/>
    </xf>
    <xf numFmtId="0" fontId="1" fillId="0" borderId="26" xfId="6" applyFill="1" applyBorder="1" applyAlignment="1" applyProtection="1">
      <alignment horizontal="right"/>
    </xf>
    <xf numFmtId="0" fontId="1" fillId="0" borderId="27" xfId="6" applyFill="1" applyBorder="1" applyProtection="1"/>
    <xf numFmtId="0" fontId="1" fillId="0" borderId="28" xfId="6" applyFill="1" applyBorder="1" applyProtection="1"/>
    <xf numFmtId="0" fontId="0" fillId="6" borderId="0" xfId="0" applyFill="1" applyAlignment="1">
      <alignment horizontal="left"/>
    </xf>
    <xf numFmtId="0" fontId="5" fillId="6" borderId="0" xfId="0" applyFont="1" applyFill="1" applyBorder="1" applyAlignment="1" applyProtection="1">
      <alignment horizontal="right"/>
    </xf>
    <xf numFmtId="0" fontId="8" fillId="6" borderId="0" xfId="0" applyFont="1" applyFill="1" applyBorder="1" applyAlignment="1" applyProtection="1">
      <alignment horizontal="center"/>
    </xf>
    <xf numFmtId="0" fontId="5" fillId="6" borderId="0" xfId="0" applyFont="1" applyFill="1" applyBorder="1" applyAlignment="1" applyProtection="1">
      <alignment horizontal="left"/>
    </xf>
    <xf numFmtId="0" fontId="5" fillId="6" borderId="0" xfId="0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left"/>
    </xf>
    <xf numFmtId="0" fontId="0" fillId="6" borderId="0" xfId="0" applyFill="1" applyProtection="1"/>
    <xf numFmtId="0" fontId="0" fillId="6" borderId="0" xfId="0" applyFill="1" applyAlignment="1" applyProtection="1">
      <alignment horizontal="center"/>
    </xf>
    <xf numFmtId="0" fontId="1" fillId="9" borderId="0" xfId="6" applyFill="1" applyProtection="1"/>
    <xf numFmtId="0" fontId="3" fillId="0" borderId="0" xfId="0" applyFont="1" applyBorder="1" applyAlignment="1" applyProtection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Fill="1" applyBorder="1" applyAlignment="1" applyProtection="1">
      <alignment horizontal="left"/>
    </xf>
    <xf numFmtId="0" fontId="9" fillId="0" borderId="3" xfId="0" applyFont="1" applyFill="1" applyBorder="1" applyAlignment="1" applyProtection="1">
      <alignment horizontal="center"/>
    </xf>
    <xf numFmtId="0" fontId="44" fillId="6" borderId="0" xfId="5" applyFill="1"/>
    <xf numFmtId="0" fontId="44" fillId="6" borderId="0" xfId="5" applyFill="1" applyAlignment="1">
      <alignment horizontal="left"/>
    </xf>
    <xf numFmtId="0" fontId="4" fillId="6" borderId="0" xfId="0" applyFont="1" applyFill="1" applyProtection="1"/>
    <xf numFmtId="0" fontId="14" fillId="6" borderId="0" xfId="5" applyFont="1" applyFill="1" applyAlignment="1">
      <alignment horizontal="left"/>
    </xf>
    <xf numFmtId="0" fontId="14" fillId="6" borderId="0" xfId="5" applyFont="1" applyFill="1"/>
    <xf numFmtId="0" fontId="14" fillId="6" borderId="0" xfId="5" applyFont="1" applyFill="1" applyAlignment="1">
      <alignment horizontal="center"/>
    </xf>
    <xf numFmtId="0" fontId="14" fillId="6" borderId="0" xfId="5" applyFont="1" applyFill="1" applyAlignment="1">
      <alignment horizontal="right"/>
    </xf>
    <xf numFmtId="3" fontId="20" fillId="6" borderId="0" xfId="5" applyNumberFormat="1" applyFont="1" applyFill="1" applyBorder="1" applyAlignment="1">
      <alignment horizontal="center" vertical="top"/>
    </xf>
    <xf numFmtId="0" fontId="44" fillId="6" borderId="0" xfId="5" applyFill="1" applyBorder="1"/>
    <xf numFmtId="0" fontId="44" fillId="6" borderId="0" xfId="5" applyFill="1" applyBorder="1" applyAlignment="1">
      <alignment horizontal="left"/>
    </xf>
    <xf numFmtId="0" fontId="5" fillId="6" borderId="0" xfId="5" applyFont="1" applyFill="1" applyBorder="1" applyAlignment="1">
      <alignment horizontal="right"/>
    </xf>
    <xf numFmtId="0" fontId="44" fillId="6" borderId="0" xfId="5" applyFill="1" applyBorder="1" applyAlignment="1">
      <alignment horizontal="center"/>
    </xf>
    <xf numFmtId="2" fontId="44" fillId="6" borderId="0" xfId="5" applyNumberFormat="1" applyFill="1" applyBorder="1" applyAlignment="1">
      <alignment horizontal="center"/>
    </xf>
    <xf numFmtId="0" fontId="21" fillId="6" borderId="0" xfId="5" applyFont="1" applyFill="1" applyAlignment="1">
      <alignment horizontal="left"/>
    </xf>
    <xf numFmtId="0" fontId="14" fillId="6" borderId="0" xfId="5" applyFont="1" applyFill="1" applyAlignment="1">
      <alignment horizontal="center" vertical="top"/>
    </xf>
    <xf numFmtId="0" fontId="22" fillId="6" borderId="0" xfId="5" applyFont="1" applyFill="1" applyAlignment="1">
      <alignment horizontal="center"/>
    </xf>
    <xf numFmtId="0" fontId="44" fillId="6" borderId="0" xfId="5" applyFill="1" applyBorder="1" applyAlignment="1">
      <alignment horizontal="left" vertical="center"/>
    </xf>
    <xf numFmtId="0" fontId="15" fillId="6" borderId="0" xfId="5" applyFont="1" applyFill="1" applyBorder="1" applyAlignment="1">
      <alignment horizontal="center" vertical="center"/>
    </xf>
    <xf numFmtId="0" fontId="44" fillId="6" borderId="0" xfId="5" applyFill="1" applyBorder="1" applyAlignment="1">
      <alignment horizontal="center" vertical="center"/>
    </xf>
    <xf numFmtId="0" fontId="5" fillId="6" borderId="0" xfId="5" applyFont="1" applyFill="1" applyBorder="1" applyAlignment="1">
      <alignment horizontal="left" vertical="center"/>
    </xf>
    <xf numFmtId="0" fontId="5" fillId="6" borderId="0" xfId="5" applyFont="1" applyFill="1" applyBorder="1" applyAlignment="1">
      <alignment horizontal="left"/>
    </xf>
    <xf numFmtId="0" fontId="1" fillId="6" borderId="0" xfId="5" applyFont="1" applyFill="1" applyBorder="1" applyAlignment="1">
      <alignment horizontal="center"/>
    </xf>
    <xf numFmtId="0" fontId="9" fillId="6" borderId="0" xfId="5" applyFont="1" applyFill="1" applyBorder="1" applyAlignment="1">
      <alignment horizontal="center"/>
    </xf>
    <xf numFmtId="0" fontId="14" fillId="6" borderId="0" xfId="5" applyFont="1" applyFill="1" applyBorder="1"/>
    <xf numFmtId="0" fontId="23" fillId="6" borderId="0" xfId="5" applyFont="1" applyFill="1"/>
    <xf numFmtId="0" fontId="23" fillId="6" borderId="0" xfId="5" applyFont="1" applyFill="1" applyAlignment="1">
      <alignment horizontal="left"/>
    </xf>
    <xf numFmtId="0" fontId="24" fillId="6" borderId="0" xfId="5" applyFont="1" applyFill="1" applyBorder="1" applyAlignment="1">
      <alignment horizontal="center"/>
    </xf>
    <xf numFmtId="0" fontId="25" fillId="6" borderId="0" xfId="5" applyFont="1" applyFill="1" applyBorder="1" applyAlignment="1">
      <alignment horizontal="left"/>
    </xf>
    <xf numFmtId="0" fontId="25" fillId="6" borderId="0" xfId="5" applyFont="1" applyFill="1" applyBorder="1" applyAlignment="1">
      <alignment horizontal="center"/>
    </xf>
    <xf numFmtId="0" fontId="6" fillId="6" borderId="0" xfId="5" applyFont="1" applyFill="1" applyBorder="1" applyAlignment="1">
      <alignment horizontal="left"/>
    </xf>
    <xf numFmtId="0" fontId="1" fillId="6" borderId="0" xfId="5" applyFont="1" applyFill="1" applyBorder="1" applyAlignment="1">
      <alignment horizontal="left"/>
    </xf>
    <xf numFmtId="0" fontId="6" fillId="6" borderId="0" xfId="5" applyFont="1" applyFill="1" applyBorder="1" applyAlignment="1">
      <alignment horizontal="center"/>
    </xf>
    <xf numFmtId="0" fontId="14" fillId="6" borderId="0" xfId="5" applyFont="1" applyFill="1" applyBorder="1" applyAlignment="1">
      <alignment horizontal="center"/>
    </xf>
    <xf numFmtId="0" fontId="14" fillId="6" borderId="0" xfId="5" applyFont="1" applyFill="1" applyBorder="1" applyAlignment="1">
      <alignment horizontal="left"/>
    </xf>
    <xf numFmtId="0" fontId="26" fillId="6" borderId="0" xfId="5" applyFont="1" applyFill="1" applyBorder="1" applyAlignment="1">
      <alignment horizontal="center"/>
    </xf>
    <xf numFmtId="0" fontId="22" fillId="6" borderId="0" xfId="5" applyFont="1" applyFill="1" applyBorder="1" applyAlignment="1">
      <alignment horizontal="center"/>
    </xf>
    <xf numFmtId="0" fontId="22" fillId="6" borderId="0" xfId="5" applyFont="1" applyFill="1" applyBorder="1" applyAlignment="1">
      <alignment horizontal="left"/>
    </xf>
    <xf numFmtId="0" fontId="44" fillId="6" borderId="0" xfId="5" applyFill="1" applyBorder="1" applyAlignment="1">
      <alignment horizontal="right"/>
    </xf>
    <xf numFmtId="0" fontId="44" fillId="6" borderId="0" xfId="5" quotePrefix="1" applyFill="1" applyBorder="1" applyAlignment="1">
      <alignment horizontal="center"/>
    </xf>
    <xf numFmtId="0" fontId="44" fillId="6" borderId="0" xfId="5" quotePrefix="1" applyFill="1" applyBorder="1" applyAlignment="1">
      <alignment horizontal="left"/>
    </xf>
    <xf numFmtId="3" fontId="5" fillId="6" borderId="0" xfId="5" applyNumberFormat="1" applyFont="1" applyFill="1" applyBorder="1" applyAlignment="1">
      <alignment horizontal="center"/>
    </xf>
    <xf numFmtId="0" fontId="0" fillId="6" borderId="0" xfId="0" applyFill="1" applyAlignment="1" applyProtection="1"/>
    <xf numFmtId="0" fontId="0" fillId="6" borderId="0" xfId="0" applyFill="1" applyBorder="1" applyProtection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 applyProtection="1"/>
    <xf numFmtId="0" fontId="0" fillId="0" borderId="62" xfId="0" applyBorder="1" applyAlignment="1" applyProtection="1"/>
    <xf numFmtId="0" fontId="0" fillId="0" borderId="62" xfId="0" applyBorder="1" applyProtection="1"/>
    <xf numFmtId="0" fontId="8" fillId="0" borderId="61" xfId="0" applyFont="1" applyBorder="1" applyAlignment="1" applyProtection="1">
      <alignment horizontal="left"/>
    </xf>
    <xf numFmtId="0" fontId="0" fillId="0" borderId="61" xfId="0" applyFill="1" applyBorder="1" applyProtection="1"/>
    <xf numFmtId="0" fontId="1" fillId="0" borderId="5" xfId="0" applyFont="1" applyBorder="1" applyAlignment="1" applyProtection="1">
      <alignment horizontal="left" wrapText="1"/>
    </xf>
    <xf numFmtId="0" fontId="10" fillId="0" borderId="0" xfId="2" applyBorder="1" applyAlignment="1" applyProtection="1">
      <alignment horizontal="left"/>
    </xf>
    <xf numFmtId="0" fontId="2" fillId="0" borderId="36" xfId="0" applyFont="1" applyFill="1" applyBorder="1" applyAlignment="1" applyProtection="1"/>
    <xf numFmtId="0" fontId="10" fillId="0" borderId="0" xfId="2" applyBorder="1" applyAlignment="1" applyProtection="1"/>
    <xf numFmtId="0" fontId="38" fillId="0" borderId="0" xfId="2" applyFont="1" applyAlignment="1" applyProtection="1">
      <protection locked="0"/>
    </xf>
    <xf numFmtId="43" fontId="1" fillId="8" borderId="37" xfId="1" applyFont="1" applyFill="1" applyBorder="1" applyAlignment="1" applyProtection="1">
      <alignment horizontal="center"/>
      <protection locked="0"/>
    </xf>
    <xf numFmtId="0" fontId="38" fillId="0" borderId="0" xfId="2" applyFont="1" applyBorder="1" applyAlignment="1" applyProtection="1">
      <protection locked="0"/>
    </xf>
    <xf numFmtId="0" fontId="38" fillId="0" borderId="0" xfId="2" applyFont="1" applyFill="1" applyBorder="1" applyAlignment="1" applyProtection="1">
      <protection locked="0"/>
    </xf>
    <xf numFmtId="0" fontId="14" fillId="8" borderId="37" xfId="0" applyFont="1" applyFill="1" applyBorder="1" applyAlignment="1" applyProtection="1">
      <alignment vertical="top" wrapText="1"/>
      <protection locked="0"/>
    </xf>
    <xf numFmtId="0" fontId="14" fillId="8" borderId="38" xfId="0" applyFont="1" applyFill="1" applyBorder="1" applyAlignment="1" applyProtection="1">
      <alignment vertical="top" wrapText="1"/>
      <protection locked="0"/>
    </xf>
    <xf numFmtId="0" fontId="0" fillId="8" borderId="29" xfId="0" applyFill="1" applyBorder="1" applyAlignment="1" applyProtection="1">
      <alignment horizontal="center"/>
      <protection locked="0"/>
    </xf>
    <xf numFmtId="0" fontId="0" fillId="8" borderId="4" xfId="0" applyFont="1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14" fillId="8" borderId="4" xfId="0" applyFon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</xf>
    <xf numFmtId="165" fontId="13" fillId="0" borderId="0" xfId="0" quotePrefix="1" applyNumberFormat="1" applyFont="1" applyBorder="1" applyAlignment="1" applyProtection="1">
      <alignment horizontal="right"/>
    </xf>
    <xf numFmtId="0" fontId="52" fillId="0" borderId="13" xfId="5" applyFont="1" applyFill="1" applyBorder="1" applyAlignment="1">
      <alignment horizontal="center"/>
    </xf>
    <xf numFmtId="0" fontId="17" fillId="0" borderId="4" xfId="5" applyFont="1" applyFill="1" applyBorder="1" applyAlignment="1" applyProtection="1">
      <alignment horizontal="center"/>
    </xf>
    <xf numFmtId="0" fontId="17" fillId="0" borderId="39" xfId="5" applyFont="1" applyFill="1" applyBorder="1" applyAlignment="1" applyProtection="1">
      <alignment horizontal="center"/>
    </xf>
    <xf numFmtId="3" fontId="15" fillId="8" borderId="4" xfId="5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left"/>
    </xf>
    <xf numFmtId="0" fontId="53" fillId="0" borderId="53" xfId="0" applyFont="1" applyBorder="1" applyAlignment="1" applyProtection="1">
      <alignment horizontal="right" vertical="top" textRotation="180"/>
    </xf>
    <xf numFmtId="0" fontId="1" fillId="0" borderId="26" xfId="6" applyFill="1" applyBorder="1" applyProtection="1"/>
    <xf numFmtId="0" fontId="1" fillId="0" borderId="25" xfId="6" applyFill="1" applyBorder="1" applyProtection="1"/>
    <xf numFmtId="0" fontId="1" fillId="0" borderId="40" xfId="6" applyFill="1" applyBorder="1" applyProtection="1"/>
    <xf numFmtId="0" fontId="0" fillId="0" borderId="0" xfId="6" applyFont="1" applyFill="1" applyBorder="1" applyProtection="1"/>
    <xf numFmtId="0" fontId="0" fillId="10" borderId="4" xfId="0" quotePrefix="1" applyFill="1" applyBorder="1" applyAlignment="1" applyProtection="1">
      <alignment horizontal="center"/>
      <protection locked="0"/>
    </xf>
    <xf numFmtId="0" fontId="10" fillId="0" borderId="0" xfId="2" applyFill="1" applyBorder="1" applyAlignment="1" applyProtection="1">
      <alignment horizontal="center"/>
    </xf>
    <xf numFmtId="0" fontId="1" fillId="7" borderId="0" xfId="6" applyFont="1" applyFill="1" applyBorder="1" applyAlignment="1" applyProtection="1">
      <alignment horizontal="center"/>
    </xf>
    <xf numFmtId="0" fontId="0" fillId="0" borderId="4" xfId="0" quotePrefix="1" applyFill="1" applyBorder="1" applyAlignment="1" applyProtection="1">
      <alignment horizontal="center"/>
    </xf>
    <xf numFmtId="0" fontId="0" fillId="0" borderId="0" xfId="0" applyFill="1" applyAlignment="1" applyProtection="1">
      <alignment horizontal="right"/>
    </xf>
    <xf numFmtId="0" fontId="0" fillId="6" borderId="0" xfId="0" applyFill="1" applyAlignment="1" applyProtection="1">
      <alignment horizontal="left"/>
    </xf>
    <xf numFmtId="0" fontId="6" fillId="6" borderId="0" xfId="0" applyFont="1" applyFill="1" applyAlignment="1" applyProtection="1">
      <alignment horizontal="left"/>
    </xf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Alignment="1" applyProtection="1"/>
    <xf numFmtId="0" fontId="7" fillId="6" borderId="0" xfId="0" applyFont="1" applyFill="1" applyBorder="1" applyAlignment="1" applyProtection="1">
      <alignment horizontal="left"/>
    </xf>
    <xf numFmtId="0" fontId="14" fillId="6" borderId="4" xfId="7" applyFont="1" applyFill="1" applyBorder="1" applyAlignment="1" applyProtection="1">
      <alignment horizontal="center"/>
    </xf>
    <xf numFmtId="0" fontId="1" fillId="6" borderId="0" xfId="7" applyFont="1" applyFill="1" applyAlignment="1" applyProtection="1">
      <alignment horizontal="left"/>
    </xf>
    <xf numFmtId="0" fontId="1" fillId="6" borderId="0" xfId="7" applyFill="1" applyAlignment="1" applyProtection="1">
      <alignment horizontal="left"/>
    </xf>
    <xf numFmtId="0" fontId="0" fillId="6" borderId="0" xfId="0" applyFill="1" applyAlignment="1" applyProtection="1">
      <alignment horizontal="right"/>
    </xf>
    <xf numFmtId="0" fontId="6" fillId="6" borderId="0" xfId="0" applyFont="1" applyFill="1" applyBorder="1" applyAlignment="1" applyProtection="1">
      <alignment horizontal="left"/>
    </xf>
    <xf numFmtId="0" fontId="1" fillId="6" borderId="0" xfId="7" applyFill="1" applyBorder="1" applyAlignment="1" applyProtection="1">
      <alignment horizontal="center"/>
    </xf>
    <xf numFmtId="0" fontId="50" fillId="6" borderId="0" xfId="0" applyFont="1" applyFill="1" applyAlignment="1" applyProtection="1">
      <alignment horizontal="center"/>
    </xf>
    <xf numFmtId="1" fontId="5" fillId="6" borderId="0" xfId="0" applyNumberFormat="1" applyFont="1" applyFill="1" applyBorder="1" applyAlignment="1" applyProtection="1">
      <alignment horizontal="center" vertical="center"/>
    </xf>
    <xf numFmtId="0" fontId="1" fillId="6" borderId="0" xfId="7" applyFill="1" applyBorder="1" applyAlignment="1" applyProtection="1">
      <alignment horizontal="left"/>
    </xf>
    <xf numFmtId="0" fontId="1" fillId="6" borderId="0" xfId="7" applyFont="1" applyFill="1" applyBorder="1" applyAlignment="1" applyProtection="1">
      <alignment horizontal="left"/>
    </xf>
    <xf numFmtId="0" fontId="1" fillId="6" borderId="0" xfId="7" applyFont="1" applyFill="1" applyBorder="1" applyAlignment="1" applyProtection="1">
      <alignment horizontal="right"/>
    </xf>
    <xf numFmtId="0" fontId="1" fillId="6" borderId="0" xfId="7" applyFont="1" applyFill="1" applyBorder="1" applyAlignment="1" applyProtection="1">
      <alignment horizontal="center"/>
    </xf>
    <xf numFmtId="0" fontId="37" fillId="6" borderId="0" xfId="0" applyFont="1" applyFill="1" applyBorder="1" applyAlignment="1" applyProtection="1">
      <alignment horizontal="left" vertical="center"/>
    </xf>
    <xf numFmtId="0" fontId="5" fillId="6" borderId="0" xfId="7" applyFont="1" applyFill="1" applyAlignment="1" applyProtection="1">
      <alignment horizontal="left"/>
    </xf>
    <xf numFmtId="0" fontId="6" fillId="6" borderId="0" xfId="7" applyFont="1" applyFill="1" applyBorder="1" applyAlignment="1" applyProtection="1">
      <alignment horizontal="left"/>
    </xf>
    <xf numFmtId="0" fontId="1" fillId="6" borderId="0" xfId="0" applyFont="1" applyFill="1" applyBorder="1" applyAlignment="1" applyProtection="1">
      <alignment horizontal="right"/>
    </xf>
    <xf numFmtId="167" fontId="0" fillId="6" borderId="0" xfId="0" applyNumberFormat="1" applyFill="1" applyBorder="1" applyAlignment="1" applyProtection="1">
      <alignment horizontal="center"/>
    </xf>
    <xf numFmtId="0" fontId="54" fillId="6" borderId="4" xfId="0" quotePrefix="1" applyFont="1" applyFill="1" applyBorder="1" applyAlignment="1" applyProtection="1">
      <alignment horizontal="center"/>
    </xf>
    <xf numFmtId="0" fontId="5" fillId="6" borderId="0" xfId="0" applyFont="1" applyFill="1" applyBorder="1" applyAlignment="1" applyProtection="1"/>
    <xf numFmtId="0" fontId="0" fillId="6" borderId="0" xfId="0" applyFill="1" applyBorder="1" applyAlignment="1" applyProtection="1">
      <alignment horizontal="right"/>
    </xf>
    <xf numFmtId="0" fontId="18" fillId="6" borderId="3" xfId="0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right" vertical="center"/>
    </xf>
    <xf numFmtId="1" fontId="5" fillId="6" borderId="0" xfId="0" applyNumberFormat="1" applyFont="1" applyFill="1" applyBorder="1" applyAlignment="1" applyProtection="1">
      <alignment horizontal="center"/>
    </xf>
    <xf numFmtId="0" fontId="20" fillId="6" borderId="4" xfId="0" applyFont="1" applyFill="1" applyBorder="1" applyAlignment="1" applyProtection="1">
      <alignment horizontal="center"/>
    </xf>
    <xf numFmtId="167" fontId="0" fillId="6" borderId="4" xfId="0" applyNumberForma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left" vertical="center"/>
    </xf>
    <xf numFmtId="0" fontId="5" fillId="6" borderId="0" xfId="0" applyFont="1" applyFill="1" applyAlignment="1" applyProtection="1">
      <alignment horizontal="left"/>
    </xf>
    <xf numFmtId="0" fontId="0" fillId="6" borderId="0" xfId="0" quotePrefix="1" applyFill="1" applyBorder="1" applyAlignment="1" applyProtection="1">
      <alignment horizontal="center"/>
    </xf>
    <xf numFmtId="0" fontId="1" fillId="6" borderId="0" xfId="0" quotePrefix="1" applyFont="1" applyFill="1" applyBorder="1" applyAlignment="1" applyProtection="1">
      <alignment horizontal="center"/>
    </xf>
    <xf numFmtId="0" fontId="8" fillId="6" borderId="0" xfId="0" applyFont="1" applyFill="1" applyAlignment="1" applyProtection="1">
      <alignment horizontal="center"/>
    </xf>
    <xf numFmtId="0" fontId="1" fillId="6" borderId="0" xfId="0" applyFont="1" applyFill="1" applyAlignment="1" applyProtection="1">
      <alignment horizontal="center"/>
    </xf>
    <xf numFmtId="0" fontId="4" fillId="6" borderId="0" xfId="0" applyFont="1" applyFill="1" applyAlignment="1" applyProtection="1">
      <alignment horizontal="right"/>
    </xf>
    <xf numFmtId="0" fontId="1" fillId="6" borderId="0" xfId="0" applyFont="1" applyFill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0" fontId="41" fillId="0" borderId="0" xfId="2" applyFont="1" applyAlignment="1" applyProtection="1">
      <protection locked="0"/>
    </xf>
    <xf numFmtId="0" fontId="0" fillId="0" borderId="63" xfId="0" applyBorder="1" applyProtection="1"/>
    <xf numFmtId="0" fontId="0" fillId="0" borderId="64" xfId="0" applyBorder="1" applyProtection="1"/>
    <xf numFmtId="0" fontId="0" fillId="0" borderId="65" xfId="0" applyBorder="1" applyProtection="1"/>
    <xf numFmtId="0" fontId="0" fillId="6" borderId="59" xfId="0" applyFill="1" applyBorder="1" applyProtection="1"/>
    <xf numFmtId="0" fontId="27" fillId="0" borderId="0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center" vertical="top"/>
    </xf>
    <xf numFmtId="0" fontId="0" fillId="0" borderId="53" xfId="0" applyFill="1" applyBorder="1" applyProtection="1"/>
    <xf numFmtId="0" fontId="0" fillId="0" borderId="54" xfId="0" applyFill="1" applyBorder="1" applyAlignment="1" applyProtection="1">
      <alignment horizontal="left"/>
    </xf>
    <xf numFmtId="0" fontId="43" fillId="0" borderId="0" xfId="5" applyFont="1" applyFill="1" applyBorder="1" applyAlignment="1">
      <alignment horizontal="center"/>
    </xf>
    <xf numFmtId="0" fontId="43" fillId="0" borderId="0" xfId="5" applyFont="1" applyFill="1" applyBorder="1" applyAlignment="1">
      <alignment horizontal="left"/>
    </xf>
    <xf numFmtId="0" fontId="14" fillId="0" borderId="36" xfId="0" applyFont="1" applyFill="1" applyBorder="1" applyAlignment="1" applyProtection="1">
      <alignment vertical="top" wrapText="1"/>
    </xf>
    <xf numFmtId="0" fontId="0" fillId="0" borderId="58" xfId="0" applyBorder="1" applyProtection="1"/>
    <xf numFmtId="0" fontId="0" fillId="0" borderId="59" xfId="0" applyBorder="1" applyProtection="1"/>
    <xf numFmtId="0" fontId="0" fillId="0" borderId="60" xfId="0" applyBorder="1" applyProtection="1"/>
    <xf numFmtId="0" fontId="14" fillId="0" borderId="1" xfId="0" applyFont="1" applyFill="1" applyBorder="1" applyAlignment="1" applyProtection="1">
      <alignment vertical="top" wrapText="1"/>
    </xf>
    <xf numFmtId="0" fontId="0" fillId="0" borderId="0" xfId="0" applyFont="1" applyBorder="1" applyAlignment="1" applyProtection="1">
      <alignment horizontal="left"/>
    </xf>
    <xf numFmtId="1" fontId="0" fillId="0" borderId="4" xfId="0" applyNumberFormat="1" applyFont="1" applyBorder="1" applyAlignment="1" applyProtection="1">
      <alignment horizontal="center"/>
    </xf>
    <xf numFmtId="0" fontId="0" fillId="0" borderId="0" xfId="0" applyProtection="1"/>
    <xf numFmtId="0" fontId="60" fillId="0" borderId="0" xfId="0" applyFont="1" applyBorder="1" applyAlignment="1" applyProtection="1">
      <alignment wrapText="1"/>
    </xf>
    <xf numFmtId="0" fontId="61" fillId="0" borderId="0" xfId="0" applyFont="1" applyBorder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0" fontId="26" fillId="0" borderId="0" xfId="0" applyFont="1" applyAlignment="1" applyProtection="1">
      <alignment horizontal="left"/>
    </xf>
    <xf numFmtId="0" fontId="0" fillId="6" borderId="0" xfId="0" applyFill="1" applyAlignment="1" applyProtection="1">
      <alignment horizontal="left" vertical="center"/>
    </xf>
    <xf numFmtId="0" fontId="0" fillId="6" borderId="0" xfId="0" applyFill="1" applyAlignment="1" applyProtection="1">
      <alignment horizontal="right" vertical="center"/>
    </xf>
    <xf numFmtId="0" fontId="0" fillId="6" borderId="29" xfId="0" applyFill="1" applyBorder="1" applyAlignment="1" applyProtection="1">
      <alignment horizontal="center" vertical="center"/>
    </xf>
    <xf numFmtId="0" fontId="0" fillId="6" borderId="0" xfId="0" applyFill="1" applyAlignment="1" applyProtection="1">
      <alignment vertical="center"/>
    </xf>
    <xf numFmtId="0" fontId="0" fillId="6" borderId="0" xfId="0" applyFill="1" applyAlignment="1" applyProtection="1">
      <alignment horizontal="center" vertical="center"/>
    </xf>
    <xf numFmtId="0" fontId="0" fillId="6" borderId="4" xfId="0" applyFill="1" applyBorder="1" applyAlignment="1" applyProtection="1">
      <alignment horizontal="center" vertical="center"/>
    </xf>
    <xf numFmtId="0" fontId="6" fillId="6" borderId="0" xfId="0" applyFont="1" applyFill="1" applyAlignment="1" applyProtection="1">
      <alignment horizontal="left" vertical="center"/>
    </xf>
    <xf numFmtId="0" fontId="0" fillId="6" borderId="30" xfId="0" applyFill="1" applyBorder="1" applyAlignment="1" applyProtection="1">
      <alignment horizontal="left" vertical="center"/>
    </xf>
    <xf numFmtId="0" fontId="0" fillId="6" borderId="2" xfId="0" applyFill="1" applyBorder="1" applyAlignment="1" applyProtection="1">
      <alignment vertical="center"/>
    </xf>
    <xf numFmtId="0" fontId="0" fillId="6" borderId="31" xfId="0" applyFill="1" applyBorder="1" applyAlignment="1" applyProtection="1">
      <alignment horizontal="left" vertical="center"/>
    </xf>
    <xf numFmtId="0" fontId="0" fillId="6" borderId="32" xfId="0" applyFill="1" applyBorder="1" applyAlignment="1" applyProtection="1">
      <alignment horizontal="left" vertical="center"/>
    </xf>
    <xf numFmtId="0" fontId="6" fillId="6" borderId="0" xfId="0" applyFont="1" applyFill="1" applyAlignment="1" applyProtection="1">
      <alignment vertical="center"/>
    </xf>
    <xf numFmtId="0" fontId="0" fillId="6" borderId="33" xfId="0" applyFill="1" applyBorder="1" applyAlignment="1" applyProtection="1">
      <alignment horizontal="left" vertical="center"/>
    </xf>
    <xf numFmtId="0" fontId="0" fillId="6" borderId="32" xfId="0" applyFill="1" applyBorder="1" applyAlignment="1" applyProtection="1">
      <alignment vertical="center"/>
    </xf>
    <xf numFmtId="0" fontId="0" fillId="6" borderId="34" xfId="0" applyFill="1" applyBorder="1" applyAlignment="1" applyProtection="1">
      <alignment horizontal="left" vertical="center"/>
    </xf>
    <xf numFmtId="0" fontId="0" fillId="6" borderId="3" xfId="0" applyFill="1" applyBorder="1" applyAlignment="1" applyProtection="1">
      <alignment horizontal="left" vertical="center"/>
    </xf>
    <xf numFmtId="0" fontId="0" fillId="6" borderId="3" xfId="0" applyFill="1" applyBorder="1" applyAlignment="1" applyProtection="1">
      <alignment horizontal="center" vertical="center"/>
    </xf>
    <xf numFmtId="0" fontId="0" fillId="6" borderId="35" xfId="0" applyFill="1" applyBorder="1" applyAlignment="1" applyProtection="1">
      <alignment horizontal="left" vertical="center"/>
    </xf>
    <xf numFmtId="0" fontId="5" fillId="6" borderId="3" xfId="0" applyFont="1" applyFill="1" applyBorder="1" applyAlignment="1" applyProtection="1">
      <alignment horizontal="center" vertical="center"/>
    </xf>
    <xf numFmtId="2" fontId="0" fillId="6" borderId="29" xfId="0" applyNumberFormat="1" applyFill="1" applyBorder="1" applyAlignment="1" applyProtection="1">
      <alignment horizontal="center" vertical="center"/>
    </xf>
    <xf numFmtId="0" fontId="0" fillId="6" borderId="0" xfId="0" quotePrefix="1" applyFill="1" applyAlignment="1" applyProtection="1">
      <alignment horizontal="center" vertical="center"/>
    </xf>
    <xf numFmtId="1" fontId="0" fillId="6" borderId="3" xfId="0" applyNumberFormat="1" applyFill="1" applyBorder="1" applyAlignment="1" applyProtection="1">
      <alignment horizontal="center" vertical="center"/>
    </xf>
    <xf numFmtId="38" fontId="26" fillId="6" borderId="3" xfId="1" applyNumberFormat="1" applyFont="1" applyFill="1" applyBorder="1" applyAlignment="1" applyProtection="1">
      <alignment horizontal="center" vertical="center"/>
    </xf>
    <xf numFmtId="0" fontId="7" fillId="6" borderId="0" xfId="0" applyFont="1" applyFill="1" applyAlignment="1" applyProtection="1">
      <alignment horizontal="center" vertical="center"/>
    </xf>
    <xf numFmtId="0" fontId="4" fillId="6" borderId="0" xfId="0" applyFont="1" applyFill="1" applyAlignment="1" applyProtection="1">
      <alignment horizontal="left" vertical="center"/>
    </xf>
    <xf numFmtId="0" fontId="6" fillId="6" borderId="0" xfId="0" applyFont="1" applyFill="1" applyAlignment="1" applyProtection="1">
      <alignment horizontal="center" vertical="center"/>
    </xf>
    <xf numFmtId="0" fontId="11" fillId="6" borderId="0" xfId="0" applyFont="1" applyFill="1" applyAlignment="1" applyProtection="1">
      <alignment vertical="center"/>
    </xf>
    <xf numFmtId="0" fontId="0" fillId="6" borderId="0" xfId="0" applyFont="1" applyFill="1" applyAlignment="1" applyProtection="1">
      <alignment horizontal="center" vertical="center"/>
    </xf>
    <xf numFmtId="0" fontId="30" fillId="6" borderId="0" xfId="0" applyFont="1" applyFill="1" applyAlignment="1" applyProtection="1">
      <alignment horizontal="left" vertical="center"/>
    </xf>
    <xf numFmtId="3" fontId="0" fillId="6" borderId="0" xfId="0" applyNumberFormat="1" applyFill="1" applyAlignment="1" applyProtection="1">
      <alignment horizontal="center" vertical="center"/>
    </xf>
    <xf numFmtId="0" fontId="15" fillId="6" borderId="0" xfId="0" applyFont="1" applyFill="1" applyAlignment="1" applyProtection="1">
      <alignment horizontal="left" vertical="center"/>
    </xf>
    <xf numFmtId="16" fontId="0" fillId="6" borderId="0" xfId="0" quotePrefix="1" applyNumberForma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/>
    </xf>
    <xf numFmtId="168" fontId="0" fillId="0" borderId="0" xfId="0" applyNumberForma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/>
    <xf numFmtId="166" fontId="0" fillId="8" borderId="37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 vertical="center"/>
    </xf>
    <xf numFmtId="0" fontId="0" fillId="4" borderId="0" xfId="0" quotePrefix="1" applyFill="1" applyAlignment="1" applyProtection="1">
      <alignment horizontal="center" vertical="center"/>
    </xf>
    <xf numFmtId="0" fontId="0" fillId="10" borderId="4" xfId="0" applyFill="1" applyBorder="1" applyAlignment="1" applyProtection="1">
      <alignment horizontal="center"/>
      <protection locked="0"/>
    </xf>
    <xf numFmtId="0" fontId="38" fillId="0" borderId="0" xfId="2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/>
    </xf>
    <xf numFmtId="0" fontId="2" fillId="8" borderId="38" xfId="0" applyFont="1" applyFill="1" applyBorder="1" applyAlignment="1" applyProtection="1">
      <alignment horizontal="left"/>
      <protection locked="0"/>
    </xf>
    <xf numFmtId="0" fontId="2" fillId="8" borderId="42" xfId="0" applyFont="1" applyFill="1" applyBorder="1" applyAlignment="1" applyProtection="1">
      <alignment horizontal="left"/>
      <protection locked="0"/>
    </xf>
    <xf numFmtId="0" fontId="38" fillId="0" borderId="0" xfId="2" applyFont="1" applyAlignment="1" applyProtection="1">
      <protection locked="0"/>
    </xf>
    <xf numFmtId="0" fontId="38" fillId="0" borderId="0" xfId="2" applyFont="1" applyAlignment="1" applyProtection="1">
      <alignment horizontal="left"/>
      <protection locked="0"/>
    </xf>
    <xf numFmtId="0" fontId="10" fillId="0" borderId="32" xfId="2" applyBorder="1" applyAlignment="1" applyProtection="1">
      <alignment horizontal="left" vertical="center"/>
    </xf>
    <xf numFmtId="0" fontId="10" fillId="0" borderId="54" xfId="2" applyBorder="1" applyAlignment="1" applyProtection="1">
      <alignment horizontal="left" vertical="center"/>
    </xf>
    <xf numFmtId="0" fontId="0" fillId="0" borderId="0" xfId="0" applyProtection="1"/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vertical="top"/>
    </xf>
    <xf numFmtId="0" fontId="55" fillId="0" borderId="54" xfId="0" applyFont="1" applyBorder="1" applyAlignment="1" applyProtection="1">
      <alignment horizontal="center" vertical="top"/>
    </xf>
    <xf numFmtId="0" fontId="0" fillId="8" borderId="38" xfId="0" applyFont="1" applyFill="1" applyBorder="1" applyAlignment="1" applyProtection="1">
      <alignment horizontal="left"/>
      <protection locked="0"/>
    </xf>
    <xf numFmtId="0" fontId="1" fillId="8" borderId="41" xfId="0" applyFont="1" applyFill="1" applyBorder="1" applyAlignment="1" applyProtection="1">
      <alignment horizontal="left"/>
      <protection locked="0"/>
    </xf>
    <xf numFmtId="0" fontId="1" fillId="8" borderId="42" xfId="0" applyFont="1" applyFill="1" applyBorder="1" applyAlignment="1" applyProtection="1">
      <alignment horizontal="left"/>
      <protection locked="0"/>
    </xf>
    <xf numFmtId="0" fontId="55" fillId="0" borderId="0" xfId="0" applyFont="1" applyAlignment="1" applyProtection="1">
      <alignment horizontal="center" vertical="center"/>
    </xf>
    <xf numFmtId="0" fontId="55" fillId="0" borderId="5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56" fillId="0" borderId="3" xfId="0" applyFont="1" applyBorder="1" applyAlignment="1" applyProtection="1">
      <alignment horizontal="center" vertical="center"/>
    </xf>
    <xf numFmtId="14" fontId="0" fillId="0" borderId="0" xfId="0" applyNumberFormat="1" applyFill="1" applyBorder="1" applyAlignment="1" applyProtection="1">
      <alignment horizontal="left"/>
      <protection locked="0"/>
    </xf>
    <xf numFmtId="0" fontId="10" fillId="0" borderId="51" xfId="2" applyBorder="1" applyAlignment="1" applyProtection="1">
      <alignment horizontal="center"/>
    </xf>
    <xf numFmtId="0" fontId="0" fillId="6" borderId="0" xfId="0" applyFill="1" applyAlignment="1" applyProtection="1">
      <alignment horizontal="center" vertical="center"/>
    </xf>
    <xf numFmtId="0" fontId="60" fillId="0" borderId="0" xfId="0" applyFont="1" applyBorder="1" applyAlignment="1" applyProtection="1">
      <alignment horizontal="center" wrapText="1"/>
    </xf>
    <xf numFmtId="0" fontId="15" fillId="0" borderId="0" xfId="5" applyFont="1" applyFill="1" applyBorder="1" applyAlignment="1">
      <alignment horizontal="center"/>
    </xf>
    <xf numFmtId="0" fontId="57" fillId="0" borderId="0" xfId="5" applyFont="1" applyFill="1" applyAlignment="1">
      <alignment horizontal="center" vertical="center"/>
    </xf>
    <xf numFmtId="0" fontId="58" fillId="0" borderId="0" xfId="5" applyFont="1" applyAlignment="1">
      <alignment horizontal="center" vertical="center"/>
    </xf>
    <xf numFmtId="0" fontId="59" fillId="0" borderId="0" xfId="5" applyFont="1" applyAlignment="1">
      <alignment horizontal="center"/>
    </xf>
    <xf numFmtId="0" fontId="31" fillId="0" borderId="43" xfId="6" applyFont="1" applyFill="1" applyBorder="1" applyAlignment="1" applyProtection="1">
      <alignment horizontal="center" vertical="center"/>
    </xf>
    <xf numFmtId="0" fontId="31" fillId="0" borderId="0" xfId="6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center"/>
    </xf>
    <xf numFmtId="0" fontId="6" fillId="6" borderId="0" xfId="0" applyFont="1" applyFill="1" applyAlignment="1" applyProtection="1">
      <alignment horizontal="center"/>
    </xf>
    <xf numFmtId="0" fontId="8" fillId="0" borderId="0" xfId="0" applyFont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 vertical="top" wrapText="1"/>
    </xf>
    <xf numFmtId="0" fontId="14" fillId="8" borderId="44" xfId="0" applyFont="1" applyFill="1" applyBorder="1" applyAlignment="1" applyProtection="1">
      <alignment horizontal="left" vertical="top" wrapText="1"/>
      <protection locked="0"/>
    </xf>
    <xf numFmtId="0" fontId="14" fillId="8" borderId="1" xfId="0" applyFont="1" applyFill="1" applyBorder="1" applyAlignment="1" applyProtection="1">
      <alignment horizontal="left" vertical="top" wrapText="1"/>
      <protection locked="0"/>
    </xf>
    <xf numFmtId="0" fontId="14" fillId="8" borderId="45" xfId="0" applyFont="1" applyFill="1" applyBorder="1" applyAlignment="1" applyProtection="1">
      <alignment horizontal="left" vertical="top" wrapText="1"/>
      <protection locked="0"/>
    </xf>
    <xf numFmtId="0" fontId="14" fillId="8" borderId="46" xfId="0" applyFont="1" applyFill="1" applyBorder="1" applyAlignment="1" applyProtection="1">
      <alignment horizontal="left" vertical="top" wrapText="1"/>
      <protection locked="0"/>
    </xf>
    <xf numFmtId="0" fontId="14" fillId="8" borderId="0" xfId="0" applyFont="1" applyFill="1" applyBorder="1" applyAlignment="1" applyProtection="1">
      <alignment horizontal="left" vertical="top" wrapText="1"/>
      <protection locked="0"/>
    </xf>
    <xf numFmtId="0" fontId="14" fillId="8" borderId="47" xfId="0" applyFont="1" applyFill="1" applyBorder="1" applyAlignment="1" applyProtection="1">
      <alignment horizontal="left" vertical="top" wrapText="1"/>
      <protection locked="0"/>
    </xf>
    <xf numFmtId="0" fontId="14" fillId="8" borderId="48" xfId="0" applyFont="1" applyFill="1" applyBorder="1" applyAlignment="1" applyProtection="1">
      <alignment horizontal="left" vertical="top" wrapText="1"/>
      <protection locked="0"/>
    </xf>
    <xf numFmtId="0" fontId="14" fillId="8" borderId="36" xfId="0" applyFont="1" applyFill="1" applyBorder="1" applyAlignment="1" applyProtection="1">
      <alignment horizontal="left" vertical="top" wrapText="1"/>
      <protection locked="0"/>
    </xf>
    <xf numFmtId="0" fontId="14" fillId="8" borderId="49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horizontal="center" vertical="top" wrapText="1"/>
    </xf>
    <xf numFmtId="0" fontId="2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 wrapText="1"/>
    </xf>
  </cellXfs>
  <cellStyles count="9">
    <cellStyle name="Comma" xfId="1" builtinId="3"/>
    <cellStyle name="Hyperli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3 2" xfId="6" xr:uid="{00000000-0005-0000-0000-000006000000}"/>
    <cellStyle name="Normal_SWRWKSHT" xfId="7" xr:uid="{00000000-0005-0000-0000-000007000000}"/>
    <cellStyle name="Percent 2" xfId="8" xr:uid="{00000000-0005-0000-0000-000008000000}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4" tint="0.79998168889431442"/>
      </font>
    </dxf>
    <dxf>
      <font>
        <color theme="4" tint="0.79998168889431442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44</xdr:row>
          <xdr:rowOff>12700</xdr:rowOff>
        </xdr:from>
        <xdr:to>
          <xdr:col>3</xdr:col>
          <xdr:colOff>222250</xdr:colOff>
          <xdr:row>44</xdr:row>
          <xdr:rowOff>127000</xdr:rowOff>
        </xdr:to>
        <xdr:sp macro="" textlink="">
          <xdr:nvSpPr>
            <xdr:cNvPr id="1028" name="Picture 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355600</xdr:colOff>
          <xdr:row>44</xdr:row>
          <xdr:rowOff>31750</xdr:rowOff>
        </xdr:from>
        <xdr:to>
          <xdr:col>3</xdr:col>
          <xdr:colOff>584200</xdr:colOff>
          <xdr:row>44</xdr:row>
          <xdr:rowOff>146050</xdr:rowOff>
        </xdr:to>
        <xdr:sp macro="" textlink="">
          <xdr:nvSpPr>
            <xdr:cNvPr id="1029" name="Picture 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34</xdr:row>
      <xdr:rowOff>0</xdr:rowOff>
    </xdr:from>
    <xdr:to>
      <xdr:col>50</xdr:col>
      <xdr:colOff>0</xdr:colOff>
      <xdr:row>34</xdr:row>
      <xdr:rowOff>0</xdr:rowOff>
    </xdr:to>
    <xdr:sp macro="" textlink="">
      <xdr:nvSpPr>
        <xdr:cNvPr id="2116" name="Line 14">
          <a:extLst>
            <a:ext uri="{FF2B5EF4-FFF2-40B4-BE49-F238E27FC236}">
              <a16:creationId xmlns:a16="http://schemas.microsoft.com/office/drawing/2014/main" id="{00000000-0008-0000-0200-000044080000}"/>
            </a:ext>
          </a:extLst>
        </xdr:cNvPr>
        <xdr:cNvSpPr>
          <a:spLocks noChangeShapeType="1"/>
        </xdr:cNvSpPr>
      </xdr:nvSpPr>
      <xdr:spPr bwMode="auto">
        <a:xfrm>
          <a:off x="28089225" y="661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AT338"/>
  <sheetViews>
    <sheetView showGridLines="0" tabSelected="1" zoomScaleNormal="100" workbookViewId="0">
      <selection activeCell="E18" sqref="E18:F18"/>
    </sheetView>
  </sheetViews>
  <sheetFormatPr defaultColWidth="9.1796875" defaultRowHeight="12" customHeight="1" x14ac:dyDescent="0.3"/>
  <cols>
    <col min="1" max="1" width="4.54296875" style="1" customWidth="1"/>
    <col min="2" max="2" width="5.1796875" style="8" customWidth="1"/>
    <col min="3" max="3" width="4.1796875" style="8" customWidth="1"/>
    <col min="4" max="4" width="9.1796875" style="8"/>
    <col min="5" max="6" width="9.26953125" style="8" bestFit="1" customWidth="1"/>
    <col min="7" max="7" width="9.1796875" style="8"/>
    <col min="8" max="8" width="9.26953125" style="56" bestFit="1" customWidth="1"/>
    <col min="9" max="9" width="9.7265625" style="8" bestFit="1" customWidth="1"/>
    <col min="10" max="10" width="9.26953125" style="8" bestFit="1" customWidth="1"/>
    <col min="11" max="11" width="9.26953125" style="8" customWidth="1"/>
    <col min="12" max="12" width="5.81640625" style="8" customWidth="1"/>
    <col min="13" max="13" width="5.7265625" style="8" customWidth="1"/>
    <col min="14" max="23" width="6.7265625" style="6" customWidth="1"/>
    <col min="24" max="24" width="9.1796875" style="6"/>
    <col min="25" max="25" width="7.81640625" style="6" customWidth="1"/>
    <col min="26" max="26" width="8.1796875" style="6" customWidth="1"/>
    <col min="27" max="16384" width="9.1796875" style="6"/>
  </cols>
  <sheetData>
    <row r="1" spans="2:27" s="1" customFormat="1" ht="12" customHeight="1" x14ac:dyDescent="0.3"/>
    <row r="2" spans="2:27" s="1" customFormat="1" ht="12" customHeight="1" thickBot="1" x14ac:dyDescent="0.35"/>
    <row r="3" spans="2:27" s="1" customFormat="1" ht="12" customHeight="1" x14ac:dyDescent="0.3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4"/>
    </row>
    <row r="4" spans="2:27" ht="12" customHeight="1" x14ac:dyDescent="0.35">
      <c r="B4" s="5"/>
      <c r="C4" s="450" t="s">
        <v>0</v>
      </c>
      <c r="D4" s="450"/>
      <c r="E4" s="450"/>
      <c r="F4" s="451"/>
      <c r="G4" s="452"/>
      <c r="H4" s="317"/>
      <c r="I4" s="317"/>
      <c r="J4" s="459" t="s">
        <v>1</v>
      </c>
      <c r="K4" s="459"/>
      <c r="L4" s="459"/>
      <c r="M4" s="460"/>
      <c r="T4" s="1"/>
    </row>
    <row r="5" spans="2:27" ht="12" customHeight="1" x14ac:dyDescent="0.3">
      <c r="B5" s="5"/>
      <c r="C5" s="65" t="s">
        <v>2</v>
      </c>
      <c r="D5" s="65"/>
      <c r="E5" s="65"/>
      <c r="F5" s="461"/>
      <c r="G5" s="462"/>
      <c r="H5" s="462"/>
      <c r="I5" s="463"/>
      <c r="J5" s="459"/>
      <c r="K5" s="459"/>
      <c r="L5" s="459"/>
      <c r="M5" s="460"/>
      <c r="T5" s="1"/>
    </row>
    <row r="6" spans="2:27" ht="12" customHeight="1" x14ac:dyDescent="0.3">
      <c r="B6" s="336" t="s">
        <v>209</v>
      </c>
      <c r="C6" s="335" t="s">
        <v>3</v>
      </c>
      <c r="D6" s="261"/>
      <c r="E6" s="261"/>
      <c r="F6" s="320"/>
      <c r="G6" s="9" t="s">
        <v>192</v>
      </c>
      <c r="H6" s="10"/>
      <c r="I6" s="10"/>
      <c r="J6" s="464" t="s">
        <v>4</v>
      </c>
      <c r="K6" s="464"/>
      <c r="L6" s="464"/>
      <c r="M6" s="465"/>
      <c r="T6" s="1"/>
    </row>
    <row r="7" spans="2:27" ht="12" customHeight="1" x14ac:dyDescent="0.3">
      <c r="B7" s="5"/>
      <c r="C7" s="261" t="s">
        <v>193</v>
      </c>
      <c r="D7" s="261"/>
      <c r="E7" s="261"/>
      <c r="F7" s="444"/>
      <c r="G7" s="262" t="s">
        <v>194</v>
      </c>
      <c r="H7" s="11"/>
      <c r="I7" s="11"/>
      <c r="J7" s="464"/>
      <c r="K7" s="464"/>
      <c r="L7" s="464"/>
      <c r="M7" s="465"/>
      <c r="T7" s="1"/>
    </row>
    <row r="8" spans="2:27" ht="12" customHeight="1" x14ac:dyDescent="0.3">
      <c r="B8" s="5"/>
      <c r="C8" s="441"/>
      <c r="D8" s="441"/>
      <c r="E8" s="441"/>
      <c r="F8" s="442"/>
      <c r="G8" s="443"/>
      <c r="H8" s="16"/>
      <c r="I8" s="458" t="s">
        <v>226</v>
      </c>
      <c r="J8" s="458"/>
      <c r="K8" s="458"/>
      <c r="L8" s="458"/>
      <c r="M8" s="14"/>
    </row>
    <row r="9" spans="2:27" ht="12" customHeight="1" x14ac:dyDescent="0.3">
      <c r="B9" s="5"/>
      <c r="C9" s="441"/>
      <c r="D9" s="441"/>
      <c r="E9" s="441"/>
      <c r="F9" s="468"/>
      <c r="G9" s="468"/>
      <c r="H9" s="16"/>
      <c r="I9" s="458"/>
      <c r="J9" s="458"/>
      <c r="K9" s="458"/>
      <c r="L9" s="458"/>
      <c r="M9" s="14"/>
    </row>
    <row r="10" spans="2:27" ht="12" customHeight="1" x14ac:dyDescent="0.35">
      <c r="B10" s="5"/>
      <c r="C10" s="7"/>
      <c r="D10" s="12"/>
      <c r="E10" s="12"/>
      <c r="F10" s="260"/>
      <c r="G10" s="260"/>
      <c r="H10" s="260"/>
      <c r="I10" s="458"/>
      <c r="J10" s="458"/>
      <c r="K10" s="458"/>
      <c r="L10" s="458"/>
      <c r="M10" s="14"/>
    </row>
    <row r="11" spans="2:27" ht="12" customHeight="1" x14ac:dyDescent="0.3">
      <c r="B11" s="336" t="s">
        <v>209</v>
      </c>
      <c r="C11" s="7" t="s">
        <v>210</v>
      </c>
      <c r="D11" s="12"/>
      <c r="E11" s="12"/>
      <c r="F11" s="466" t="s">
        <v>5</v>
      </c>
      <c r="G11" s="466"/>
      <c r="H11" s="466"/>
      <c r="I11" s="466"/>
      <c r="J11" s="13"/>
      <c r="K11" s="13"/>
      <c r="L11" s="13"/>
      <c r="M11" s="14"/>
    </row>
    <row r="12" spans="2:27" ht="12" customHeight="1" x14ac:dyDescent="0.3">
      <c r="B12" s="5"/>
      <c r="C12" s="12"/>
      <c r="D12" s="7"/>
      <c r="E12" s="7"/>
      <c r="F12" s="466"/>
      <c r="G12" s="466"/>
      <c r="H12" s="466"/>
      <c r="I12" s="466"/>
      <c r="J12" s="13"/>
      <c r="K12" s="13"/>
      <c r="L12" s="13"/>
      <c r="M12" s="14"/>
    </row>
    <row r="13" spans="2:27" ht="12" customHeight="1" x14ac:dyDescent="0.3">
      <c r="B13" s="5"/>
      <c r="C13" s="15"/>
      <c r="D13" s="15"/>
      <c r="E13" s="7"/>
      <c r="F13" s="467" t="s">
        <v>202</v>
      </c>
      <c r="G13" s="467"/>
      <c r="H13" s="467"/>
      <c r="I13" s="467"/>
      <c r="J13" s="16"/>
      <c r="K13" s="16"/>
      <c r="L13" s="7"/>
      <c r="M13" s="17"/>
    </row>
    <row r="14" spans="2:27" ht="12" customHeight="1" x14ac:dyDescent="0.3">
      <c r="B14" s="5"/>
      <c r="C14" s="18"/>
      <c r="D14" s="19"/>
      <c r="E14" s="18"/>
      <c r="F14" s="18"/>
      <c r="G14" s="18"/>
      <c r="H14" s="18"/>
      <c r="I14" s="20"/>
      <c r="J14" s="20"/>
      <c r="K14" s="20"/>
      <c r="L14" s="18"/>
      <c r="M14" s="17"/>
    </row>
    <row r="15" spans="2:27" ht="12" customHeight="1" x14ac:dyDescent="0.3">
      <c r="B15" s="5"/>
      <c r="C15" s="7"/>
      <c r="D15" s="21"/>
      <c r="E15" s="12"/>
      <c r="F15" s="12"/>
      <c r="G15" s="12"/>
      <c r="H15" s="12"/>
      <c r="I15" s="16" t="s">
        <v>6</v>
      </c>
      <c r="J15" s="16"/>
      <c r="K15" s="16" t="s">
        <v>7</v>
      </c>
      <c r="L15" s="7"/>
      <c r="M15" s="17"/>
      <c r="AA15" s="22"/>
    </row>
    <row r="16" spans="2:27" ht="12" customHeight="1" x14ac:dyDescent="0.3">
      <c r="B16" s="23"/>
      <c r="C16" s="7"/>
      <c r="D16" s="24" t="s">
        <v>8</v>
      </c>
      <c r="E16" s="12"/>
      <c r="F16" s="25" t="s">
        <v>9</v>
      </c>
      <c r="G16" s="12"/>
      <c r="H16" s="12"/>
      <c r="I16" s="26" t="s">
        <v>10</v>
      </c>
      <c r="J16" s="26"/>
      <c r="K16" s="26" t="s">
        <v>10</v>
      </c>
      <c r="L16" s="7"/>
      <c r="M16" s="17"/>
      <c r="AA16" s="22"/>
    </row>
    <row r="17" spans="2:30" ht="12" customHeight="1" x14ac:dyDescent="0.3">
      <c r="B17" s="23"/>
      <c r="C17" s="27"/>
      <c r="D17" s="15"/>
      <c r="E17" s="7"/>
      <c r="F17" s="7"/>
      <c r="G17" s="15"/>
      <c r="H17" s="7"/>
      <c r="I17" s="16"/>
      <c r="J17" s="16"/>
      <c r="K17" s="28"/>
      <c r="L17" s="7"/>
      <c r="M17" s="17"/>
      <c r="AA17" s="29"/>
    </row>
    <row r="18" spans="2:30" ht="12" customHeight="1" x14ac:dyDescent="0.3">
      <c r="B18" s="23"/>
      <c r="C18" s="7"/>
      <c r="D18" s="7"/>
      <c r="E18" s="453" t="s">
        <v>11</v>
      </c>
      <c r="F18" s="453"/>
      <c r="G18" s="30"/>
      <c r="H18" s="7"/>
      <c r="I18" s="16">
        <v>10</v>
      </c>
      <c r="J18" s="16"/>
      <c r="K18" s="31" t="str">
        <f>'Traffic and ACC'!J28</f>
        <v/>
      </c>
      <c r="L18" s="7"/>
      <c r="M18" s="17"/>
      <c r="AA18" s="32"/>
      <c r="AB18" s="33"/>
    </row>
    <row r="19" spans="2:30" ht="12" customHeight="1" x14ac:dyDescent="0.3">
      <c r="B19" s="5"/>
      <c r="C19" s="7"/>
      <c r="D19" s="7"/>
      <c r="E19" s="453" t="s">
        <v>12</v>
      </c>
      <c r="F19" s="453"/>
      <c r="G19" s="453"/>
      <c r="H19" s="7"/>
      <c r="I19" s="28">
        <v>5</v>
      </c>
      <c r="J19" s="16"/>
      <c r="K19" s="34">
        <f>IF('Traffic and ACC'!K49&gt;5,5,'Traffic and ACC'!K49)</f>
        <v>0</v>
      </c>
      <c r="L19" s="7"/>
      <c r="M19" s="17"/>
      <c r="AD19" s="35"/>
    </row>
    <row r="20" spans="2:30" ht="12" customHeight="1" x14ac:dyDescent="0.3">
      <c r="B20" s="5"/>
      <c r="C20" s="7"/>
      <c r="D20" s="7"/>
      <c r="E20" s="7"/>
      <c r="F20" s="7"/>
      <c r="G20" s="30"/>
      <c r="H20" s="36" t="s">
        <v>13</v>
      </c>
      <c r="I20" s="37">
        <f>SUM(I18:I19)</f>
        <v>15</v>
      </c>
      <c r="J20" s="38"/>
      <c r="K20" s="224">
        <f>SUM(K18:K19)</f>
        <v>0</v>
      </c>
      <c r="L20" s="7"/>
      <c r="M20" s="17"/>
      <c r="AD20" s="35"/>
    </row>
    <row r="21" spans="2:30" ht="12" customHeight="1" x14ac:dyDescent="0.3">
      <c r="B21" s="5"/>
      <c r="C21" s="7"/>
      <c r="D21" s="7"/>
      <c r="E21" s="7"/>
      <c r="F21" s="7"/>
      <c r="G21" s="30"/>
      <c r="H21" s="36"/>
      <c r="I21" s="71"/>
      <c r="J21" s="38"/>
      <c r="K21" s="224"/>
      <c r="L21" s="7"/>
      <c r="M21" s="17"/>
      <c r="AD21" s="35"/>
    </row>
    <row r="22" spans="2:30" ht="12" customHeight="1" thickBot="1" x14ac:dyDescent="0.35">
      <c r="B22" s="5"/>
      <c r="C22" s="40"/>
      <c r="D22" s="40"/>
      <c r="E22" s="40"/>
      <c r="F22" s="40"/>
      <c r="G22" s="41"/>
      <c r="H22" s="42"/>
      <c r="I22" s="43"/>
      <c r="J22" s="43"/>
      <c r="K22" s="44"/>
      <c r="L22" s="40"/>
      <c r="M22" s="17"/>
      <c r="AD22" s="35"/>
    </row>
    <row r="23" spans="2:30" ht="12" customHeight="1" thickTop="1" x14ac:dyDescent="0.3">
      <c r="B23" s="5"/>
      <c r="C23" s="7"/>
      <c r="D23" s="7"/>
      <c r="E23" s="7"/>
      <c r="F23" s="7"/>
      <c r="G23" s="30"/>
      <c r="H23" s="45"/>
      <c r="I23" s="38"/>
      <c r="J23" s="38"/>
      <c r="K23" s="39"/>
      <c r="L23" s="45"/>
      <c r="M23" s="17"/>
      <c r="AD23" s="35"/>
    </row>
    <row r="24" spans="2:30" ht="12" customHeight="1" x14ac:dyDescent="0.3">
      <c r="B24" s="5"/>
      <c r="C24" s="7"/>
      <c r="D24" s="7"/>
      <c r="E24" s="7"/>
      <c r="F24" s="7"/>
      <c r="G24" s="30"/>
      <c r="H24" s="46"/>
      <c r="I24" s="38"/>
      <c r="J24" s="16"/>
      <c r="K24" s="47"/>
      <c r="L24" s="46"/>
      <c r="M24" s="17"/>
      <c r="AA24" s="48"/>
      <c r="AD24" s="49"/>
    </row>
    <row r="25" spans="2:30" ht="12" customHeight="1" x14ac:dyDescent="0.35">
      <c r="B25" s="5"/>
      <c r="C25" s="7"/>
      <c r="D25" s="50" t="s">
        <v>14</v>
      </c>
      <c r="E25" s="51"/>
      <c r="F25" s="51"/>
      <c r="G25" s="52" t="s">
        <v>201</v>
      </c>
      <c r="H25" s="53"/>
      <c r="I25" s="53"/>
      <c r="J25" s="26"/>
      <c r="K25" s="54"/>
      <c r="L25" s="54"/>
      <c r="M25" s="17"/>
      <c r="AA25" s="48"/>
      <c r="AD25" s="49"/>
    </row>
    <row r="26" spans="2:30" ht="12" customHeight="1" x14ac:dyDescent="0.35">
      <c r="B26" s="5"/>
      <c r="C26" s="7"/>
      <c r="D26" s="15"/>
      <c r="E26" s="15"/>
      <c r="H26" s="53"/>
      <c r="I26" s="53"/>
      <c r="J26" s="7"/>
      <c r="K26" s="54"/>
      <c r="L26" s="54"/>
      <c r="M26" s="17"/>
      <c r="AA26" s="55"/>
      <c r="AD26" s="35"/>
    </row>
    <row r="27" spans="2:30" ht="12" customHeight="1" x14ac:dyDescent="0.3">
      <c r="B27" s="5"/>
      <c r="C27" s="7"/>
      <c r="D27" s="27"/>
      <c r="E27" s="454" t="s">
        <v>220</v>
      </c>
      <c r="F27" s="454"/>
      <c r="G27" s="385" t="s">
        <v>219</v>
      </c>
      <c r="I27" s="56">
        <v>50</v>
      </c>
      <c r="J27" s="57"/>
      <c r="K27" s="58">
        <f>IF('Surface Rating'!M18&lt;&gt;"",'Surface Rating'!M18,'Surface Rating'!M37)</f>
        <v>0</v>
      </c>
      <c r="L27" s="318"/>
      <c r="M27" s="17"/>
      <c r="AA27" s="55"/>
      <c r="AD27" s="35"/>
    </row>
    <row r="28" spans="2:30" ht="12" customHeight="1" x14ac:dyDescent="0.3">
      <c r="B28" s="5"/>
      <c r="C28" s="7"/>
      <c r="D28" s="59"/>
      <c r="E28" s="319" t="s">
        <v>15</v>
      </c>
      <c r="F28" s="318"/>
      <c r="G28" s="318"/>
      <c r="I28" s="56">
        <v>20</v>
      </c>
      <c r="J28" s="57"/>
      <c r="K28" s="58">
        <f>'F&amp;G Rating'!G13</f>
        <v>0</v>
      </c>
      <c r="L28" s="455"/>
      <c r="M28" s="456"/>
      <c r="AA28" s="55"/>
    </row>
    <row r="29" spans="2:30" ht="12" customHeight="1" x14ac:dyDescent="0.3">
      <c r="B29" s="5"/>
      <c r="C29" s="7"/>
      <c r="D29" s="7"/>
      <c r="E29" s="7"/>
      <c r="F29" s="7"/>
      <c r="G29" s="7"/>
      <c r="H29" s="62" t="s">
        <v>13</v>
      </c>
      <c r="I29" s="63">
        <f>SUM(I27:I28)</f>
        <v>70</v>
      </c>
      <c r="J29" s="60"/>
      <c r="K29" s="224">
        <f>SUM(K27:K28)</f>
        <v>0</v>
      </c>
      <c r="L29" s="316"/>
      <c r="M29" s="17"/>
      <c r="N29" s="61"/>
      <c r="AA29" s="48"/>
    </row>
    <row r="30" spans="2:30" ht="12" customHeight="1" x14ac:dyDescent="0.3">
      <c r="B30" s="5"/>
      <c r="C30" s="7"/>
      <c r="D30" s="7"/>
      <c r="E30" s="7"/>
      <c r="F30" s="7"/>
      <c r="G30" s="7"/>
      <c r="H30" s="62"/>
      <c r="I30" s="71"/>
      <c r="J30" s="60"/>
      <c r="K30" s="224"/>
      <c r="L30" s="316"/>
      <c r="M30" s="17"/>
      <c r="N30" s="61"/>
      <c r="AA30" s="48"/>
    </row>
    <row r="31" spans="2:30" ht="12" customHeight="1" thickBot="1" x14ac:dyDescent="0.35">
      <c r="B31" s="5"/>
      <c r="C31" s="40"/>
      <c r="D31" s="40"/>
      <c r="E31" s="40"/>
      <c r="F31" s="40"/>
      <c r="G31" s="40"/>
      <c r="H31" s="66"/>
      <c r="I31" s="67"/>
      <c r="J31" s="68"/>
      <c r="K31" s="67"/>
      <c r="L31" s="69"/>
      <c r="M31" s="17"/>
      <c r="N31" s="61"/>
      <c r="AA31" s="22"/>
    </row>
    <row r="32" spans="2:30" ht="12" customHeight="1" thickTop="1" x14ac:dyDescent="0.3">
      <c r="B32" s="5"/>
      <c r="C32" s="7"/>
      <c r="D32" s="7"/>
      <c r="E32" s="7"/>
      <c r="F32" s="7"/>
      <c r="G32" s="7"/>
      <c r="H32" s="70"/>
      <c r="I32" s="64"/>
      <c r="J32" s="71"/>
      <c r="K32" s="64"/>
      <c r="L32" s="65"/>
      <c r="M32" s="17"/>
      <c r="N32" s="61"/>
      <c r="AA32" s="22"/>
    </row>
    <row r="33" spans="2:27" ht="12" customHeight="1" x14ac:dyDescent="0.3">
      <c r="B33" s="5"/>
      <c r="C33" s="7"/>
      <c r="D33" s="7"/>
      <c r="E33" s="7"/>
      <c r="F33" s="7"/>
      <c r="G33" s="7"/>
      <c r="H33" s="70"/>
      <c r="I33" s="64"/>
      <c r="J33" s="71"/>
      <c r="K33" s="64"/>
      <c r="L33" s="65"/>
      <c r="M33" s="17"/>
      <c r="N33" s="61"/>
      <c r="AA33" s="22"/>
    </row>
    <row r="34" spans="2:27" ht="12" customHeight="1" x14ac:dyDescent="0.3">
      <c r="B34" s="5"/>
      <c r="C34" s="7"/>
      <c r="D34" s="454" t="s">
        <v>16</v>
      </c>
      <c r="E34" s="454"/>
      <c r="F34" s="25" t="s">
        <v>17</v>
      </c>
      <c r="G34" s="7"/>
      <c r="H34" s="70"/>
      <c r="I34" s="71"/>
      <c r="K34" s="73"/>
      <c r="L34" s="7"/>
      <c r="M34" s="17"/>
      <c r="N34" s="61"/>
      <c r="AA34" s="22"/>
    </row>
    <row r="35" spans="2:27" ht="12" customHeight="1" x14ac:dyDescent="0.3">
      <c r="B35" s="5"/>
      <c r="C35" s="7"/>
      <c r="D35" s="15"/>
      <c r="E35" s="15"/>
      <c r="F35" s="15"/>
      <c r="G35" s="15"/>
      <c r="H35" s="7"/>
      <c r="I35" s="16"/>
      <c r="J35" s="16"/>
      <c r="K35" s="16"/>
      <c r="L35" s="7"/>
      <c r="M35" s="17"/>
    </row>
    <row r="36" spans="2:27" ht="12" customHeight="1" x14ac:dyDescent="0.3">
      <c r="B36" s="5"/>
      <c r="C36" s="7"/>
      <c r="D36" s="7"/>
      <c r="E36" s="457" t="s">
        <v>18</v>
      </c>
      <c r="F36" s="457"/>
      <c r="G36" s="457"/>
      <c r="H36" s="457"/>
      <c r="I36" s="16">
        <v>5</v>
      </c>
      <c r="J36" s="30"/>
      <c r="K36" s="74">
        <f>IF('GEOMETRY '!F7-'GEOMETRY '!F6&gt;=2,5,0)</f>
        <v>0</v>
      </c>
      <c r="L36" s="7"/>
      <c r="M36" s="17"/>
    </row>
    <row r="37" spans="2:27" ht="12" customHeight="1" x14ac:dyDescent="0.3">
      <c r="B37" s="5"/>
      <c r="C37" s="7"/>
      <c r="D37" s="7"/>
      <c r="E37" s="7"/>
      <c r="F37" s="7"/>
      <c r="G37" s="7"/>
      <c r="H37" s="36" t="s">
        <v>13</v>
      </c>
      <c r="I37" s="63">
        <f>SUM(I36:I36)</f>
        <v>5</v>
      </c>
      <c r="J37" s="38"/>
      <c r="K37" s="224">
        <f>SUM(K35:K36)</f>
        <v>0</v>
      </c>
      <c r="L37" s="7"/>
      <c r="M37" s="17"/>
    </row>
    <row r="38" spans="2:27" ht="12" customHeight="1" x14ac:dyDescent="0.3">
      <c r="B38" s="5"/>
      <c r="C38" s="7"/>
      <c r="D38" s="12"/>
      <c r="E38" s="16" t="s">
        <v>19</v>
      </c>
      <c r="F38" s="16" t="s">
        <v>10</v>
      </c>
      <c r="G38" s="7"/>
      <c r="H38" s="16"/>
      <c r="I38" s="7"/>
      <c r="J38" s="7"/>
      <c r="K38" s="16"/>
      <c r="L38" s="7"/>
      <c r="M38" s="17"/>
      <c r="AA38" s="48"/>
    </row>
    <row r="39" spans="2:27" ht="12" customHeight="1" x14ac:dyDescent="0.3">
      <c r="B39" s="5"/>
      <c r="C39" s="7"/>
      <c r="D39" s="7"/>
      <c r="E39" s="75" t="s">
        <v>20</v>
      </c>
      <c r="F39" s="16">
        <v>5</v>
      </c>
      <c r="G39" s="7"/>
      <c r="H39" s="16"/>
      <c r="I39" s="16"/>
      <c r="J39" s="16"/>
      <c r="K39" s="16"/>
      <c r="L39" s="7"/>
      <c r="M39" s="17"/>
      <c r="AA39" s="48"/>
    </row>
    <row r="40" spans="2:27" ht="12" customHeight="1" thickBot="1" x14ac:dyDescent="0.35">
      <c r="B40" s="5"/>
      <c r="C40" s="40"/>
      <c r="D40" s="40"/>
      <c r="E40" s="76"/>
      <c r="F40" s="76"/>
      <c r="G40" s="40"/>
      <c r="H40" s="76"/>
      <c r="I40" s="76"/>
      <c r="J40" s="76"/>
      <c r="K40" s="43"/>
      <c r="L40" s="40"/>
      <c r="M40" s="17"/>
      <c r="AA40" s="48"/>
    </row>
    <row r="41" spans="2:27" ht="12" customHeight="1" thickTop="1" x14ac:dyDescent="0.3">
      <c r="B41" s="5"/>
      <c r="C41" s="7"/>
      <c r="D41" s="7"/>
      <c r="E41" s="16"/>
      <c r="F41" s="16"/>
      <c r="G41" s="7"/>
      <c r="H41" s="16"/>
      <c r="I41" s="16"/>
      <c r="J41" s="16"/>
      <c r="K41" s="38"/>
      <c r="L41" s="7"/>
      <c r="M41" s="17"/>
      <c r="AA41" s="48"/>
    </row>
    <row r="42" spans="2:27" ht="12" customHeight="1" x14ac:dyDescent="0.3">
      <c r="B42" s="5"/>
      <c r="C42" s="7"/>
      <c r="D42" s="7"/>
      <c r="E42" s="16"/>
      <c r="F42" s="16"/>
      <c r="G42" s="7"/>
      <c r="H42" s="16"/>
      <c r="I42" s="16"/>
      <c r="J42" s="16"/>
      <c r="K42" s="38"/>
      <c r="L42" s="7"/>
      <c r="M42" s="17"/>
      <c r="AA42" s="48"/>
    </row>
    <row r="43" spans="2:27" ht="12" customHeight="1" x14ac:dyDescent="0.3">
      <c r="B43" s="5"/>
      <c r="C43" s="7"/>
      <c r="D43" s="448" t="s">
        <v>21</v>
      </c>
      <c r="E43" s="448"/>
      <c r="F43" s="448"/>
      <c r="G43" s="7"/>
      <c r="H43" s="16"/>
      <c r="I43" s="77">
        <v>25</v>
      </c>
      <c r="J43" s="16"/>
      <c r="K43" s="74">
        <f>IF('Traffic and ACC'!E12&lt;&gt;"",25,0)</f>
        <v>0</v>
      </c>
      <c r="L43" s="7"/>
      <c r="M43" s="17"/>
      <c r="AA43" s="48"/>
    </row>
    <row r="44" spans="2:27" ht="12" customHeight="1" x14ac:dyDescent="0.3">
      <c r="B44" s="5"/>
      <c r="C44" s="7"/>
      <c r="D44" s="448" t="s">
        <v>22</v>
      </c>
      <c r="E44" s="448"/>
      <c r="F44" s="449" t="s">
        <v>23</v>
      </c>
      <c r="G44" s="449"/>
      <c r="H44" s="78"/>
      <c r="I44" s="77">
        <v>10</v>
      </c>
      <c r="J44" s="16"/>
      <c r="K44" s="403">
        <f>IF('Missing Link'!C32&lt;&gt;"",10,0)</f>
        <v>0</v>
      </c>
      <c r="L44" s="7"/>
      <c r="M44" s="17"/>
      <c r="AA44" s="48"/>
    </row>
    <row r="45" spans="2:27" ht="12" customHeight="1" x14ac:dyDescent="0.3">
      <c r="B45" s="5"/>
      <c r="C45" s="7"/>
      <c r="D45" s="25"/>
      <c r="E45" s="16"/>
      <c r="F45" s="449"/>
      <c r="G45" s="449"/>
      <c r="H45" s="36" t="s">
        <v>13</v>
      </c>
      <c r="I45" s="63">
        <v>35</v>
      </c>
      <c r="J45" s="16"/>
      <c r="K45" s="224">
        <f>SUM(K43:K44)</f>
        <v>0</v>
      </c>
      <c r="L45" s="7"/>
      <c r="M45" s="17"/>
      <c r="AA45" s="48"/>
    </row>
    <row r="46" spans="2:27" ht="12" customHeight="1" x14ac:dyDescent="0.3">
      <c r="B46" s="5"/>
      <c r="C46" s="7"/>
      <c r="D46" s="7"/>
      <c r="E46" s="16"/>
      <c r="F46" s="449"/>
      <c r="G46" s="449"/>
      <c r="H46" s="78"/>
      <c r="I46" s="16"/>
      <c r="J46" s="16"/>
      <c r="K46" s="38"/>
      <c r="L46" s="7"/>
      <c r="M46" s="17"/>
      <c r="AA46" s="48"/>
    </row>
    <row r="47" spans="2:27" ht="12" customHeight="1" x14ac:dyDescent="0.3">
      <c r="B47" s="5"/>
      <c r="C47" s="7"/>
      <c r="D47" s="7"/>
      <c r="E47" s="16"/>
      <c r="F47" s="384"/>
      <c r="G47" s="384"/>
      <c r="H47" s="78"/>
      <c r="I47" s="16"/>
      <c r="J47" s="16"/>
      <c r="K47" s="38"/>
      <c r="L47" s="7"/>
      <c r="M47" s="17"/>
      <c r="AA47" s="48"/>
    </row>
    <row r="48" spans="2:27" ht="12" customHeight="1" thickBot="1" x14ac:dyDescent="0.35">
      <c r="B48" s="5"/>
      <c r="C48" s="40"/>
      <c r="D48" s="40"/>
      <c r="E48" s="76"/>
      <c r="F48" s="315"/>
      <c r="G48" s="315"/>
      <c r="H48" s="79"/>
      <c r="I48" s="76"/>
      <c r="J48" s="76"/>
      <c r="K48" s="43"/>
      <c r="L48" s="40"/>
      <c r="M48" s="17"/>
      <c r="AA48" s="48"/>
    </row>
    <row r="49" spans="2:27" ht="12" customHeight="1" thickTop="1" x14ac:dyDescent="0.3">
      <c r="B49" s="5"/>
      <c r="C49" s="7"/>
      <c r="D49" s="7"/>
      <c r="E49" s="16"/>
      <c r="F49" s="16"/>
      <c r="G49" s="7"/>
      <c r="H49" s="16"/>
      <c r="I49" s="16"/>
      <c r="J49" s="16"/>
      <c r="K49" s="38"/>
      <c r="L49" s="7"/>
      <c r="M49" s="17"/>
      <c r="AA49" s="48"/>
    </row>
    <row r="50" spans="2:27" ht="12" customHeight="1" x14ac:dyDescent="0.3">
      <c r="B50" s="5"/>
      <c r="C50" s="7"/>
      <c r="D50" s="72" t="s">
        <v>222</v>
      </c>
      <c r="E50" s="7"/>
      <c r="G50" s="25" t="s">
        <v>17</v>
      </c>
      <c r="H50" s="7"/>
      <c r="I50" s="38"/>
      <c r="J50" s="38"/>
      <c r="K50" s="16"/>
      <c r="L50" s="7"/>
      <c r="M50" s="17"/>
      <c r="AA50" s="22"/>
    </row>
    <row r="51" spans="2:27" ht="12" customHeight="1" x14ac:dyDescent="0.3">
      <c r="B51" s="5"/>
      <c r="C51" s="7"/>
      <c r="D51" s="72"/>
      <c r="E51" s="321" t="s">
        <v>204</v>
      </c>
      <c r="F51" s="321"/>
      <c r="G51" s="321"/>
      <c r="H51" s="7"/>
      <c r="I51" s="38"/>
      <c r="J51" s="38"/>
      <c r="K51" s="16"/>
      <c r="L51" s="7"/>
      <c r="M51" s="17"/>
      <c r="AA51" s="22"/>
    </row>
    <row r="52" spans="2:27" ht="12" customHeight="1" x14ac:dyDescent="0.3">
      <c r="B52" s="5"/>
      <c r="C52" s="7"/>
      <c r="D52" s="72"/>
      <c r="E52" s="15"/>
      <c r="F52" s="57" t="s">
        <v>24</v>
      </c>
      <c r="G52" s="25"/>
      <c r="H52" s="7"/>
      <c r="I52" s="93">
        <v>3</v>
      </c>
      <c r="J52" s="38"/>
      <c r="K52" s="74" t="str">
        <f>'2R Safety'!H13</f>
        <v/>
      </c>
      <c r="L52" s="7"/>
      <c r="M52" s="17"/>
      <c r="AA52" s="22"/>
    </row>
    <row r="53" spans="2:27" ht="12" customHeight="1" x14ac:dyDescent="0.3">
      <c r="B53" s="5"/>
      <c r="C53" s="7"/>
      <c r="D53" s="72"/>
      <c r="E53" s="15"/>
      <c r="F53" s="57" t="s">
        <v>25</v>
      </c>
      <c r="G53" s="25"/>
      <c r="H53" s="7"/>
      <c r="I53" s="93">
        <v>2</v>
      </c>
      <c r="J53" s="38"/>
      <c r="K53" s="74" t="str">
        <f>'2R Safety'!H19</f>
        <v/>
      </c>
      <c r="L53" s="7"/>
      <c r="M53" s="17"/>
      <c r="AA53" s="22"/>
    </row>
    <row r="54" spans="2:27" ht="12" customHeight="1" x14ac:dyDescent="0.3">
      <c r="B54" s="5"/>
      <c r="C54" s="7"/>
      <c r="D54" s="21"/>
      <c r="E54" s="21"/>
      <c r="F54" s="192" t="s">
        <v>26</v>
      </c>
      <c r="G54" s="21"/>
      <c r="H54" s="7"/>
      <c r="I54" s="16">
        <v>5</v>
      </c>
      <c r="J54" s="16"/>
      <c r="K54" s="74" t="str">
        <f>'2R Safety'!H20</f>
        <v/>
      </c>
      <c r="L54" s="7"/>
      <c r="M54" s="17"/>
    </row>
    <row r="55" spans="2:27" ht="12" customHeight="1" x14ac:dyDescent="0.3">
      <c r="B55" s="5"/>
      <c r="C55" s="7"/>
      <c r="D55" s="21"/>
      <c r="E55" s="21"/>
      <c r="F55" s="192"/>
      <c r="G55" s="21"/>
      <c r="H55" s="7"/>
      <c r="I55" s="63">
        <v>5</v>
      </c>
      <c r="J55" s="16"/>
      <c r="K55" s="224">
        <f>IF(SUM(K52:K54)&gt;5,5,SUM(K52:K54))</f>
        <v>0</v>
      </c>
      <c r="L55" s="7"/>
      <c r="M55" s="17"/>
    </row>
    <row r="56" spans="2:27" ht="12" customHeight="1" x14ac:dyDescent="0.3">
      <c r="B56" s="393"/>
      <c r="C56" s="21"/>
      <c r="D56" s="21"/>
      <c r="E56" s="322"/>
      <c r="F56" s="322"/>
      <c r="G56" s="322"/>
      <c r="H56" s="322"/>
      <c r="I56" s="21"/>
      <c r="J56" s="21"/>
      <c r="K56" s="77"/>
      <c r="L56" s="21"/>
      <c r="M56" s="394"/>
      <c r="AA56" s="22"/>
    </row>
    <row r="57" spans="2:27" ht="12" customHeight="1" thickBot="1" x14ac:dyDescent="0.35">
      <c r="B57" s="5"/>
      <c r="C57" s="40"/>
      <c r="D57" s="40"/>
      <c r="E57" s="40"/>
      <c r="F57" s="40"/>
      <c r="G57" s="40"/>
      <c r="H57" s="76"/>
      <c r="I57" s="40"/>
      <c r="J57" s="40"/>
      <c r="K57" s="40"/>
      <c r="L57" s="40"/>
      <c r="M57" s="17"/>
    </row>
    <row r="58" spans="2:27" ht="12" customHeight="1" thickTop="1" x14ac:dyDescent="0.3">
      <c r="B58" s="5"/>
      <c r="C58" s="21"/>
      <c r="D58" s="84"/>
      <c r="E58" s="21"/>
      <c r="F58" s="21"/>
      <c r="G58" s="21"/>
      <c r="H58" s="85"/>
      <c r="I58" s="71"/>
      <c r="J58" s="71"/>
      <c r="K58" s="38"/>
      <c r="L58" s="7"/>
      <c r="M58" s="17"/>
      <c r="AA58" s="22"/>
    </row>
    <row r="59" spans="2:27" ht="12" customHeight="1" thickBot="1" x14ac:dyDescent="0.35">
      <c r="B59" s="83"/>
      <c r="C59" s="7"/>
      <c r="D59" s="52" t="s">
        <v>27</v>
      </c>
      <c r="E59" s="52"/>
      <c r="F59" s="52"/>
      <c r="G59" s="52"/>
      <c r="I59" s="193">
        <f>SUM(I20,I29,I37,I45,I55)</f>
        <v>130</v>
      </c>
      <c r="J59" s="38"/>
      <c r="K59" s="44">
        <f>SUM(K20,K29,K37,K45,K55)</f>
        <v>0</v>
      </c>
      <c r="L59" s="7"/>
      <c r="M59" s="17"/>
      <c r="AA59" s="48"/>
    </row>
    <row r="60" spans="2:27" ht="12" customHeight="1" thickTop="1" x14ac:dyDescent="0.3">
      <c r="B60" s="83"/>
      <c r="C60" s="7"/>
      <c r="D60" s="25"/>
      <c r="E60" s="25"/>
      <c r="F60" s="25"/>
      <c r="G60" s="25"/>
      <c r="I60" s="75" t="s">
        <v>28</v>
      </c>
      <c r="J60" s="38"/>
      <c r="K60" s="86" t="s">
        <v>29</v>
      </c>
      <c r="L60" s="7"/>
      <c r="M60" s="17"/>
      <c r="AA60" s="48"/>
    </row>
    <row r="61" spans="2:27" ht="12" customHeight="1" x14ac:dyDescent="0.3">
      <c r="B61" s="5"/>
      <c r="C61" s="25" t="s">
        <v>30</v>
      </c>
      <c r="D61" s="7"/>
      <c r="E61" s="7"/>
      <c r="F61" s="7"/>
      <c r="G61" s="7"/>
      <c r="H61" s="7"/>
      <c r="I61" s="16"/>
      <c r="J61" s="16"/>
      <c r="K61" s="16"/>
      <c r="L61" s="7"/>
      <c r="M61" s="17"/>
      <c r="AA61" s="48"/>
    </row>
    <row r="62" spans="2:27" ht="12" customHeight="1" x14ac:dyDescent="0.3">
      <c r="B62" s="5"/>
      <c r="C62" s="57" t="s">
        <v>32</v>
      </c>
      <c r="D62" s="7"/>
      <c r="E62" s="7"/>
      <c r="F62" s="7"/>
      <c r="G62" s="7"/>
      <c r="H62" s="7"/>
      <c r="I62" s="16"/>
      <c r="J62" s="16"/>
      <c r="K62" s="16"/>
      <c r="L62" s="7"/>
      <c r="M62" s="17"/>
      <c r="AA62" s="22"/>
    </row>
    <row r="63" spans="2:27" ht="12" customHeight="1" x14ac:dyDescent="0.3">
      <c r="B63" s="5"/>
      <c r="C63" s="57" t="s">
        <v>31</v>
      </c>
      <c r="D63" s="7"/>
      <c r="E63" s="7"/>
      <c r="F63" s="7"/>
      <c r="G63" s="7"/>
      <c r="H63" s="7"/>
      <c r="I63" s="7"/>
      <c r="J63" s="7"/>
      <c r="K63" s="7"/>
      <c r="L63" s="7"/>
      <c r="M63" s="17"/>
      <c r="AA63" s="48"/>
    </row>
    <row r="64" spans="2:27" ht="12" customHeight="1" thickBot="1" x14ac:dyDescent="0.35">
      <c r="B64" s="87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9"/>
      <c r="AA64" s="48"/>
    </row>
    <row r="65" spans="2:27" ht="12" customHeight="1" x14ac:dyDescent="0.3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AA65" s="22"/>
    </row>
    <row r="66" spans="2:27" ht="12" customHeight="1" x14ac:dyDescent="0.3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AA66" s="48"/>
    </row>
    <row r="67" spans="2:27" ht="12" customHeight="1" x14ac:dyDescent="0.3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AA67" s="48"/>
    </row>
    <row r="68" spans="2:27" ht="12" customHeight="1" x14ac:dyDescent="0.3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AA68" s="22"/>
    </row>
    <row r="69" spans="2:27" ht="12" customHeight="1" x14ac:dyDescent="0.3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AA69" s="48"/>
    </row>
    <row r="70" spans="2:27" ht="12" customHeight="1" x14ac:dyDescent="0.3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AA70" s="48"/>
    </row>
    <row r="71" spans="2:27" ht="12" customHeight="1" x14ac:dyDescent="0.3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AA71" s="22"/>
    </row>
    <row r="72" spans="2:27" ht="12" customHeight="1" x14ac:dyDescent="0.3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AA72" s="48"/>
    </row>
    <row r="73" spans="2:27" ht="12" customHeight="1" x14ac:dyDescent="0.3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AA73" s="22"/>
    </row>
    <row r="74" spans="2:27" ht="12" customHeight="1" x14ac:dyDescent="0.3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2:27" ht="12" customHeight="1" x14ac:dyDescent="0.3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2:27" ht="12" customHeight="1" x14ac:dyDescent="0.3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2:27" ht="12" customHeight="1" x14ac:dyDescent="0.3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2:27" ht="12" customHeight="1" x14ac:dyDescent="0.3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2:27" ht="12" customHeight="1" x14ac:dyDescent="0.3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2:27" ht="12" customHeight="1" x14ac:dyDescent="0.3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90"/>
    </row>
    <row r="81" spans="2:46" ht="12" customHeight="1" x14ac:dyDescent="0.3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90"/>
    </row>
    <row r="82" spans="2:46" ht="12" customHeight="1" x14ac:dyDescent="0.3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2:46" ht="12" customHeight="1" x14ac:dyDescent="0.3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2:46" ht="12" customHeight="1" x14ac:dyDescent="0.3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2:46" ht="12" customHeight="1" x14ac:dyDescent="0.3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2:46" ht="12" customHeight="1" x14ac:dyDescent="0.3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2:46" ht="12" customHeight="1" x14ac:dyDescent="0.3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2:46" ht="12" customHeight="1" x14ac:dyDescent="0.3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2:46" ht="12" customHeight="1" x14ac:dyDescent="0.3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2:46" ht="12" customHeight="1" x14ac:dyDescent="0.3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22"/>
    </row>
    <row r="91" spans="2:46" ht="12" customHeight="1" x14ac:dyDescent="0.3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91"/>
    </row>
    <row r="92" spans="2:46" ht="12" customHeight="1" x14ac:dyDescent="0.3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92"/>
    </row>
    <row r="93" spans="2:46" ht="12" customHeight="1" x14ac:dyDescent="0.3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92"/>
    </row>
    <row r="94" spans="2:46" ht="12" customHeight="1" x14ac:dyDescent="0.3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92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2:46" ht="12" customHeight="1" x14ac:dyDescent="0.3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48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2:46" ht="12" customHeight="1" x14ac:dyDescent="0.3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48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2:46" ht="12" customHeight="1" x14ac:dyDescent="0.3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2:46" ht="12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2:46" ht="12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2:46" ht="12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2:46" ht="12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2:46" ht="12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2:46" ht="12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2:46" ht="12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2:46" ht="12" customHeigh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2:46" ht="12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2:46" ht="12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2:46" ht="12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2:46" ht="12" customHeigh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2:46" ht="12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2:46" ht="12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2:46" ht="12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2:46" ht="12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2:46" ht="12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2:46" ht="12" customHeigh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2:46" ht="12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2:46" ht="12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2:46" ht="12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2:46" ht="12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2:46" ht="12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2:46" ht="12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2:46" ht="12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2:46" ht="12" customHeigh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2:46" ht="12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2:46" ht="12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2:46" ht="12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2:46" ht="12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2:46" ht="12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2" customHeigh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2:46" ht="12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2:46" ht="12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2:46" ht="12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2:46" ht="12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2:46" ht="12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2:46" ht="12" customHeigh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2:46" ht="12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2:46" ht="12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2:46" ht="12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2:46" ht="12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2:46" ht="12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2:46" ht="12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2:46" ht="12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2:46" ht="12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2:46" ht="12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2:46" ht="12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2:46" ht="12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2:46" ht="12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2:46" ht="12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2:46" ht="12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2:46" ht="12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2:46" ht="12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2:46" ht="12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2:46" ht="12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2:46" ht="12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2:46" ht="12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2:46" ht="12" customHeigh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2:46" ht="12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2:46" ht="12" customHeigh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2:46" ht="12" customHeigh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2:46" ht="12" customHeigh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2:46" ht="12" customHeigh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2:46" ht="12" customHeigh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2:46" ht="12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2:46" ht="12" customHeigh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2:46" ht="12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2:46" ht="12" customHeigh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2:46" ht="12" customHeigh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2:46" ht="12" customHeigh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2:46" ht="12" customHeigh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2:46" ht="12" customHeigh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2:46" ht="12" customHeigh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2:46" ht="12" customHeigh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2:46" ht="12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2:46" ht="12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2:46" ht="12" customHeigh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2:46" ht="12" customHeigh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2:46" ht="12" customHeigh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2:46" ht="12" customHeigh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2:46" ht="12" customHeigh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2:46" ht="12" customHeigh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2:46" ht="12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2:46" ht="12" customHeigh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2:46" ht="12" customHeigh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2:46" ht="12" customHeigh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2:46" ht="12" customHeigh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2:46" ht="12" customHeigh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2:46" ht="12" customHeigh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2:46" ht="12" customHeigh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2:46" ht="12" customHeigh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2:46" ht="12" customHeigh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2:46" ht="12" customHeigh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2:46" ht="12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2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2:46" ht="12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2:46" ht="12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2:46" ht="12" customHeigh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2:46" ht="12" customHeigh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2:46" ht="12" customHeigh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2:46" ht="12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2:46" ht="12" customHeigh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2:46" ht="12" customHeigh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2:46" ht="12" customHeigh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2:46" ht="12" customHeigh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2:46" ht="12" customHeigh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2:46" ht="12" customHeigh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2:46" ht="12" customHeigh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2:46" ht="12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2:46" ht="12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2:46" ht="12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2:46" ht="12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2:46" ht="12" customHeigh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2:46" ht="12" customHeigh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2:46" ht="12" customHeigh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2:46" ht="12" customHeigh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2:46" ht="12" customHeigh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2:46" ht="12" customHeigh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2:46" ht="12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2:46" ht="12" customHeigh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2:46" ht="12" customHeigh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2:46" ht="12" customHeigh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2:46" ht="12" customHeigh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2:46" ht="12" customHeigh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2:46" ht="12" customHeigh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2:46" ht="12" customHeigh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2:46" ht="12" customHeigh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2:46" ht="12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2:46" ht="12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2:46" ht="12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2:46" ht="12" customHeigh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2:46" ht="12" customHeigh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2:46" ht="12" customHeigh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2:46" ht="12" customHeigh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2:46" ht="12" customHeigh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2:46" ht="12" customHeigh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2:46" ht="12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2:46" ht="12" customHeigh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2:46" ht="12" customHeigh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2:46" ht="12" customHeigh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2:46" ht="12" customHeigh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2:46" ht="12" customHeigh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2:46" ht="12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2:46" ht="12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2:46" ht="12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2:46" ht="12" customHeigh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2:46" ht="12" customHeigh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2:46" ht="12" customHeigh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2:46" ht="12" customHeigh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2:46" ht="12" customHeigh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2:46" ht="12" customHeigh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2:46" ht="12" customHeigh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2:46" ht="12" customHeigh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2:46" ht="12" customHeigh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2:46" ht="12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2:46" ht="12" customHeigh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2:46" ht="12" customHeigh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2:46" ht="12" customHeigh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2:46" ht="12" customHeigh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2:46" ht="12" customHeigh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2:46" ht="12" customHeigh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2:46" ht="12" customHeigh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2:46" ht="12" customHeigh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2:46" ht="12" customHeigh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2:46" ht="12" customHeigh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2:46" ht="12" customHeigh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2:46" ht="12" customHeigh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2:46" ht="12" customHeigh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2:46" ht="12" customHeigh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2:46" ht="12" customHeigh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2:46" ht="12" customHeigh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2:46" ht="12" customHeigh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2:46" ht="12" customHeigh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2:46" ht="12" customHeigh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2:46" ht="12" customHeigh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2:46" ht="12" customHeigh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2:46" ht="12" customHeigh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2:46" ht="12" customHeigh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2:46" ht="12" customHeigh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spans="2:46" ht="12" customHeigh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spans="2:46" ht="12" customHeigh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spans="2:46" ht="12" customHeigh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spans="2:46" ht="12" customHeigh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spans="2:46" ht="12" customHeigh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spans="2:46" ht="12" customHeigh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spans="2:46" ht="12" customHeigh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spans="2:46" ht="12" customHeigh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spans="2:46" ht="12" customHeigh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spans="2:46" ht="12" customHeigh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spans="2:46" ht="12" customHeigh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spans="2:46" ht="12" customHeigh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spans="2:46" ht="12" customHeigh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spans="2:46" ht="12" customHeigh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spans="2:46" ht="12" customHeigh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spans="2:46" ht="12" customHeigh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spans="2:46" ht="12" customHeigh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spans="2:46" ht="12" customHeigh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spans="2:46" ht="12" customHeigh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spans="2:46" ht="12" customHeigh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spans="2:46" ht="12" customHeigh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spans="2:46" ht="12" customHeigh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spans="2:46" ht="12" customHeigh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spans="2:46" ht="12" customHeigh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2:46" ht="12" customHeigh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2:46" ht="12" customHeigh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2:46" ht="12" customHeigh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2:46" ht="12" customHeigh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2:46" ht="12" customHeigh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2:46" ht="12" customHeigh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2:46" ht="12" customHeigh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2:46" ht="12" customHeigh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2:46" ht="12" customHeigh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spans="2:46" ht="12" customHeigh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spans="2:46" ht="12" customHeigh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spans="2:46" ht="12" customHeigh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spans="2:46" ht="12" customHeigh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spans="2:46" ht="12" customHeigh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spans="2:46" ht="12" customHeigh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spans="2:46" ht="12" customHeigh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spans="2:46" ht="12" customHeigh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spans="2:46" ht="12" customHeigh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spans="2:46" ht="12" customHeigh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spans="2:46" ht="12" customHeigh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spans="2:46" ht="12" customHeigh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spans="2:46" ht="12" customHeigh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spans="2:46" ht="12" customHeigh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spans="2:46" ht="12" customHeigh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spans="2:46" ht="12" customHeigh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spans="2:46" ht="12" customHeigh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spans="2:46" ht="12" customHeigh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spans="2:46" ht="12" customHeigh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spans="2:46" ht="12" customHeigh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spans="2:46" ht="12" customHeigh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spans="2:46" ht="12" customHeigh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spans="2:46" ht="12" customHeigh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2:46" ht="12" customHeigh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spans="2:46" ht="12" customHeigh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2:46" ht="12" customHeigh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2:14" ht="12" customHeigh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2:14" ht="12" customHeigh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</sheetData>
  <sheetProtection algorithmName="SHA-512" hashValue="+TmteDNkWdZ/X1u19rdB1DavsfvMqAc2ro17wDeX1+SmP9tciOUmvR4jf2dzhDHQqEFJPdv4WKTISFrTrqiRjw==" saltValue="0Z27TJuOm4c6Uep/xIDRYw==" spinCount="100000" sheet="1" selectLockedCells="1"/>
  <mergeCells count="18">
    <mergeCell ref="L28:M28"/>
    <mergeCell ref="E36:H36"/>
    <mergeCell ref="I8:L10"/>
    <mergeCell ref="J4:M5"/>
    <mergeCell ref="F5:I5"/>
    <mergeCell ref="J6:M7"/>
    <mergeCell ref="F11:I12"/>
    <mergeCell ref="F13:I13"/>
    <mergeCell ref="F9:G9"/>
    <mergeCell ref="D34:E34"/>
    <mergeCell ref="D43:F43"/>
    <mergeCell ref="D44:E44"/>
    <mergeCell ref="F44:G46"/>
    <mergeCell ref="C4:E4"/>
    <mergeCell ref="F4:G4"/>
    <mergeCell ref="E18:F18"/>
    <mergeCell ref="E19:G19"/>
    <mergeCell ref="E27:F27"/>
  </mergeCells>
  <conditionalFormatting sqref="K59:K60">
    <cfRule type="expression" dxfId="21" priority="11" stopIfTrue="1">
      <formula>ISERROR($K$59)</formula>
    </cfRule>
  </conditionalFormatting>
  <conditionalFormatting sqref="K52 K54:K55">
    <cfRule type="containsErrors" dxfId="20" priority="5" stopIfTrue="1">
      <formula>ISERROR(K52)</formula>
    </cfRule>
    <cfRule type="cellIs" dxfId="19" priority="7" stopIfTrue="1" operator="equal">
      <formula>0</formula>
    </cfRule>
  </conditionalFormatting>
  <conditionalFormatting sqref="K53">
    <cfRule type="cellIs" dxfId="18" priority="6" stopIfTrue="1" operator="equal">
      <formula>0</formula>
    </cfRule>
  </conditionalFormatting>
  <conditionalFormatting sqref="K43">
    <cfRule type="containsErrors" dxfId="17" priority="2" stopIfTrue="1">
      <formula>ISERROR(K43)</formula>
    </cfRule>
    <cfRule type="cellIs" dxfId="16" priority="4" stopIfTrue="1" operator="equal">
      <formula>0</formula>
    </cfRule>
  </conditionalFormatting>
  <conditionalFormatting sqref="K44">
    <cfRule type="cellIs" dxfId="15" priority="3" stopIfTrue="1" operator="equal">
      <formula>0</formula>
    </cfRule>
  </conditionalFormatting>
  <conditionalFormatting sqref="K19:K21">
    <cfRule type="containsErrors" dxfId="14" priority="1" stopIfTrue="1">
      <formula>ISERROR(K19)</formula>
    </cfRule>
  </conditionalFormatting>
  <hyperlinks>
    <hyperlink ref="D44" location="'Missing Link'!B16" display="MISSING LINKS" xr:uid="{00000000-0004-0000-0000-000000000000}"/>
    <hyperlink ref="D43" location="'Traffic and ACC'!E12" display="LOCAL SIGNIFICANCE" xr:uid="{00000000-0004-0000-0000-000001000000}"/>
    <hyperlink ref="D34" location="'GEOMETRY '!F6" display="GEOMETRY:" xr:uid="{00000000-0004-0000-0000-000002000000}"/>
    <hyperlink ref="E27" location="'Surface Rating'!M18" display="SURFACE - Visual" xr:uid="{00000000-0004-0000-0000-000003000000}"/>
    <hyperlink ref="E28" location="'F&amp;G Rating'!D9" display="F&amp;G" xr:uid="{00000000-0004-0000-0000-000004000000}"/>
    <hyperlink ref="E18:F18" location="'Traffic and ACC'!C4" display="TRAFFIC VOLUME" xr:uid="{00000000-0004-0000-0000-000005000000}"/>
    <hyperlink ref="E19:G19" location="'Traffic and ACC'!I4" display="TRAFFIC ACCIDENTS" xr:uid="{00000000-0004-0000-0000-000006000000}"/>
    <hyperlink ref="E51:G51" location="'2R Safety'!F13" display="Operational Features:" xr:uid="{00000000-0004-0000-0000-000007000000}"/>
  </hyperlinks>
  <pageMargins left="0.42" right="0.5" top="0.5" bottom="0.4" header="0.3" footer="0.25"/>
  <pageSetup orientation="portrait" r:id="rId1"/>
  <headerFooter alignWithMargins="0">
    <oddFooter xml:space="preserve">&amp;L&amp;8&amp;F&amp;C&amp;6
</oddFooter>
  </headerFooter>
  <rowBreaks count="1" manualBreakCount="1">
    <brk id="64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8"/>
  <sheetViews>
    <sheetView showGridLines="0" workbookViewId="0">
      <selection activeCell="C5" sqref="C5"/>
    </sheetView>
  </sheetViews>
  <sheetFormatPr defaultColWidth="9.1796875" defaultRowHeight="12.75" customHeight="1" x14ac:dyDescent="0.3"/>
  <cols>
    <col min="1" max="1" width="4.1796875" style="257" customWidth="1"/>
    <col min="2" max="12" width="9.1796875" style="257" customWidth="1"/>
    <col min="13" max="13" width="7.453125" style="257" customWidth="1"/>
    <col min="14" max="14" width="9.1796875" style="257" customWidth="1"/>
    <col min="15" max="16384" width="9.1796875" style="257"/>
  </cols>
  <sheetData>
    <row r="1" spans="1:13" ht="13.5" thickBot="1" x14ac:dyDescent="0.35">
      <c r="A1" s="94"/>
      <c r="B1" s="95"/>
      <c r="C1" s="95"/>
      <c r="D1" s="95"/>
      <c r="E1" s="95"/>
      <c r="F1" s="404"/>
      <c r="G1" s="404"/>
      <c r="H1" s="404"/>
      <c r="I1" s="404"/>
      <c r="J1" s="96"/>
      <c r="K1" s="404"/>
      <c r="L1" s="404"/>
      <c r="M1" s="404"/>
    </row>
    <row r="2" spans="1:13" ht="13" x14ac:dyDescent="0.3">
      <c r="A2" s="94"/>
      <c r="B2" s="200" t="s">
        <v>33</v>
      </c>
      <c r="C2" s="97"/>
      <c r="D2" s="469"/>
      <c r="E2" s="469"/>
      <c r="F2" s="98"/>
      <c r="G2" s="98"/>
      <c r="H2" s="98"/>
      <c r="I2" s="98"/>
      <c r="J2" s="98"/>
      <c r="K2" s="98"/>
      <c r="L2" s="99"/>
      <c r="M2" s="404"/>
    </row>
    <row r="3" spans="1:13" ht="13" x14ac:dyDescent="0.3">
      <c r="A3" s="94"/>
      <c r="B3" s="80"/>
      <c r="C3" s="100"/>
      <c r="D3" s="100"/>
      <c r="E3" s="100"/>
      <c r="F3" s="100"/>
      <c r="G3" s="16"/>
      <c r="H3" s="100"/>
      <c r="I3" s="406" t="s">
        <v>225</v>
      </c>
      <c r="J3" s="100"/>
      <c r="K3" s="101"/>
      <c r="L3" s="102"/>
      <c r="M3" s="404"/>
    </row>
    <row r="4" spans="1:13" ht="12.75" customHeight="1" x14ac:dyDescent="0.3">
      <c r="A4" s="94"/>
      <c r="B4" s="80"/>
      <c r="C4" s="447"/>
      <c r="D4" s="104" t="s">
        <v>34</v>
      </c>
      <c r="E4" s="100"/>
      <c r="F4" s="94"/>
      <c r="G4" s="471" t="s">
        <v>224</v>
      </c>
      <c r="H4" s="471"/>
      <c r="I4" s="103"/>
      <c r="J4" s="104" t="s">
        <v>35</v>
      </c>
      <c r="K4" s="100"/>
      <c r="L4" s="102"/>
      <c r="M4" s="404"/>
    </row>
    <row r="5" spans="1:13" ht="13" x14ac:dyDescent="0.3">
      <c r="A5" s="94"/>
      <c r="B5" s="80"/>
      <c r="C5" s="447"/>
      <c r="D5" s="104" t="s">
        <v>36</v>
      </c>
      <c r="E5" s="100"/>
      <c r="F5" s="405"/>
      <c r="G5" s="471"/>
      <c r="H5" s="471"/>
      <c r="I5" s="103"/>
      <c r="J5" s="104" t="s">
        <v>37</v>
      </c>
      <c r="K5" s="100"/>
      <c r="L5" s="102"/>
      <c r="M5" s="404"/>
    </row>
    <row r="6" spans="1:13" ht="13" x14ac:dyDescent="0.3">
      <c r="A6" s="94"/>
      <c r="B6" s="80"/>
      <c r="C6" s="329">
        <f>'2R RATING SUMMARY'!F6</f>
        <v>0</v>
      </c>
      <c r="D6" s="104" t="s">
        <v>3</v>
      </c>
      <c r="E6" s="100"/>
      <c r="F6" s="100"/>
      <c r="G6" s="330"/>
      <c r="H6" s="100"/>
      <c r="I6" s="447"/>
      <c r="J6" s="104" t="s">
        <v>38</v>
      </c>
      <c r="K6" s="100"/>
      <c r="L6" s="102"/>
      <c r="M6" s="404"/>
    </row>
    <row r="7" spans="1:13" ht="13" x14ac:dyDescent="0.3">
      <c r="A7" s="94"/>
      <c r="B7" s="80"/>
      <c r="C7" s="82" t="s">
        <v>39</v>
      </c>
      <c r="D7" s="104"/>
      <c r="E7" s="100"/>
      <c r="F7" s="100"/>
      <c r="G7" s="100"/>
      <c r="H7" s="100"/>
      <c r="I7" s="407"/>
      <c r="J7" s="57"/>
      <c r="K7" s="100"/>
      <c r="L7" s="102"/>
      <c r="M7" s="404"/>
    </row>
    <row r="8" spans="1:13" ht="13" x14ac:dyDescent="0.3">
      <c r="A8" s="94"/>
      <c r="B8" s="80"/>
      <c r="C8" s="82"/>
      <c r="D8" s="104"/>
      <c r="E8" s="100"/>
      <c r="F8" s="100"/>
      <c r="G8" s="100"/>
      <c r="H8" s="100"/>
      <c r="I8" s="407"/>
      <c r="J8" s="57"/>
      <c r="K8" s="100"/>
      <c r="L8" s="102"/>
      <c r="M8" s="404"/>
    </row>
    <row r="9" spans="1:13" ht="13" x14ac:dyDescent="0.3">
      <c r="A9" s="94"/>
      <c r="B9" s="80"/>
      <c r="C9" s="82"/>
      <c r="D9" s="104"/>
      <c r="E9" s="100"/>
      <c r="F9" s="100"/>
      <c r="G9" s="100"/>
      <c r="H9" s="100"/>
      <c r="I9" s="407"/>
      <c r="J9" s="57"/>
      <c r="K9" s="100"/>
      <c r="L9" s="102"/>
      <c r="M9" s="404"/>
    </row>
    <row r="10" spans="1:13" ht="13" x14ac:dyDescent="0.3">
      <c r="A10" s="94"/>
      <c r="B10" s="80"/>
      <c r="C10" s="100"/>
      <c r="D10" s="100"/>
      <c r="E10" s="100"/>
      <c r="F10" s="100"/>
      <c r="G10" s="100"/>
      <c r="H10" s="100"/>
      <c r="I10" s="100"/>
      <c r="J10" s="100"/>
      <c r="K10" s="12"/>
      <c r="L10" s="102"/>
      <c r="M10" s="404"/>
    </row>
    <row r="11" spans="1:13" ht="13" x14ac:dyDescent="0.3">
      <c r="A11" s="94"/>
      <c r="B11" s="80"/>
      <c r="C11" s="100"/>
      <c r="D11" s="100"/>
      <c r="E11" s="100"/>
      <c r="F11" s="100"/>
      <c r="G11" s="100"/>
      <c r="H11" s="100"/>
      <c r="I11" s="100"/>
      <c r="J11" s="100"/>
      <c r="K11" s="100"/>
      <c r="L11" s="102"/>
      <c r="M11" s="404"/>
    </row>
    <row r="12" spans="1:13" ht="13" x14ac:dyDescent="0.3">
      <c r="A12" s="94"/>
      <c r="B12" s="201" t="s">
        <v>21</v>
      </c>
      <c r="C12" s="100"/>
      <c r="D12" s="100"/>
      <c r="E12" s="199"/>
      <c r="F12" s="408" t="s">
        <v>206</v>
      </c>
      <c r="G12" s="404"/>
      <c r="H12" s="404"/>
      <c r="I12" s="100"/>
      <c r="J12" s="100"/>
      <c r="K12" s="100"/>
      <c r="L12" s="102"/>
      <c r="M12" s="404"/>
    </row>
    <row r="13" spans="1:13" ht="13" x14ac:dyDescent="0.3">
      <c r="A13" s="94"/>
      <c r="B13" s="80"/>
      <c r="C13" s="100"/>
      <c r="D13" s="106"/>
      <c r="E13" s="16"/>
      <c r="F13" s="105"/>
      <c r="G13" s="404"/>
      <c r="H13" s="404"/>
      <c r="I13" s="100"/>
      <c r="J13" s="36"/>
      <c r="K13" s="100"/>
      <c r="L13" s="102"/>
      <c r="M13" s="404"/>
    </row>
    <row r="14" spans="1:13" ht="13" x14ac:dyDescent="0.3">
      <c r="A14" s="94"/>
      <c r="B14" s="80"/>
      <c r="C14" s="100"/>
      <c r="D14" s="106"/>
      <c r="E14" s="106"/>
      <c r="F14" s="100"/>
      <c r="G14" s="100"/>
      <c r="H14" s="105"/>
      <c r="I14" s="100"/>
      <c r="J14" s="36"/>
      <c r="K14" s="100"/>
      <c r="L14" s="102"/>
      <c r="M14" s="404"/>
    </row>
    <row r="15" spans="1:13" ht="13.5" thickBot="1" x14ac:dyDescent="0.35">
      <c r="A15" s="94"/>
      <c r="B15" s="107"/>
      <c r="C15" s="108"/>
      <c r="D15" s="109"/>
      <c r="E15" s="109"/>
      <c r="F15" s="108"/>
      <c r="G15" s="108"/>
      <c r="H15" s="110"/>
      <c r="I15" s="108"/>
      <c r="J15" s="111"/>
      <c r="K15" s="108"/>
      <c r="L15" s="112"/>
      <c r="M15" s="404"/>
    </row>
    <row r="16" spans="1:13" ht="13" x14ac:dyDescent="0.3">
      <c r="A16" s="94"/>
      <c r="B16" s="404"/>
      <c r="C16" s="404"/>
      <c r="D16" s="113"/>
      <c r="E16" s="113"/>
      <c r="F16" s="404"/>
      <c r="G16" s="404"/>
      <c r="H16" s="114"/>
      <c r="I16" s="404"/>
      <c r="J16" s="115"/>
      <c r="K16" s="404"/>
      <c r="L16" s="404"/>
      <c r="M16" s="404"/>
    </row>
    <row r="23" spans="1:18" ht="12.75" customHeight="1" thickBot="1" x14ac:dyDescent="0.35"/>
    <row r="24" spans="1:18" s="412" customFormat="1" ht="13.5" thickBot="1" x14ac:dyDescent="0.35">
      <c r="A24" s="409"/>
      <c r="B24" s="409"/>
      <c r="C24" s="409"/>
      <c r="D24" s="410" t="s">
        <v>197</v>
      </c>
      <c r="E24" s="411">
        <f>C4</f>
        <v>0</v>
      </c>
      <c r="F24" s="409"/>
      <c r="G24" s="409"/>
      <c r="H24" s="409"/>
      <c r="I24" s="410" t="s">
        <v>198</v>
      </c>
      <c r="J24" s="411">
        <f>C5</f>
        <v>0</v>
      </c>
      <c r="K24" s="409"/>
      <c r="L24" s="409"/>
      <c r="M24" s="409"/>
      <c r="N24" s="409"/>
      <c r="O24" s="409"/>
      <c r="P24" s="409"/>
      <c r="Q24" s="409"/>
      <c r="R24" s="409"/>
    </row>
    <row r="25" spans="1:18" s="412" customFormat="1" ht="13" x14ac:dyDescent="0.3">
      <c r="A25" s="409"/>
      <c r="B25" s="409"/>
      <c r="C25" s="409"/>
      <c r="D25" s="409"/>
      <c r="E25" s="409"/>
      <c r="F25" s="409"/>
      <c r="G25" s="409"/>
      <c r="H25" s="413"/>
      <c r="I25" s="409"/>
      <c r="J25" s="413"/>
      <c r="K25" s="409"/>
      <c r="L25" s="409"/>
      <c r="M25" s="409"/>
      <c r="N25" s="409"/>
      <c r="O25" s="409"/>
      <c r="P25" s="409"/>
      <c r="Q25" s="409"/>
      <c r="R25" s="409"/>
    </row>
    <row r="26" spans="1:18" s="412" customFormat="1" ht="13" x14ac:dyDescent="0.3">
      <c r="A26" s="409"/>
      <c r="B26" s="409"/>
      <c r="C26" s="409" t="s">
        <v>86</v>
      </c>
      <c r="D26" s="409"/>
      <c r="E26" s="409"/>
      <c r="F26" s="409"/>
      <c r="G26" s="409"/>
      <c r="H26" s="413"/>
      <c r="I26" s="409"/>
      <c r="J26" s="413"/>
      <c r="K26" s="409"/>
      <c r="L26" s="409"/>
      <c r="M26" s="409"/>
      <c r="N26" s="409"/>
      <c r="O26" s="409"/>
      <c r="P26" s="409"/>
      <c r="Q26" s="409"/>
      <c r="R26" s="409"/>
    </row>
    <row r="27" spans="1:18" s="412" customFormat="1" ht="13" x14ac:dyDescent="0.3">
      <c r="A27" s="409"/>
      <c r="B27" s="409"/>
      <c r="C27" s="409" t="s">
        <v>87</v>
      </c>
      <c r="D27" s="409"/>
      <c r="E27" s="409"/>
      <c r="F27" s="409"/>
      <c r="G27" s="409"/>
      <c r="H27" s="413"/>
      <c r="I27" s="409"/>
      <c r="J27" s="413"/>
      <c r="K27" s="409"/>
      <c r="L27" s="409"/>
      <c r="M27" s="409"/>
      <c r="N27" s="409"/>
      <c r="O27" s="409"/>
      <c r="P27" s="409"/>
      <c r="Q27" s="409"/>
      <c r="R27" s="409"/>
    </row>
    <row r="28" spans="1:18" s="412" customFormat="1" ht="13" x14ac:dyDescent="0.3">
      <c r="A28" s="409"/>
      <c r="B28" s="409"/>
      <c r="D28" s="409"/>
      <c r="E28" s="409"/>
      <c r="F28" s="409"/>
      <c r="G28" s="409" t="s">
        <v>88</v>
      </c>
      <c r="H28" s="409"/>
      <c r="I28" s="409"/>
      <c r="J28" s="414" t="str">
        <f>IF(E24&gt;J24*10,R56,S56)</f>
        <v/>
      </c>
      <c r="K28" s="409"/>
      <c r="L28" s="409"/>
      <c r="M28" s="409"/>
      <c r="N28" s="409"/>
      <c r="O28" s="409"/>
      <c r="P28" s="409"/>
      <c r="Q28" s="409"/>
      <c r="R28" s="409"/>
    </row>
    <row r="29" spans="1:18" s="412" customFormat="1" ht="13" x14ac:dyDescent="0.3">
      <c r="A29" s="409"/>
      <c r="B29" s="409"/>
      <c r="C29" s="409"/>
      <c r="D29" s="409"/>
      <c r="E29" s="409"/>
      <c r="F29" s="409"/>
      <c r="G29" s="409"/>
      <c r="H29" s="413"/>
      <c r="I29" s="409"/>
      <c r="J29" s="413"/>
      <c r="K29" s="409"/>
      <c r="L29" s="409"/>
      <c r="M29" s="409"/>
      <c r="N29" s="409"/>
      <c r="O29" s="409"/>
      <c r="P29" s="409"/>
      <c r="Q29" s="409"/>
      <c r="R29" s="409"/>
    </row>
    <row r="30" spans="1:18" s="412" customFormat="1" ht="13" x14ac:dyDescent="0.3">
      <c r="A30" s="409"/>
      <c r="B30" s="409"/>
      <c r="C30" s="409"/>
      <c r="D30" s="409"/>
      <c r="E30" s="409"/>
      <c r="F30" s="409"/>
      <c r="G30" s="409"/>
      <c r="H30" s="413"/>
      <c r="I30" s="409"/>
      <c r="J30" s="413"/>
      <c r="K30" s="409"/>
      <c r="L30" s="409"/>
      <c r="M30" s="409"/>
      <c r="N30" s="409"/>
      <c r="O30" s="409"/>
      <c r="P30" s="409"/>
      <c r="Q30" s="409"/>
      <c r="R30" s="409"/>
    </row>
    <row r="31" spans="1:18" s="412" customFormat="1" ht="13" x14ac:dyDescent="0.3">
      <c r="A31" s="409"/>
      <c r="B31" s="415" t="s">
        <v>89</v>
      </c>
      <c r="C31" s="415"/>
      <c r="D31" s="415"/>
      <c r="E31" s="415"/>
      <c r="F31" s="415"/>
      <c r="G31" s="409"/>
      <c r="H31" s="413"/>
      <c r="I31" s="409"/>
      <c r="J31" s="413"/>
      <c r="K31" s="409"/>
      <c r="L31" s="409"/>
      <c r="M31" s="409"/>
      <c r="N31" s="409"/>
      <c r="O31" s="409"/>
      <c r="P31" s="409"/>
      <c r="Q31" s="409"/>
      <c r="R31" s="409"/>
    </row>
    <row r="32" spans="1:18" s="412" customFormat="1" ht="13" x14ac:dyDescent="0.3">
      <c r="A32" s="409"/>
      <c r="B32" s="409"/>
      <c r="C32" s="409"/>
      <c r="D32" s="409"/>
      <c r="E32" s="409"/>
      <c r="F32" s="409"/>
      <c r="G32" s="409"/>
      <c r="H32" s="413"/>
      <c r="I32" s="409"/>
      <c r="J32" s="413"/>
      <c r="K32" s="409"/>
      <c r="L32" s="409"/>
      <c r="M32" s="409"/>
      <c r="N32" s="409"/>
      <c r="O32" s="409"/>
      <c r="P32" s="409"/>
      <c r="Q32" s="409"/>
      <c r="R32" s="409"/>
    </row>
    <row r="33" spans="1:18" s="412" customFormat="1" ht="13" x14ac:dyDescent="0.3">
      <c r="A33" s="409"/>
      <c r="C33" s="409" t="s">
        <v>216</v>
      </c>
      <c r="D33" s="409"/>
      <c r="E33" s="409"/>
      <c r="F33" s="409"/>
      <c r="G33" s="409"/>
      <c r="H33" s="409"/>
      <c r="I33" s="409"/>
      <c r="J33" s="409"/>
      <c r="K33" s="413"/>
      <c r="L33" s="409"/>
      <c r="M33" s="409"/>
      <c r="N33" s="409"/>
      <c r="O33" s="409"/>
      <c r="P33" s="409"/>
      <c r="Q33" s="409"/>
      <c r="R33" s="409"/>
    </row>
    <row r="34" spans="1:18" s="412" customFormat="1" ht="13" x14ac:dyDescent="0.3">
      <c r="A34" s="409"/>
      <c r="C34" s="409" t="s">
        <v>90</v>
      </c>
      <c r="D34" s="409"/>
      <c r="E34" s="409"/>
      <c r="F34" s="409"/>
      <c r="G34" s="409"/>
      <c r="H34" s="409"/>
      <c r="I34" s="409"/>
      <c r="J34" s="409"/>
      <c r="K34" s="413"/>
      <c r="L34" s="409"/>
      <c r="M34" s="409"/>
      <c r="N34" s="409"/>
      <c r="O34" s="409"/>
      <c r="P34" s="409"/>
      <c r="Q34" s="409"/>
      <c r="R34" s="409"/>
    </row>
    <row r="35" spans="1:18" s="412" customFormat="1" ht="13" x14ac:dyDescent="0.3">
      <c r="A35" s="409"/>
      <c r="C35" s="416"/>
      <c r="D35" s="417"/>
      <c r="E35" s="417"/>
      <c r="F35" s="417"/>
      <c r="G35" s="417"/>
      <c r="H35" s="417"/>
      <c r="I35" s="417"/>
      <c r="J35" s="418"/>
      <c r="K35" s="409"/>
      <c r="L35" s="409"/>
      <c r="M35" s="409"/>
      <c r="N35" s="409"/>
      <c r="O35" s="409"/>
      <c r="P35" s="409"/>
      <c r="Q35" s="409"/>
      <c r="R35" s="409"/>
    </row>
    <row r="36" spans="1:18" s="412" customFormat="1" ht="13" x14ac:dyDescent="0.3">
      <c r="A36" s="409"/>
      <c r="C36" s="419"/>
      <c r="D36" s="415" t="s">
        <v>91</v>
      </c>
      <c r="E36" s="415" t="s">
        <v>92</v>
      </c>
      <c r="F36" s="415"/>
      <c r="G36" s="415" t="s">
        <v>93</v>
      </c>
      <c r="H36" s="420"/>
      <c r="I36" s="415" t="s">
        <v>94</v>
      </c>
      <c r="J36" s="421"/>
      <c r="K36" s="409"/>
      <c r="L36" s="409"/>
      <c r="M36" s="409"/>
      <c r="N36" s="409"/>
      <c r="O36" s="409"/>
      <c r="P36" s="409"/>
      <c r="Q36" s="409"/>
      <c r="R36" s="409"/>
    </row>
    <row r="37" spans="1:18" s="412" customFormat="1" ht="13" x14ac:dyDescent="0.3">
      <c r="A37" s="409"/>
      <c r="C37" s="419" t="s">
        <v>95</v>
      </c>
      <c r="D37" s="409"/>
      <c r="E37" s="413" t="s">
        <v>96</v>
      </c>
      <c r="F37" s="409"/>
      <c r="G37" s="413" t="s">
        <v>96</v>
      </c>
      <c r="H37" s="409"/>
      <c r="I37" s="413" t="s">
        <v>96</v>
      </c>
      <c r="J37" s="421"/>
      <c r="K37" s="409"/>
      <c r="L37" s="409"/>
      <c r="M37" s="409"/>
      <c r="N37" s="409"/>
      <c r="O37" s="409"/>
      <c r="P37" s="409"/>
      <c r="Q37" s="409"/>
      <c r="R37" s="409"/>
    </row>
    <row r="38" spans="1:18" s="412" customFormat="1" ht="13.5" thickBot="1" x14ac:dyDescent="0.35">
      <c r="A38" s="409"/>
      <c r="C38" s="419" t="s">
        <v>95</v>
      </c>
      <c r="D38" s="409"/>
      <c r="E38" s="409"/>
      <c r="F38" s="409"/>
      <c r="G38" s="409"/>
      <c r="H38" s="409"/>
      <c r="I38" s="409"/>
      <c r="J38" s="421"/>
      <c r="K38" s="409"/>
      <c r="L38" s="409"/>
      <c r="M38" s="409"/>
      <c r="N38" s="409"/>
      <c r="O38" s="409"/>
      <c r="P38" s="409"/>
      <c r="Q38" s="409"/>
      <c r="R38" s="409"/>
    </row>
    <row r="39" spans="1:18" s="412" customFormat="1" ht="13.5" thickBot="1" x14ac:dyDescent="0.35">
      <c r="A39" s="409"/>
      <c r="C39" s="422"/>
      <c r="D39" s="409" t="s">
        <v>97</v>
      </c>
      <c r="E39" s="411">
        <f>I4</f>
        <v>0</v>
      </c>
      <c r="F39" s="413"/>
      <c r="G39" s="411">
        <f>I5</f>
        <v>0</v>
      </c>
      <c r="H39" s="413"/>
      <c r="I39" s="411">
        <f>I6</f>
        <v>0</v>
      </c>
      <c r="J39" s="421"/>
      <c r="K39" s="409"/>
      <c r="L39" s="409"/>
      <c r="M39" s="409"/>
      <c r="N39" s="409"/>
      <c r="O39" s="409"/>
      <c r="P39" s="409"/>
      <c r="Q39" s="409"/>
      <c r="R39" s="409"/>
    </row>
    <row r="40" spans="1:18" s="412" customFormat="1" ht="13" x14ac:dyDescent="0.3">
      <c r="A40" s="409"/>
      <c r="C40" s="419"/>
      <c r="D40" s="409"/>
      <c r="E40" s="409"/>
      <c r="F40" s="409"/>
      <c r="G40" s="409"/>
      <c r="H40" s="409"/>
      <c r="I40" s="409"/>
      <c r="J40" s="421"/>
      <c r="K40" s="409"/>
      <c r="L40" s="409"/>
      <c r="M40" s="409"/>
      <c r="N40" s="409"/>
      <c r="O40" s="409"/>
      <c r="P40" s="409"/>
      <c r="Q40" s="409"/>
      <c r="R40" s="409"/>
    </row>
    <row r="41" spans="1:18" s="412" customFormat="1" ht="13" x14ac:dyDescent="0.3">
      <c r="A41" s="409"/>
      <c r="C41" s="423"/>
      <c r="D41" s="424" t="s">
        <v>98</v>
      </c>
      <c r="E41" s="425" t="s">
        <v>99</v>
      </c>
      <c r="F41" s="425"/>
      <c r="G41" s="425" t="s">
        <v>100</v>
      </c>
      <c r="H41" s="425"/>
      <c r="I41" s="425" t="s">
        <v>101</v>
      </c>
      <c r="J41" s="426"/>
      <c r="K41" s="409"/>
      <c r="L41" s="409"/>
      <c r="M41" s="409"/>
      <c r="N41" s="409"/>
      <c r="O41" s="409"/>
      <c r="P41" s="409"/>
      <c r="Q41" s="409"/>
      <c r="R41" s="409"/>
    </row>
    <row r="42" spans="1:18" s="412" customFormat="1" ht="13" x14ac:dyDescent="0.3">
      <c r="A42" s="409"/>
      <c r="C42" s="409" t="s">
        <v>102</v>
      </c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09"/>
      <c r="O42" s="409"/>
      <c r="P42" s="409"/>
      <c r="Q42" s="409"/>
      <c r="R42" s="409"/>
    </row>
    <row r="43" spans="1:18" s="412" customFormat="1" ht="13" x14ac:dyDescent="0.3">
      <c r="A43" s="409"/>
      <c r="C43" s="409"/>
      <c r="D43" s="413" t="s">
        <v>75</v>
      </c>
      <c r="E43" s="425">
        <f>E39*3</f>
        <v>0</v>
      </c>
      <c r="F43" s="413" t="s">
        <v>103</v>
      </c>
      <c r="G43" s="425">
        <f>G39*10</f>
        <v>0</v>
      </c>
      <c r="H43" s="413" t="s">
        <v>103</v>
      </c>
      <c r="I43" s="425">
        <f>I39*25</f>
        <v>0</v>
      </c>
      <c r="J43" s="413" t="s">
        <v>75</v>
      </c>
      <c r="K43" s="427">
        <f>SUM(E43,G43,I43)</f>
        <v>0</v>
      </c>
      <c r="L43" s="409"/>
      <c r="M43" s="409"/>
      <c r="N43" s="409"/>
      <c r="O43" s="409"/>
      <c r="P43" s="409"/>
      <c r="Q43" s="409"/>
      <c r="R43" s="409"/>
    </row>
    <row r="44" spans="1:18" s="412" customFormat="1" ht="13.5" thickBot="1" x14ac:dyDescent="0.35">
      <c r="A44" s="409"/>
      <c r="C44" s="409"/>
      <c r="D44" s="409"/>
      <c r="E44" s="409"/>
      <c r="F44" s="409"/>
      <c r="G44" s="409"/>
      <c r="H44" s="409"/>
      <c r="I44" s="409"/>
      <c r="J44" s="409"/>
      <c r="K44" s="413" t="s">
        <v>104</v>
      </c>
      <c r="L44" s="409"/>
      <c r="M44" s="409"/>
      <c r="N44" s="409"/>
      <c r="O44" s="409"/>
      <c r="P44" s="409"/>
      <c r="Q44" s="409"/>
      <c r="R44" s="409"/>
    </row>
    <row r="45" spans="1:18" s="412" customFormat="1" ht="13.5" thickBot="1" x14ac:dyDescent="0.35">
      <c r="A45" s="409"/>
      <c r="C45" s="425">
        <f>K43</f>
        <v>0</v>
      </c>
      <c r="D45" s="413">
        <v>3</v>
      </c>
      <c r="E45" s="428">
        <f>C6</f>
        <v>0</v>
      </c>
      <c r="F45" s="429" t="s">
        <v>75</v>
      </c>
      <c r="G45" s="430" t="e">
        <f>C45/3/E45</f>
        <v>#DIV/0!</v>
      </c>
      <c r="I45" s="409" t="s">
        <v>105</v>
      </c>
      <c r="J45" s="409"/>
      <c r="K45" s="409"/>
      <c r="L45" s="409"/>
      <c r="M45" s="409"/>
      <c r="N45" s="409"/>
      <c r="O45" s="409"/>
      <c r="P45" s="409"/>
      <c r="Q45" s="409"/>
      <c r="R45" s="409"/>
    </row>
    <row r="46" spans="1:18" s="412" customFormat="1" ht="13" x14ac:dyDescent="0.3">
      <c r="A46" s="409"/>
      <c r="C46" s="413" t="s">
        <v>104</v>
      </c>
      <c r="D46" s="409"/>
      <c r="E46" s="409" t="s">
        <v>106</v>
      </c>
      <c r="F46" s="409"/>
      <c r="G46" s="413" t="s">
        <v>217</v>
      </c>
      <c r="I46" s="409"/>
      <c r="J46" s="413" t="s">
        <v>107</v>
      </c>
      <c r="K46" s="413"/>
      <c r="L46" s="409"/>
      <c r="M46" s="409"/>
      <c r="N46" s="409"/>
      <c r="O46" s="409"/>
      <c r="P46" s="409"/>
      <c r="Q46" s="409"/>
      <c r="R46" s="409"/>
    </row>
    <row r="47" spans="1:18" s="412" customFormat="1" ht="13" x14ac:dyDescent="0.3">
      <c r="A47" s="409"/>
      <c r="C47" s="409"/>
      <c r="D47" s="409"/>
      <c r="E47" s="413" t="s">
        <v>108</v>
      </c>
      <c r="F47" s="409"/>
      <c r="G47" s="409" t="s">
        <v>109</v>
      </c>
      <c r="H47" s="409"/>
      <c r="I47" s="409"/>
      <c r="J47" s="409"/>
      <c r="K47" s="413"/>
      <c r="L47" s="409"/>
      <c r="M47" s="409"/>
      <c r="N47" s="409"/>
      <c r="O47" s="409"/>
      <c r="P47" s="409"/>
      <c r="Q47" s="409"/>
      <c r="R47" s="409"/>
    </row>
    <row r="48" spans="1:18" s="409" customFormat="1" ht="13" x14ac:dyDescent="0.3">
      <c r="B48" s="412"/>
      <c r="I48" s="413"/>
      <c r="K48" s="413"/>
    </row>
    <row r="49" spans="1:21" s="409" customFormat="1" ht="13" x14ac:dyDescent="0.3">
      <c r="B49" s="412"/>
      <c r="D49" s="412"/>
      <c r="J49" s="410" t="s">
        <v>110</v>
      </c>
      <c r="K49" s="431">
        <f>IF(K43=0,0,U56)</f>
        <v>0</v>
      </c>
      <c r="R49" s="409" t="s">
        <v>111</v>
      </c>
      <c r="U49" s="409" t="s">
        <v>112</v>
      </c>
    </row>
    <row r="50" spans="1:21" s="409" customFormat="1" ht="13" x14ac:dyDescent="0.3">
      <c r="H50" s="413"/>
      <c r="J50" s="413"/>
      <c r="R50" s="415" t="s">
        <v>113</v>
      </c>
      <c r="S50" s="415"/>
      <c r="U50" s="415" t="s">
        <v>113</v>
      </c>
    </row>
    <row r="51" spans="1:21" s="409" customFormat="1" ht="13" x14ac:dyDescent="0.3">
      <c r="A51" s="470"/>
      <c r="C51" s="412"/>
      <c r="D51" s="412"/>
      <c r="F51" s="432" t="s">
        <v>114</v>
      </c>
      <c r="H51" s="413"/>
      <c r="J51" s="413"/>
    </row>
    <row r="52" spans="1:21" s="409" customFormat="1" ht="13" x14ac:dyDescent="0.3">
      <c r="A52" s="470"/>
      <c r="H52" s="413"/>
      <c r="J52" s="413"/>
      <c r="R52" s="433" t="s">
        <v>115</v>
      </c>
      <c r="S52" s="433" t="s">
        <v>115</v>
      </c>
      <c r="U52" s="433" t="s">
        <v>115</v>
      </c>
    </row>
    <row r="53" spans="1:21" s="412" customFormat="1" ht="13" x14ac:dyDescent="0.3">
      <c r="A53" s="470"/>
      <c r="B53" s="409"/>
      <c r="C53" s="413" t="s">
        <v>116</v>
      </c>
      <c r="E53" s="409" t="s">
        <v>116</v>
      </c>
      <c r="G53" s="413" t="s">
        <v>218</v>
      </c>
      <c r="H53" s="413"/>
      <c r="I53" s="413" t="s">
        <v>117</v>
      </c>
      <c r="J53" s="413"/>
      <c r="K53" s="409"/>
      <c r="L53" s="409"/>
      <c r="M53" s="409"/>
      <c r="N53" s="409"/>
      <c r="O53" s="409"/>
      <c r="P53" s="409"/>
      <c r="Q53" s="409"/>
      <c r="R53" s="433" t="s">
        <v>34</v>
      </c>
      <c r="S53" s="433" t="s">
        <v>118</v>
      </c>
      <c r="T53" s="409"/>
      <c r="U53" s="433" t="s">
        <v>119</v>
      </c>
    </row>
    <row r="54" spans="1:21" s="412" customFormat="1" ht="13" x14ac:dyDescent="0.3">
      <c r="A54" s="470"/>
      <c r="B54" s="409" t="s">
        <v>68</v>
      </c>
      <c r="C54" s="434" t="s">
        <v>120</v>
      </c>
      <c r="E54" s="434" t="s">
        <v>121</v>
      </c>
      <c r="G54" s="415" t="s">
        <v>122</v>
      </c>
      <c r="H54" s="413"/>
      <c r="I54" s="434" t="s">
        <v>10</v>
      </c>
      <c r="J54" s="413"/>
      <c r="K54" s="409"/>
      <c r="L54" s="409"/>
      <c r="M54" s="409"/>
      <c r="N54" s="409"/>
      <c r="O54" s="409"/>
      <c r="P54" s="409"/>
      <c r="Q54" s="409"/>
      <c r="R54" s="435" t="s">
        <v>63</v>
      </c>
      <c r="S54" s="435" t="s">
        <v>63</v>
      </c>
      <c r="T54" s="409"/>
      <c r="U54" s="435" t="s">
        <v>63</v>
      </c>
    </row>
    <row r="55" spans="1:21" s="412" customFormat="1" ht="13" x14ac:dyDescent="0.3">
      <c r="A55" s="470"/>
      <c r="B55" s="409"/>
      <c r="C55" s="409"/>
      <c r="E55" s="409"/>
      <c r="H55" s="436"/>
      <c r="I55" s="409"/>
      <c r="J55" s="413"/>
      <c r="K55" s="409"/>
      <c r="L55" s="409"/>
      <c r="M55" s="409"/>
      <c r="N55" s="409"/>
      <c r="O55" s="409"/>
      <c r="P55" s="409"/>
      <c r="Q55" s="409"/>
      <c r="R55" s="433"/>
      <c r="S55" s="433"/>
      <c r="T55" s="409"/>
      <c r="U55" s="433"/>
    </row>
    <row r="56" spans="1:21" s="412" customFormat="1" ht="12.75" customHeight="1" x14ac:dyDescent="0.3">
      <c r="A56" s="470"/>
      <c r="B56" s="409"/>
      <c r="C56" s="413" t="s">
        <v>123</v>
      </c>
      <c r="D56" s="437" t="str">
        <f>IF(AND(E24&lt;51,E24&gt;0),"*","")</f>
        <v/>
      </c>
      <c r="E56" s="438" t="s">
        <v>124</v>
      </c>
      <c r="F56" s="437" t="str">
        <f>IF(AND(J24&lt;6,J24&gt;0),"*","")</f>
        <v/>
      </c>
      <c r="G56" s="413" t="s">
        <v>125</v>
      </c>
      <c r="H56" s="439" t="e">
        <f>IF(AND(G45&lt;2.5,G45&gt;0),"*","")</f>
        <v>#DIV/0!</v>
      </c>
      <c r="I56" s="413">
        <v>0</v>
      </c>
      <c r="J56" s="413"/>
      <c r="K56" s="409"/>
      <c r="L56" s="409"/>
      <c r="M56" s="409"/>
      <c r="N56" s="409"/>
      <c r="O56" s="409"/>
      <c r="P56" s="409"/>
      <c r="Q56" s="409"/>
      <c r="R56" s="433" t="str">
        <f>IF(AND(E24&lt;50,E24&gt;0),I56,R57)</f>
        <v/>
      </c>
      <c r="S56" s="433" t="str">
        <f>IF(AND(J24&lt;5,J24&gt;0),I56,S57)</f>
        <v/>
      </c>
      <c r="T56" s="409"/>
      <c r="U56" s="433" t="e">
        <f>IF(AND(G45&lt;2.5,G45&gt;0),I56,U57)</f>
        <v>#DIV/0!</v>
      </c>
    </row>
    <row r="57" spans="1:21" s="412" customFormat="1" ht="12.75" customHeight="1" x14ac:dyDescent="0.3">
      <c r="A57" s="470"/>
      <c r="B57" s="409"/>
      <c r="C57" s="445" t="s">
        <v>126</v>
      </c>
      <c r="D57" s="437" t="str">
        <f>IF(AND(E24&lt;101,E24&gt;50),"*","")</f>
        <v/>
      </c>
      <c r="E57" s="446" t="s">
        <v>127</v>
      </c>
      <c r="F57" s="437" t="str">
        <f>IF(AND(J24&lt;11,J24&gt;5),"*","")</f>
        <v/>
      </c>
      <c r="G57" s="440" t="s">
        <v>128</v>
      </c>
      <c r="H57" s="439" t="e">
        <f>IF(AND(G45&lt;4.5,G45&gt;=2.5),"*","")</f>
        <v>#DIV/0!</v>
      </c>
      <c r="I57" s="413">
        <v>1</v>
      </c>
      <c r="J57" s="413"/>
      <c r="K57" s="409"/>
      <c r="L57" s="409"/>
      <c r="M57" s="409"/>
      <c r="N57" s="409"/>
      <c r="O57" s="409"/>
      <c r="P57" s="409"/>
      <c r="Q57" s="409"/>
      <c r="R57" s="433" t="str">
        <f>IF(AND(E24&lt;100,E24&gt;49),I57,R58)</f>
        <v/>
      </c>
      <c r="S57" s="433" t="str">
        <f>IF(AND(J24&lt;10,J24&gt;4),I57,S58)</f>
        <v/>
      </c>
      <c r="T57" s="409"/>
      <c r="U57" s="433" t="e">
        <f>IF(AND(G45&lt;4.5,G45&gt;=2.5),I57,U58)</f>
        <v>#DIV/0!</v>
      </c>
    </row>
    <row r="58" spans="1:21" s="412" customFormat="1" ht="12.75" customHeight="1" x14ac:dyDescent="0.3">
      <c r="A58" s="470"/>
      <c r="B58" s="409"/>
      <c r="C58" s="445" t="s">
        <v>129</v>
      </c>
      <c r="D58" s="437" t="str">
        <f>IF(AND(E24&lt;251,E24&gt;100),"*","")</f>
        <v/>
      </c>
      <c r="E58" s="446" t="s">
        <v>130</v>
      </c>
      <c r="F58" s="437" t="str">
        <f>IF(AND(J24&lt;26,J24&gt;10),"*","")</f>
        <v/>
      </c>
      <c r="G58" s="429" t="s">
        <v>131</v>
      </c>
      <c r="H58" s="439" t="e">
        <f>IF(AND(G45&lt;6.5,G45&gt;=4.5),"*","")</f>
        <v>#DIV/0!</v>
      </c>
      <c r="I58" s="413">
        <v>2</v>
      </c>
      <c r="J58" s="413"/>
      <c r="K58" s="409"/>
      <c r="L58" s="409"/>
      <c r="M58" s="409"/>
      <c r="N58" s="409"/>
      <c r="O58" s="409"/>
      <c r="P58" s="409"/>
      <c r="Q58" s="409"/>
      <c r="R58" s="433" t="str">
        <f>IF(AND(E24&lt;250,E24&gt;99),I58,R59)</f>
        <v/>
      </c>
      <c r="S58" s="433" t="str">
        <f>IF(AND(J24&lt;25,J24&gt;9),I58,S59)</f>
        <v/>
      </c>
      <c r="T58" s="409"/>
      <c r="U58" s="433" t="e">
        <f>IF(AND(G45&lt;6.5,G45&gt;=4.5),I58,U59)</f>
        <v>#DIV/0!</v>
      </c>
    </row>
    <row r="59" spans="1:21" s="412" customFormat="1" ht="12.75" customHeight="1" x14ac:dyDescent="0.3">
      <c r="A59" s="470"/>
      <c r="B59" s="409"/>
      <c r="C59" s="445" t="s">
        <v>132</v>
      </c>
      <c r="D59" s="437" t="str">
        <f>IF(AND(E24&lt;501,E24&gt;250),"*","")</f>
        <v/>
      </c>
      <c r="E59" s="445" t="s">
        <v>133</v>
      </c>
      <c r="F59" s="437" t="str">
        <f>IF(AND(J24&lt;51,J24&gt;25),"*","")</f>
        <v/>
      </c>
      <c r="G59" s="429" t="s">
        <v>134</v>
      </c>
      <c r="H59" s="439" t="e">
        <f>IF(AND(G45&lt;8.4,G45&gt;=6.5),"*","")</f>
        <v>#DIV/0!</v>
      </c>
      <c r="I59" s="413">
        <v>3</v>
      </c>
      <c r="J59" s="413"/>
      <c r="K59" s="409"/>
      <c r="L59" s="409"/>
      <c r="M59" s="409"/>
      <c r="N59" s="409"/>
      <c r="O59" s="409"/>
      <c r="P59" s="409"/>
      <c r="Q59" s="409"/>
      <c r="R59" s="433" t="str">
        <f>IF(AND(E24&lt;500,E24&gt;249),I59,R60)</f>
        <v/>
      </c>
      <c r="S59" s="433" t="str">
        <f>IF(AND(J24&lt;50,J24&gt;24),I59,S60)</f>
        <v/>
      </c>
      <c r="T59" s="409"/>
      <c r="U59" s="433" t="e">
        <f>IF(AND(G45&lt;8.4,G45&gt;=6.5),I59,U60)</f>
        <v>#DIV/0!</v>
      </c>
    </row>
    <row r="60" spans="1:21" s="412" customFormat="1" ht="12.75" customHeight="1" x14ac:dyDescent="0.3">
      <c r="A60" s="470"/>
      <c r="B60" s="409"/>
      <c r="C60" s="445" t="s">
        <v>135</v>
      </c>
      <c r="D60" s="437" t="str">
        <f>IF(AND(E24&lt;751,E24&gt;500),"*","")</f>
        <v/>
      </c>
      <c r="E60" s="445" t="s">
        <v>136</v>
      </c>
      <c r="F60" s="437" t="str">
        <f>IF(AND(J24&lt;76,J24&gt;50),"*","")</f>
        <v/>
      </c>
      <c r="G60" s="429" t="s">
        <v>137</v>
      </c>
      <c r="H60" s="439" t="e">
        <f>IF(AND(G45&lt;10.5,G45&gt;=8.5),"*","")</f>
        <v>#DIV/0!</v>
      </c>
      <c r="I60" s="413">
        <v>4</v>
      </c>
      <c r="J60" s="413"/>
      <c r="K60" s="409"/>
      <c r="L60" s="409"/>
      <c r="M60" s="409"/>
      <c r="N60" s="409"/>
      <c r="O60" s="409"/>
      <c r="P60" s="409"/>
      <c r="Q60" s="409"/>
      <c r="R60" s="433" t="str">
        <f>IF(AND(E24&lt;750,E24&gt;499),I60,R61)</f>
        <v/>
      </c>
      <c r="S60" s="433" t="str">
        <f>IF(AND(J24&lt;75,J24&gt;49),I60,S61)</f>
        <v/>
      </c>
      <c r="T60" s="409"/>
      <c r="U60" s="433" t="e">
        <f>IF(AND(G45&lt;10.5,G45&gt;=8.5),I60,U61)</f>
        <v>#DIV/0!</v>
      </c>
    </row>
    <row r="61" spans="1:21" s="412" customFormat="1" ht="12.75" customHeight="1" x14ac:dyDescent="0.3">
      <c r="A61" s="470"/>
      <c r="B61" s="409"/>
      <c r="C61" s="445" t="s">
        <v>138</v>
      </c>
      <c r="D61" s="437" t="str">
        <f>IF(AND(E24&lt;1001,E24&gt;750),"*","")</f>
        <v/>
      </c>
      <c r="E61" s="445" t="s">
        <v>139</v>
      </c>
      <c r="F61" s="437" t="str">
        <f>IF(AND(J24&lt;101,J24&gt;75),"*","")</f>
        <v/>
      </c>
      <c r="G61" s="429" t="s">
        <v>140</v>
      </c>
      <c r="H61" s="439" t="e">
        <f>IF(AND(G45&lt;12.5,G45&gt;=10.5),"*","")</f>
        <v>#DIV/0!</v>
      </c>
      <c r="I61" s="413">
        <v>5</v>
      </c>
      <c r="J61" s="413"/>
      <c r="K61" s="409"/>
      <c r="L61" s="409"/>
      <c r="M61" s="409"/>
      <c r="N61" s="409"/>
      <c r="O61" s="409"/>
      <c r="P61" s="409"/>
      <c r="Q61" s="409"/>
      <c r="R61" s="433" t="str">
        <f>IF(AND(E24&lt;1000,E24&gt;749),I61,R62)</f>
        <v/>
      </c>
      <c r="S61" s="433" t="str">
        <f>IF(AND(J24&lt;100,J24&gt;74),I61,S62)</f>
        <v/>
      </c>
      <c r="T61" s="409"/>
      <c r="U61" s="433" t="e">
        <f>IF(AND(G45&lt;12.5,G45&gt;=10.5),I61,U62)</f>
        <v>#DIV/0!</v>
      </c>
    </row>
    <row r="62" spans="1:21" s="412" customFormat="1" ht="12.75" customHeight="1" x14ac:dyDescent="0.3">
      <c r="A62" s="470"/>
      <c r="B62" s="409"/>
      <c r="C62" s="445" t="s">
        <v>141</v>
      </c>
      <c r="D62" s="437" t="str">
        <f>IF(AND(E24&lt;1251,E24&gt;1000),"*","")</f>
        <v/>
      </c>
      <c r="E62" s="445" t="s">
        <v>142</v>
      </c>
      <c r="F62" s="437" t="str">
        <f>IF(AND(J24&lt;126,J24&gt;100),"*","")</f>
        <v/>
      </c>
      <c r="G62" s="429" t="s">
        <v>143</v>
      </c>
      <c r="H62" s="439" t="e">
        <f>IF(AND(G45&lt;14.5,G45&gt;=12.5),"*","")</f>
        <v>#DIV/0!</v>
      </c>
      <c r="I62" s="413">
        <v>6</v>
      </c>
      <c r="J62" s="413"/>
      <c r="K62" s="409"/>
      <c r="L62" s="409"/>
      <c r="M62" s="409"/>
      <c r="N62" s="409"/>
      <c r="O62" s="409"/>
      <c r="P62" s="409"/>
      <c r="Q62" s="409"/>
      <c r="R62" s="433" t="str">
        <f>IF(AND(E24&lt;1250,E24&gt;999),I62,R63)</f>
        <v/>
      </c>
      <c r="S62" s="433" t="str">
        <f>IF(AND(J24&lt;125,J24&gt;99),I62,S63)</f>
        <v/>
      </c>
      <c r="T62" s="409"/>
      <c r="U62" s="433" t="e">
        <f>IF(AND(G45&lt;14.5,G45&gt;=12.5),I62,U63)</f>
        <v>#DIV/0!</v>
      </c>
    </row>
    <row r="63" spans="1:21" s="412" customFormat="1" ht="12.75" customHeight="1" x14ac:dyDescent="0.3">
      <c r="A63" s="470"/>
      <c r="B63" s="409"/>
      <c r="C63" s="445" t="s">
        <v>144</v>
      </c>
      <c r="D63" s="437" t="str">
        <f>IF(AND(E24&lt;1501,E24&gt;1250),"*","")</f>
        <v/>
      </c>
      <c r="E63" s="445" t="s">
        <v>145</v>
      </c>
      <c r="F63" s="437" t="str">
        <f>IF(AND(J24&lt;151,J24&gt;125),"*","")</f>
        <v/>
      </c>
      <c r="G63" s="413" t="s">
        <v>146</v>
      </c>
      <c r="H63" s="439" t="e">
        <f>IF(AND(G45&lt;16.5,G45&gt;=14.5),"*","")</f>
        <v>#DIV/0!</v>
      </c>
      <c r="I63" s="413">
        <v>7</v>
      </c>
      <c r="J63" s="413"/>
      <c r="K63" s="409"/>
      <c r="L63" s="409"/>
      <c r="M63" s="409"/>
      <c r="N63" s="409"/>
      <c r="O63" s="409"/>
      <c r="P63" s="409"/>
      <c r="Q63" s="409"/>
      <c r="R63" s="433" t="str">
        <f>IF(AND(E24&lt;1500,E24&gt;1249),I63,R64)</f>
        <v/>
      </c>
      <c r="S63" s="433" t="str">
        <f>IF(AND(J24&lt;150,J24&gt;124),I63,S64)</f>
        <v/>
      </c>
      <c r="T63" s="409"/>
      <c r="U63" s="433" t="e">
        <f>IF(AND(G45&lt;16.5,G45&gt;=14.5),I63,U64)</f>
        <v>#DIV/0!</v>
      </c>
    </row>
    <row r="64" spans="1:21" s="412" customFormat="1" ht="12.75" customHeight="1" x14ac:dyDescent="0.3">
      <c r="A64" s="470"/>
      <c r="B64" s="409"/>
      <c r="C64" s="445" t="s">
        <v>147</v>
      </c>
      <c r="D64" s="437" t="str">
        <f>IF(AND(E24&lt;2001,E24&gt;1500),"*","")</f>
        <v/>
      </c>
      <c r="E64" s="445" t="s">
        <v>148</v>
      </c>
      <c r="F64" s="437" t="str">
        <f>IF(AND(J24&lt;201,J24&gt;150),"*","")</f>
        <v/>
      </c>
      <c r="G64" s="413" t="s">
        <v>149</v>
      </c>
      <c r="H64" s="439" t="e">
        <f>IF(AND(G45&lt;18.5,G45&gt;=16.5),"*","")</f>
        <v>#DIV/0!</v>
      </c>
      <c r="I64" s="413">
        <v>8</v>
      </c>
      <c r="J64" s="413"/>
      <c r="K64" s="409"/>
      <c r="L64" s="409"/>
      <c r="M64" s="409"/>
      <c r="N64" s="409"/>
      <c r="O64" s="409"/>
      <c r="P64" s="409"/>
      <c r="Q64" s="409"/>
      <c r="R64" s="433" t="str">
        <f>IF(AND(E24&lt;2000,E24&gt;1499),I64,R65)</f>
        <v/>
      </c>
      <c r="S64" s="433" t="str">
        <f>IF(AND(J24&lt;200,J24&gt;149),I64,S65)</f>
        <v/>
      </c>
      <c r="T64" s="409"/>
      <c r="U64" s="433" t="e">
        <f>IF(AND(G45&lt;18.5,G45&gt;=16.5),I64,U65)</f>
        <v>#DIV/0!</v>
      </c>
    </row>
    <row r="65" spans="1:21" s="412" customFormat="1" ht="12.75" customHeight="1" x14ac:dyDescent="0.3">
      <c r="A65" s="470"/>
      <c r="B65" s="409"/>
      <c r="C65" s="445" t="s">
        <v>150</v>
      </c>
      <c r="D65" s="437" t="str">
        <f>IF(AND(E24&lt;=2500,E24&gt;2000),"*","")</f>
        <v/>
      </c>
      <c r="E65" s="445" t="s">
        <v>151</v>
      </c>
      <c r="F65" s="437" t="str">
        <f>IF(AND(J24&lt;251,J24&gt;200),"*","")</f>
        <v/>
      </c>
      <c r="G65" s="413" t="s">
        <v>152</v>
      </c>
      <c r="H65" s="439" t="e">
        <f>IF(AND(G45&lt;20.5,G45&gt;=18.5),"*","")</f>
        <v>#DIV/0!</v>
      </c>
      <c r="I65" s="413">
        <v>9</v>
      </c>
      <c r="J65" s="413"/>
      <c r="K65" s="409"/>
      <c r="L65" s="409"/>
      <c r="M65" s="409"/>
      <c r="N65" s="409"/>
      <c r="O65" s="409"/>
      <c r="P65" s="409"/>
      <c r="Q65" s="409"/>
      <c r="R65" s="433" t="str">
        <f>IF(AND(E24&lt;=2500,E24&gt;1999),I65,R66)</f>
        <v/>
      </c>
      <c r="S65" s="433" t="str">
        <f>IF(AND(J24&lt;250,J24&gt;199),I65,S66)</f>
        <v/>
      </c>
      <c r="T65" s="409"/>
      <c r="U65" s="433" t="e">
        <f>IF(AND(G45&lt;20.5,G45&gt;=18.5),I65,U66)</f>
        <v>#DIV/0!</v>
      </c>
    </row>
    <row r="66" spans="1:21" s="412" customFormat="1" ht="12.75" customHeight="1" x14ac:dyDescent="0.3">
      <c r="A66" s="470"/>
      <c r="B66" s="409"/>
      <c r="C66" s="413" t="s">
        <v>153</v>
      </c>
      <c r="D66" s="437" t="str">
        <f>IF(E24&gt;2500,"*","")</f>
        <v/>
      </c>
      <c r="E66" s="413" t="s">
        <v>154</v>
      </c>
      <c r="F66" s="437" t="str">
        <f>IF(J24&gt;250,"*","")</f>
        <v/>
      </c>
      <c r="G66" s="413" t="s">
        <v>155</v>
      </c>
      <c r="H66" s="439" t="e">
        <f>IF(G45&gt;=20.5,"*","")</f>
        <v>#DIV/0!</v>
      </c>
      <c r="I66" s="413">
        <v>10</v>
      </c>
      <c r="J66" s="413"/>
      <c r="K66" s="409"/>
      <c r="L66" s="409"/>
      <c r="M66" s="409"/>
      <c r="N66" s="409"/>
      <c r="O66" s="409"/>
      <c r="P66" s="409"/>
      <c r="Q66" s="409"/>
      <c r="R66" s="433" t="str">
        <f>IF(E24&gt;2500,I66,"")</f>
        <v/>
      </c>
      <c r="S66" s="433" t="str">
        <f>IF(J24&gt;=250,I66,"")</f>
        <v/>
      </c>
      <c r="T66" s="409"/>
      <c r="U66" s="433" t="e">
        <f>IF(G45&gt;=20.5,I66,"")</f>
        <v>#DIV/0!</v>
      </c>
    </row>
    <row r="67" spans="1:21" s="412" customFormat="1" ht="13" x14ac:dyDescent="0.3">
      <c r="A67" s="470"/>
      <c r="B67" s="409"/>
      <c r="C67" s="409"/>
      <c r="D67" s="409"/>
      <c r="E67" s="409" t="s">
        <v>156</v>
      </c>
      <c r="F67" s="409"/>
      <c r="G67" s="409"/>
      <c r="H67" s="436"/>
      <c r="I67" s="409"/>
      <c r="J67" s="413"/>
      <c r="K67" s="409"/>
      <c r="L67" s="409"/>
      <c r="M67" s="409"/>
      <c r="N67" s="409"/>
      <c r="O67" s="409"/>
      <c r="P67" s="409"/>
      <c r="Q67" s="409"/>
      <c r="R67" s="409"/>
    </row>
    <row r="68" spans="1:21" s="412" customFormat="1" ht="13" x14ac:dyDescent="0.3">
      <c r="A68" s="470"/>
      <c r="B68" s="409"/>
      <c r="C68" s="409"/>
      <c r="D68" s="409"/>
      <c r="E68" s="409" t="s">
        <v>157</v>
      </c>
      <c r="F68" s="409"/>
      <c r="G68" s="409"/>
      <c r="H68" s="409"/>
      <c r="I68" s="409"/>
      <c r="J68" s="413"/>
      <c r="K68" s="409"/>
      <c r="L68" s="409"/>
      <c r="M68" s="409"/>
      <c r="N68" s="409"/>
      <c r="O68" s="409"/>
      <c r="P68" s="409"/>
      <c r="Q68" s="409"/>
      <c r="R68" s="409"/>
    </row>
  </sheetData>
  <sheetProtection algorithmName="SHA-512" hashValue="ocJq98jKTmQWDdVmkrtWpUFhyzExx+j33fUpFNekQZxSWbcUupzKePg9Eiy0Gxf3Lbn+Sj5tm++Csmvbc/YZwA==" saltValue="uobW0z7aaIVU+3zZXWxnqw==" spinCount="100000" sheet="1" selectLockedCells="1"/>
  <mergeCells count="3">
    <mergeCell ref="D2:E2"/>
    <mergeCell ref="A51:A68"/>
    <mergeCell ref="G4:H5"/>
  </mergeCells>
  <conditionalFormatting sqref="J1">
    <cfRule type="expression" dxfId="13" priority="14" stopIfTrue="1">
      <formula>ISERROR(J1)</formula>
    </cfRule>
  </conditionalFormatting>
  <conditionalFormatting sqref="H56:H66">
    <cfRule type="containsErrors" dxfId="12" priority="2" stopIfTrue="1">
      <formula>ISERROR(H56)</formula>
    </cfRule>
  </conditionalFormatting>
  <conditionalFormatting sqref="G45">
    <cfRule type="containsErrors" dxfId="11" priority="1" stopIfTrue="1">
      <formula>ISERROR(G45)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8" r:id="rId3">
          <objectPr defaultSize="0" autoLine="0" autoPict="0" dde="1" r:id="rId4">
            <anchor moveWithCells="1">
              <from>
                <xdr:col>3</xdr:col>
                <xdr:colOff>95250</xdr:colOff>
                <xdr:row>44</xdr:row>
                <xdr:rowOff>12700</xdr:rowOff>
              </from>
              <to>
                <xdr:col>3</xdr:col>
                <xdr:colOff>222250</xdr:colOff>
                <xdr:row>44</xdr:row>
                <xdr:rowOff>127000</xdr:rowOff>
              </to>
            </anchor>
          </objectPr>
        </oleObject>
      </mc:Choice>
      <mc:Fallback>
        <oleObject progId="Equation.3" shapeId="1028" r:id="rId3"/>
      </mc:Fallback>
    </mc:AlternateContent>
    <mc:AlternateContent xmlns:mc="http://schemas.openxmlformats.org/markup-compatibility/2006">
      <mc:Choice Requires="x14">
        <oleObject progId="Equation.3" shapeId="1029" r:id="rId5">
          <objectPr defaultSize="0" autoLine="0" autoPict="0" dde="1" r:id="rId6">
            <anchor moveWithCells="1">
              <from>
                <xdr:col>3</xdr:col>
                <xdr:colOff>355600</xdr:colOff>
                <xdr:row>44</xdr:row>
                <xdr:rowOff>31750</xdr:rowOff>
              </from>
              <to>
                <xdr:col>3</xdr:col>
                <xdr:colOff>584200</xdr:colOff>
                <xdr:row>44</xdr:row>
                <xdr:rowOff>146050</xdr:rowOff>
              </to>
            </anchor>
          </objectPr>
        </oleObject>
      </mc:Choice>
      <mc:Fallback>
        <oleObject progId="Equation.3" shapeId="1029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44"/>
  <sheetViews>
    <sheetView showGridLines="0" workbookViewId="0">
      <selection activeCell="M18" sqref="M18"/>
    </sheetView>
  </sheetViews>
  <sheetFormatPr defaultColWidth="9.1796875" defaultRowHeight="15.75" customHeight="1" x14ac:dyDescent="0.35"/>
  <cols>
    <col min="1" max="1" width="3.453125" style="264" customWidth="1"/>
    <col min="2" max="3" width="7" style="264" customWidth="1"/>
    <col min="4" max="4" width="10.453125" style="264" customWidth="1"/>
    <col min="5" max="14" width="7" style="264" customWidth="1"/>
    <col min="15" max="15" width="3.453125" style="264" customWidth="1"/>
    <col min="16" max="18" width="9.1796875" style="264" customWidth="1"/>
    <col min="19" max="16384" width="9.1796875" style="264"/>
  </cols>
  <sheetData>
    <row r="1" spans="1:22" ht="14.5" x14ac:dyDescent="0.35">
      <c r="A1" s="116"/>
      <c r="B1" s="116"/>
      <c r="C1" s="116"/>
      <c r="D1" s="474" t="s">
        <v>207</v>
      </c>
      <c r="E1" s="474"/>
      <c r="F1" s="474"/>
      <c r="G1" s="474"/>
      <c r="H1" s="474"/>
      <c r="I1" s="474"/>
      <c r="J1" s="474"/>
      <c r="K1" s="474"/>
      <c r="L1" s="116"/>
      <c r="M1" s="116"/>
      <c r="N1" s="116"/>
      <c r="O1" s="116"/>
    </row>
    <row r="2" spans="1:22" ht="14.5" x14ac:dyDescent="0.35">
      <c r="A2" s="116"/>
      <c r="B2" s="116"/>
      <c r="C2" s="116"/>
      <c r="D2" s="474"/>
      <c r="E2" s="474"/>
      <c r="F2" s="474"/>
      <c r="G2" s="474"/>
      <c r="H2" s="474"/>
      <c r="I2" s="474"/>
      <c r="J2" s="474"/>
      <c r="K2" s="474"/>
      <c r="L2" s="475" t="s">
        <v>211</v>
      </c>
      <c r="M2" s="475"/>
      <c r="N2" s="475"/>
      <c r="O2" s="116"/>
    </row>
    <row r="3" spans="1:22" ht="11.5" customHeight="1" x14ac:dyDescent="0.35">
      <c r="A3" s="202" t="s">
        <v>40</v>
      </c>
      <c r="B3" s="118"/>
      <c r="C3" s="118"/>
      <c r="D3" s="118"/>
      <c r="E3" s="118"/>
      <c r="F3" s="118"/>
      <c r="G3" s="119"/>
      <c r="H3" s="120"/>
      <c r="I3" s="119"/>
      <c r="J3" s="119"/>
      <c r="K3" s="119"/>
      <c r="L3" s="475"/>
      <c r="M3" s="475"/>
      <c r="N3" s="475"/>
      <c r="O3" s="121"/>
      <c r="P3" s="265"/>
      <c r="Q3" s="265"/>
    </row>
    <row r="4" spans="1:22" ht="11.5" customHeight="1" x14ac:dyDescent="0.35">
      <c r="A4" s="119"/>
      <c r="B4" s="119"/>
      <c r="C4" s="119"/>
      <c r="D4" s="119"/>
      <c r="E4" s="119"/>
      <c r="F4" s="119"/>
      <c r="G4" s="119"/>
      <c r="H4" s="120"/>
      <c r="I4" s="119"/>
      <c r="J4" s="119"/>
      <c r="K4" s="122"/>
      <c r="L4" s="475"/>
      <c r="M4" s="475"/>
      <c r="N4" s="475"/>
      <c r="O4" s="121"/>
      <c r="P4" s="265"/>
      <c r="Q4" s="265"/>
    </row>
    <row r="5" spans="1:22" ht="11.5" customHeight="1" thickBot="1" x14ac:dyDescent="0.4">
      <c r="A5" s="123"/>
      <c r="B5" s="119"/>
      <c r="C5" s="119"/>
      <c r="D5" s="119"/>
      <c r="E5" s="119"/>
      <c r="F5" s="119"/>
      <c r="G5" s="119"/>
      <c r="H5" s="119"/>
      <c r="I5" s="119"/>
      <c r="J5" s="119"/>
      <c r="K5" s="122"/>
      <c r="L5" s="121"/>
      <c r="M5" s="121"/>
      <c r="N5" s="121"/>
      <c r="O5" s="121"/>
      <c r="P5" s="265"/>
      <c r="Q5" s="265"/>
    </row>
    <row r="6" spans="1:22" ht="16" customHeight="1" x14ac:dyDescent="0.35">
      <c r="A6" s="119" t="s">
        <v>41</v>
      </c>
      <c r="B6" s="124"/>
      <c r="C6" s="125"/>
      <c r="D6" s="126"/>
      <c r="E6" s="126"/>
      <c r="F6" s="126"/>
      <c r="G6" s="126"/>
      <c r="H6" s="125"/>
      <c r="I6" s="125"/>
      <c r="J6" s="125"/>
      <c r="K6" s="126"/>
      <c r="L6" s="127"/>
      <c r="M6" s="127"/>
      <c r="N6" s="128"/>
      <c r="O6" s="121"/>
      <c r="V6" s="251"/>
    </row>
    <row r="7" spans="1:22" ht="16" customHeight="1" x14ac:dyDescent="0.35">
      <c r="A7" s="119"/>
      <c r="B7" s="129" t="s">
        <v>42</v>
      </c>
      <c r="C7" s="130"/>
      <c r="D7" s="131"/>
      <c r="E7" s="472" t="s">
        <v>43</v>
      </c>
      <c r="F7" s="472"/>
      <c r="G7" s="472"/>
      <c r="H7" s="472"/>
      <c r="I7" s="472"/>
      <c r="J7" s="472"/>
      <c r="K7" s="472"/>
      <c r="L7" s="132"/>
      <c r="M7" s="133"/>
      <c r="N7" s="134"/>
      <c r="O7" s="121"/>
      <c r="V7" s="266"/>
    </row>
    <row r="8" spans="1:22" ht="16" customHeight="1" x14ac:dyDescent="0.35">
      <c r="A8" s="119"/>
      <c r="B8" s="129" t="s">
        <v>44</v>
      </c>
      <c r="C8" s="130"/>
      <c r="D8" s="131"/>
      <c r="E8" s="131"/>
      <c r="F8" s="131"/>
      <c r="G8" s="120"/>
      <c r="H8" s="395" t="s">
        <v>221</v>
      </c>
      <c r="I8" s="130"/>
      <c r="J8" s="130"/>
      <c r="K8" s="131"/>
      <c r="L8" s="132"/>
      <c r="M8" s="131" t="s">
        <v>45</v>
      </c>
      <c r="N8" s="134"/>
      <c r="O8" s="121"/>
      <c r="V8" s="266"/>
    </row>
    <row r="9" spans="1:22" ht="16" customHeight="1" x14ac:dyDescent="0.35">
      <c r="A9" s="119"/>
      <c r="B9" s="135"/>
      <c r="C9" s="130"/>
      <c r="D9" s="136"/>
      <c r="E9" s="137" t="s">
        <v>46</v>
      </c>
      <c r="F9" s="138"/>
      <c r="G9" s="139" t="s">
        <v>47</v>
      </c>
      <c r="H9" s="138"/>
      <c r="I9" s="139" t="s">
        <v>48</v>
      </c>
      <c r="J9" s="138"/>
      <c r="K9" s="139" t="s">
        <v>49</v>
      </c>
      <c r="L9" s="130"/>
      <c r="M9" s="131" t="s">
        <v>50</v>
      </c>
      <c r="N9" s="134"/>
      <c r="O9" s="121"/>
      <c r="V9" s="266"/>
    </row>
    <row r="10" spans="1:22" ht="16" customHeight="1" x14ac:dyDescent="0.35">
      <c r="A10" s="119"/>
      <c r="B10" s="135"/>
      <c r="C10" s="130"/>
      <c r="D10" s="136"/>
      <c r="E10" s="131"/>
      <c r="F10" s="130"/>
      <c r="G10" s="132"/>
      <c r="H10" s="130"/>
      <c r="I10" s="132"/>
      <c r="J10" s="130"/>
      <c r="K10" s="132"/>
      <c r="L10" s="130"/>
      <c r="M10" s="131"/>
      <c r="N10" s="134"/>
      <c r="O10" s="121"/>
      <c r="V10" s="266"/>
    </row>
    <row r="11" spans="1:22" ht="16" customHeight="1" x14ac:dyDescent="0.35">
      <c r="A11" s="119"/>
      <c r="B11" s="140" t="s">
        <v>51</v>
      </c>
      <c r="C11" s="141"/>
      <c r="D11" s="142"/>
      <c r="E11" s="143">
        <v>0</v>
      </c>
      <c r="F11" s="141"/>
      <c r="G11" s="143">
        <v>4</v>
      </c>
      <c r="H11" s="141"/>
      <c r="I11" s="143">
        <v>7</v>
      </c>
      <c r="J11" s="141"/>
      <c r="K11" s="143">
        <v>10</v>
      </c>
      <c r="L11" s="141"/>
      <c r="M11" s="332"/>
      <c r="N11" s="134"/>
      <c r="O11" s="121"/>
      <c r="V11" s="266"/>
    </row>
    <row r="12" spans="1:22" ht="16" customHeight="1" x14ac:dyDescent="0.35">
      <c r="A12" s="119"/>
      <c r="B12" s="135" t="s">
        <v>52</v>
      </c>
      <c r="C12" s="130"/>
      <c r="D12" s="136"/>
      <c r="E12" s="132">
        <v>0</v>
      </c>
      <c r="F12" s="130"/>
      <c r="G12" s="132">
        <v>5</v>
      </c>
      <c r="H12" s="130"/>
      <c r="I12" s="132">
        <v>9</v>
      </c>
      <c r="J12" s="130"/>
      <c r="K12" s="132">
        <v>12</v>
      </c>
      <c r="L12" s="130"/>
      <c r="M12" s="333"/>
      <c r="N12" s="134"/>
      <c r="O12" s="121"/>
      <c r="V12" s="251"/>
    </row>
    <row r="13" spans="1:22" ht="16" customHeight="1" x14ac:dyDescent="0.35">
      <c r="A13" s="119"/>
      <c r="B13" s="140" t="s">
        <v>53</v>
      </c>
      <c r="C13" s="141"/>
      <c r="D13" s="144"/>
      <c r="E13" s="143">
        <v>0</v>
      </c>
      <c r="F13" s="141"/>
      <c r="G13" s="143">
        <v>3</v>
      </c>
      <c r="H13" s="141"/>
      <c r="I13" s="143">
        <v>5</v>
      </c>
      <c r="J13" s="141"/>
      <c r="K13" s="143">
        <v>8</v>
      </c>
      <c r="L13" s="141"/>
      <c r="M13" s="333"/>
      <c r="N13" s="134"/>
      <c r="O13" s="121"/>
      <c r="V13" s="251"/>
    </row>
    <row r="14" spans="1:22" ht="16" customHeight="1" x14ac:dyDescent="0.35">
      <c r="A14" s="119"/>
      <c r="B14" s="135" t="s">
        <v>54</v>
      </c>
      <c r="C14" s="130"/>
      <c r="D14" s="136"/>
      <c r="E14" s="132">
        <v>0</v>
      </c>
      <c r="F14" s="130"/>
      <c r="G14" s="132">
        <v>4</v>
      </c>
      <c r="H14" s="130"/>
      <c r="I14" s="132">
        <v>7</v>
      </c>
      <c r="J14" s="130"/>
      <c r="K14" s="132">
        <v>10</v>
      </c>
      <c r="L14" s="130"/>
      <c r="M14" s="333"/>
      <c r="N14" s="134"/>
      <c r="O14" s="121"/>
      <c r="P14" s="265"/>
      <c r="Q14" s="265"/>
    </row>
    <row r="15" spans="1:22" ht="16" customHeight="1" x14ac:dyDescent="0.35">
      <c r="A15" s="119"/>
      <c r="B15" s="140" t="s">
        <v>55</v>
      </c>
      <c r="C15" s="141"/>
      <c r="D15" s="145"/>
      <c r="E15" s="146">
        <v>0</v>
      </c>
      <c r="F15" s="141"/>
      <c r="G15" s="146">
        <v>4</v>
      </c>
      <c r="H15" s="141"/>
      <c r="I15" s="146">
        <v>7</v>
      </c>
      <c r="J15" s="141"/>
      <c r="K15" s="146">
        <v>10</v>
      </c>
      <c r="L15" s="141"/>
      <c r="M15" s="333"/>
      <c r="N15" s="134"/>
      <c r="O15" s="121"/>
      <c r="P15" s="265"/>
      <c r="Q15" s="265"/>
    </row>
    <row r="16" spans="1:22" ht="16" customHeight="1" x14ac:dyDescent="0.35">
      <c r="A16" s="119"/>
      <c r="B16" s="135"/>
      <c r="C16" s="130"/>
      <c r="D16" s="147" t="s">
        <v>56</v>
      </c>
      <c r="E16" s="132">
        <f>SUM(E11:E15)</f>
        <v>0</v>
      </c>
      <c r="F16" s="130"/>
      <c r="G16" s="132">
        <f>SUM(G11:G15)</f>
        <v>20</v>
      </c>
      <c r="H16" s="130"/>
      <c r="I16" s="132">
        <f>SUM(I11:I15)</f>
        <v>35</v>
      </c>
      <c r="J16" s="130"/>
      <c r="K16" s="132">
        <f>SUM(K11:K15)</f>
        <v>50</v>
      </c>
      <c r="L16" s="130"/>
      <c r="M16" s="131"/>
      <c r="N16" s="134"/>
      <c r="O16" s="121"/>
      <c r="P16" s="265"/>
      <c r="Q16" s="265"/>
    </row>
    <row r="17" spans="1:60" ht="16" customHeight="1" x14ac:dyDescent="0.35">
      <c r="A17" s="119"/>
      <c r="B17" s="135"/>
      <c r="C17" s="130"/>
      <c r="D17" s="131"/>
      <c r="E17" s="131"/>
      <c r="F17" s="131"/>
      <c r="G17" s="130"/>
      <c r="H17" s="130"/>
      <c r="I17" s="131"/>
      <c r="J17" s="130"/>
      <c r="K17" s="131"/>
      <c r="L17" s="130"/>
      <c r="M17" s="131"/>
      <c r="N17" s="134"/>
      <c r="O17" s="121"/>
      <c r="P17" s="265"/>
      <c r="Q17" s="265"/>
    </row>
    <row r="18" spans="1:60" ht="16" customHeight="1" x14ac:dyDescent="0.35">
      <c r="A18" s="119"/>
      <c r="B18" s="148"/>
      <c r="C18" s="130"/>
      <c r="D18" s="131"/>
      <c r="E18" s="131"/>
      <c r="F18" s="131"/>
      <c r="G18" s="130"/>
      <c r="H18" s="130"/>
      <c r="I18" s="149" t="s">
        <v>57</v>
      </c>
      <c r="J18" s="130"/>
      <c r="K18" s="147" t="s">
        <v>58</v>
      </c>
      <c r="L18" s="150"/>
      <c r="M18" s="334"/>
      <c r="N18" s="134"/>
      <c r="O18" s="121"/>
      <c r="P18" s="265"/>
      <c r="Q18" s="265"/>
    </row>
    <row r="19" spans="1:60" ht="16" customHeight="1" thickBot="1" x14ac:dyDescent="0.4">
      <c r="A19" s="119"/>
      <c r="B19" s="151"/>
      <c r="C19" s="152"/>
      <c r="D19" s="153"/>
      <c r="E19" s="153"/>
      <c r="F19" s="153"/>
      <c r="G19" s="153"/>
      <c r="H19" s="152"/>
      <c r="I19" s="152"/>
      <c r="J19" s="152"/>
      <c r="K19" s="154"/>
      <c r="L19" s="155"/>
      <c r="M19" s="331" t="s">
        <v>208</v>
      </c>
      <c r="N19" s="156"/>
      <c r="O19" s="121"/>
      <c r="P19" s="265"/>
      <c r="Q19" s="265"/>
    </row>
    <row r="20" spans="1:60" ht="16" customHeight="1" x14ac:dyDescent="0.35">
      <c r="A20" s="119"/>
      <c r="B20" s="119"/>
      <c r="C20" s="119"/>
      <c r="D20" s="119"/>
      <c r="E20" s="119"/>
      <c r="F20" s="119"/>
      <c r="G20" s="119"/>
      <c r="H20" s="157"/>
      <c r="I20" s="158"/>
      <c r="J20" s="119"/>
      <c r="K20" s="159"/>
      <c r="L20" s="160"/>
      <c r="M20" s="161"/>
      <c r="N20" s="161"/>
      <c r="O20" s="121"/>
      <c r="P20" s="265"/>
      <c r="Q20" s="265"/>
    </row>
    <row r="21" spans="1:60" ht="16" customHeight="1" x14ac:dyDescent="0.35">
      <c r="A21" s="119"/>
      <c r="B21" s="119"/>
      <c r="C21" s="119"/>
      <c r="D21" s="119"/>
      <c r="E21" s="119"/>
      <c r="F21" s="473" t="s">
        <v>85</v>
      </c>
      <c r="G21" s="473"/>
      <c r="H21" s="473"/>
      <c r="I21" s="119"/>
      <c r="J21" s="119"/>
      <c r="K21" s="119"/>
      <c r="L21" s="122"/>
      <c r="M21" s="119"/>
      <c r="N21" s="120"/>
      <c r="O21" s="121"/>
      <c r="P21" s="265"/>
      <c r="Q21" s="265"/>
    </row>
    <row r="22" spans="1:60" ht="16" customHeight="1" x14ac:dyDescent="0.35">
      <c r="A22" s="119"/>
      <c r="B22" s="119"/>
      <c r="C22" s="119"/>
      <c r="D22" s="119"/>
      <c r="E22" s="119"/>
      <c r="F22" s="473"/>
      <c r="G22" s="473"/>
      <c r="H22" s="473"/>
      <c r="I22" s="119"/>
      <c r="J22" s="119"/>
      <c r="K22" s="119"/>
      <c r="L22" s="122"/>
      <c r="M22" s="119"/>
      <c r="N22" s="120"/>
      <c r="O22" s="121"/>
      <c r="P22" s="265"/>
      <c r="Q22" s="265"/>
    </row>
    <row r="23" spans="1:60" ht="16" customHeight="1" x14ac:dyDescent="0.35">
      <c r="A23" s="202" t="s">
        <v>59</v>
      </c>
      <c r="B23" s="117"/>
      <c r="C23" s="118"/>
      <c r="D23" s="118"/>
      <c r="E23" s="118"/>
      <c r="F23" s="118"/>
      <c r="G23" s="118"/>
      <c r="H23" s="118"/>
      <c r="I23" s="118"/>
      <c r="J23" s="119"/>
      <c r="K23" s="119"/>
      <c r="L23" s="119"/>
      <c r="M23" s="119"/>
      <c r="N23" s="119"/>
      <c r="O23" s="121"/>
      <c r="P23" s="265"/>
      <c r="Q23" s="265"/>
    </row>
    <row r="24" spans="1:60" ht="16" customHeight="1" thickBot="1" x14ac:dyDescent="0.4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22"/>
      <c r="M24" s="119"/>
      <c r="N24" s="119"/>
      <c r="O24" s="121"/>
      <c r="P24" s="265"/>
      <c r="Q24" s="265"/>
    </row>
    <row r="25" spans="1:60" ht="16" customHeight="1" x14ac:dyDescent="0.35">
      <c r="A25" s="119"/>
      <c r="B25" s="162" t="s">
        <v>42</v>
      </c>
      <c r="C25" s="163"/>
      <c r="D25" s="164"/>
      <c r="E25" s="164"/>
      <c r="F25" s="165" t="s">
        <v>60</v>
      </c>
      <c r="G25" s="164"/>
      <c r="H25" s="164"/>
      <c r="I25" s="166"/>
      <c r="J25" s="166"/>
      <c r="K25" s="164"/>
      <c r="L25" s="165"/>
      <c r="M25" s="164"/>
      <c r="N25" s="167"/>
      <c r="O25" s="121"/>
      <c r="P25" s="265"/>
      <c r="Q25" s="265"/>
    </row>
    <row r="26" spans="1:60" ht="16" customHeight="1" x14ac:dyDescent="0.35">
      <c r="A26" s="119"/>
      <c r="B26" s="168" t="s">
        <v>61</v>
      </c>
      <c r="C26" s="169"/>
      <c r="D26" s="396" t="s">
        <v>221</v>
      </c>
      <c r="E26" s="132"/>
      <c r="F26" s="132"/>
      <c r="G26" s="132"/>
      <c r="H26" s="136"/>
      <c r="I26" s="130"/>
      <c r="J26" s="130"/>
      <c r="K26" s="131"/>
      <c r="L26" s="132"/>
      <c r="M26" s="132" t="s">
        <v>62</v>
      </c>
      <c r="N26" s="170"/>
      <c r="O26" s="121"/>
      <c r="P26" s="265"/>
      <c r="Q26" s="265"/>
    </row>
    <row r="27" spans="1:60" ht="16" customHeight="1" x14ac:dyDescent="0.35">
      <c r="A27" s="119"/>
      <c r="B27" s="168"/>
      <c r="C27" s="169"/>
      <c r="D27" s="136"/>
      <c r="E27" s="137" t="s">
        <v>46</v>
      </c>
      <c r="F27" s="138"/>
      <c r="G27" s="139" t="s">
        <v>47</v>
      </c>
      <c r="H27" s="138"/>
      <c r="I27" s="139" t="s">
        <v>48</v>
      </c>
      <c r="J27" s="138"/>
      <c r="K27" s="139" t="s">
        <v>49</v>
      </c>
      <c r="L27" s="132"/>
      <c r="M27" s="131" t="s">
        <v>63</v>
      </c>
      <c r="N27" s="170"/>
      <c r="O27" s="121"/>
      <c r="P27" s="265"/>
      <c r="Q27" s="265"/>
    </row>
    <row r="28" spans="1:60" ht="16" customHeight="1" x14ac:dyDescent="0.35">
      <c r="A28" s="119"/>
      <c r="B28" s="168"/>
      <c r="C28" s="169"/>
      <c r="D28" s="136"/>
      <c r="E28" s="131"/>
      <c r="F28" s="130"/>
      <c r="G28" s="132"/>
      <c r="H28" s="130"/>
      <c r="I28" s="132"/>
      <c r="J28" s="130"/>
      <c r="K28" s="130"/>
      <c r="L28" s="132"/>
      <c r="M28" s="131"/>
      <c r="N28" s="170"/>
      <c r="O28" s="121"/>
      <c r="P28" s="265"/>
      <c r="Q28" s="265"/>
    </row>
    <row r="29" spans="1:60" ht="16" customHeight="1" x14ac:dyDescent="0.35">
      <c r="A29" s="119"/>
      <c r="B29" s="171" t="s">
        <v>64</v>
      </c>
      <c r="C29" s="172"/>
      <c r="D29" s="142"/>
      <c r="E29" s="143">
        <v>0</v>
      </c>
      <c r="F29" s="141"/>
      <c r="G29" s="143">
        <v>4</v>
      </c>
      <c r="H29" s="141"/>
      <c r="I29" s="143">
        <v>6</v>
      </c>
      <c r="J29" s="141"/>
      <c r="K29" s="143">
        <v>8</v>
      </c>
      <c r="L29" s="143"/>
      <c r="M29" s="332"/>
      <c r="N29" s="170"/>
      <c r="O29" s="121"/>
      <c r="P29" s="265"/>
      <c r="Q29" s="265"/>
    </row>
    <row r="30" spans="1:60" ht="16" customHeight="1" x14ac:dyDescent="0.35">
      <c r="A30" s="119"/>
      <c r="B30" s="168" t="s">
        <v>53</v>
      </c>
      <c r="C30" s="160"/>
      <c r="D30" s="136"/>
      <c r="E30" s="132">
        <v>0</v>
      </c>
      <c r="F30" s="130"/>
      <c r="G30" s="132">
        <v>2</v>
      </c>
      <c r="H30" s="130"/>
      <c r="I30" s="132">
        <v>4</v>
      </c>
      <c r="J30" s="130"/>
      <c r="K30" s="132">
        <v>4</v>
      </c>
      <c r="L30" s="132"/>
      <c r="M30" s="333"/>
      <c r="N30" s="170"/>
      <c r="O30" s="121"/>
      <c r="P30" s="265"/>
      <c r="Q30" s="265"/>
    </row>
    <row r="31" spans="1:60" ht="16" customHeight="1" x14ac:dyDescent="0.35">
      <c r="A31" s="119"/>
      <c r="B31" s="171" t="s">
        <v>65</v>
      </c>
      <c r="C31" s="172"/>
      <c r="D31" s="144"/>
      <c r="E31" s="143">
        <v>0</v>
      </c>
      <c r="F31" s="141"/>
      <c r="G31" s="143">
        <v>4</v>
      </c>
      <c r="H31" s="141"/>
      <c r="I31" s="143">
        <v>7</v>
      </c>
      <c r="J31" s="141"/>
      <c r="K31" s="143">
        <v>9</v>
      </c>
      <c r="L31" s="143"/>
      <c r="M31" s="333"/>
      <c r="N31" s="170"/>
      <c r="O31" s="121"/>
      <c r="P31" s="265"/>
      <c r="Q31" s="265"/>
      <c r="T31" s="267"/>
      <c r="U31" s="267"/>
      <c r="V31" s="268"/>
      <c r="W31" s="267"/>
      <c r="X31" s="267"/>
      <c r="Y31" s="267"/>
      <c r="Z31" s="267"/>
      <c r="AA31" s="267"/>
      <c r="AB31" s="267"/>
      <c r="AC31" s="268"/>
      <c r="AD31" s="269"/>
      <c r="AE31" s="268"/>
      <c r="AF31" s="268"/>
    </row>
    <row r="32" spans="1:60" ht="16" customHeight="1" x14ac:dyDescent="0.35">
      <c r="A32" s="119"/>
      <c r="B32" s="168" t="s">
        <v>203</v>
      </c>
      <c r="C32" s="160"/>
      <c r="D32" s="136"/>
      <c r="E32" s="132">
        <v>0</v>
      </c>
      <c r="F32" s="130"/>
      <c r="G32" s="132">
        <v>2</v>
      </c>
      <c r="H32" s="130"/>
      <c r="I32" s="132">
        <v>4</v>
      </c>
      <c r="J32" s="130"/>
      <c r="K32" s="132">
        <v>7</v>
      </c>
      <c r="L32" s="132"/>
      <c r="M32" s="333"/>
      <c r="N32" s="170"/>
      <c r="O32" s="121"/>
      <c r="P32" s="265"/>
      <c r="Q32" s="265"/>
      <c r="T32" s="267"/>
      <c r="U32" s="267"/>
      <c r="V32" s="267"/>
      <c r="W32" s="267"/>
      <c r="X32" s="267"/>
      <c r="Y32" s="267"/>
      <c r="Z32" s="267"/>
      <c r="AA32" s="267"/>
      <c r="AB32" s="267"/>
      <c r="AC32" s="270"/>
      <c r="AD32" s="271"/>
      <c r="AE32" s="268"/>
      <c r="AF32" s="268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</row>
    <row r="33" spans="1:60" ht="16" customHeight="1" x14ac:dyDescent="0.35">
      <c r="A33" s="119"/>
      <c r="B33" s="171" t="s">
        <v>66</v>
      </c>
      <c r="C33" s="172"/>
      <c r="D33" s="142"/>
      <c r="E33" s="143">
        <v>0</v>
      </c>
      <c r="F33" s="141"/>
      <c r="G33" s="143">
        <v>2</v>
      </c>
      <c r="H33" s="141"/>
      <c r="I33" s="143">
        <v>4</v>
      </c>
      <c r="J33" s="141"/>
      <c r="K33" s="143">
        <v>6</v>
      </c>
      <c r="L33" s="143"/>
      <c r="M33" s="333"/>
      <c r="N33" s="170"/>
      <c r="O33" s="121"/>
      <c r="P33" s="265"/>
      <c r="Q33" s="265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8"/>
      <c r="AV33" s="272"/>
      <c r="AW33" s="272"/>
      <c r="AX33" s="273"/>
      <c r="AY33" s="274"/>
      <c r="AZ33" s="275"/>
      <c r="BA33" s="272"/>
      <c r="BB33" s="276"/>
      <c r="BC33" s="273"/>
      <c r="BD33" s="272"/>
      <c r="BE33" s="272"/>
      <c r="BF33" s="272"/>
      <c r="BG33" s="272"/>
      <c r="BH33" s="272"/>
    </row>
    <row r="34" spans="1:60" ht="16" customHeight="1" x14ac:dyDescent="0.35">
      <c r="A34" s="119"/>
      <c r="B34" s="168" t="s">
        <v>55</v>
      </c>
      <c r="C34" s="160"/>
      <c r="D34" s="136"/>
      <c r="E34" s="132">
        <v>0</v>
      </c>
      <c r="F34" s="130"/>
      <c r="G34" s="132">
        <v>3</v>
      </c>
      <c r="H34" s="130"/>
      <c r="I34" s="132">
        <v>5</v>
      </c>
      <c r="J34" s="130"/>
      <c r="K34" s="132">
        <v>8</v>
      </c>
      <c r="L34" s="132"/>
      <c r="M34" s="333"/>
      <c r="N34" s="170"/>
      <c r="O34" s="121"/>
      <c r="P34" s="265"/>
      <c r="Q34" s="265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8"/>
      <c r="AF34" s="268"/>
      <c r="AV34" s="272"/>
      <c r="AW34" s="272"/>
      <c r="AX34" s="273"/>
      <c r="AY34" s="273"/>
      <c r="AZ34" s="273"/>
      <c r="BA34" s="272"/>
      <c r="BB34" s="272"/>
      <c r="BC34" s="272"/>
      <c r="BD34" s="272"/>
      <c r="BE34" s="272"/>
      <c r="BF34" s="272"/>
      <c r="BG34" s="272"/>
      <c r="BH34" s="272"/>
    </row>
    <row r="35" spans="1:60" ht="16" customHeight="1" x14ac:dyDescent="0.35">
      <c r="A35" s="119"/>
      <c r="B35" s="171" t="s">
        <v>67</v>
      </c>
      <c r="C35" s="172"/>
      <c r="D35" s="144"/>
      <c r="E35" s="146">
        <v>0</v>
      </c>
      <c r="F35" s="141"/>
      <c r="G35" s="146">
        <v>3</v>
      </c>
      <c r="H35" s="141"/>
      <c r="I35" s="146">
        <v>5</v>
      </c>
      <c r="J35" s="141"/>
      <c r="K35" s="146">
        <v>8</v>
      </c>
      <c r="L35" s="143"/>
      <c r="M35" s="333"/>
      <c r="N35" s="170"/>
      <c r="O35" s="121"/>
      <c r="P35" s="265"/>
      <c r="Q35" s="265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8"/>
      <c r="AV35" s="272"/>
      <c r="AW35" s="272"/>
      <c r="AX35" s="272"/>
      <c r="AY35" s="272"/>
      <c r="AZ35" s="272"/>
      <c r="BA35" s="272"/>
      <c r="BB35" s="272"/>
      <c r="BC35" s="272"/>
      <c r="BD35" s="272"/>
      <c r="BE35" s="272"/>
      <c r="BF35" s="272"/>
      <c r="BG35" s="272"/>
      <c r="BH35" s="272"/>
    </row>
    <row r="36" spans="1:60" ht="16" customHeight="1" x14ac:dyDescent="0.35">
      <c r="A36" s="119"/>
      <c r="B36" s="168"/>
      <c r="C36" s="169"/>
      <c r="D36" s="131"/>
      <c r="E36" s="132">
        <f>SUM(E29:E35)</f>
        <v>0</v>
      </c>
      <c r="F36" s="130"/>
      <c r="G36" s="132">
        <f>SUM(G29:G35)</f>
        <v>20</v>
      </c>
      <c r="H36" s="130"/>
      <c r="I36" s="132">
        <f>SUM(I29:I35)</f>
        <v>35</v>
      </c>
      <c r="J36" s="130"/>
      <c r="K36" s="132">
        <f>SUM(K29:K35)</f>
        <v>50</v>
      </c>
      <c r="L36" s="132"/>
      <c r="M36" s="131"/>
      <c r="N36" s="170"/>
      <c r="O36" s="121"/>
      <c r="P36" s="265"/>
      <c r="Q36" s="265"/>
      <c r="T36" s="277"/>
      <c r="U36" s="277"/>
      <c r="V36" s="277"/>
      <c r="W36" s="277"/>
      <c r="X36" s="277"/>
      <c r="Y36" s="277"/>
      <c r="Z36" s="267"/>
      <c r="AA36" s="267"/>
      <c r="AB36" s="267"/>
      <c r="AC36" s="267"/>
      <c r="AD36" s="278"/>
      <c r="AE36" s="268"/>
      <c r="AG36" s="279"/>
      <c r="AH36" s="279"/>
      <c r="AV36" s="272"/>
      <c r="AW36" s="273"/>
      <c r="AX36" s="273"/>
      <c r="AY36" s="273"/>
      <c r="AZ36" s="273"/>
      <c r="BA36" s="280"/>
      <c r="BB36" s="281"/>
      <c r="BC36" s="282"/>
      <c r="BD36" s="282"/>
      <c r="BE36" s="283"/>
      <c r="BF36" s="273"/>
      <c r="BG36" s="273"/>
      <c r="BH36" s="273"/>
    </row>
    <row r="37" spans="1:60" ht="16" customHeight="1" x14ac:dyDescent="0.35">
      <c r="A37" s="119" t="s">
        <v>68</v>
      </c>
      <c r="B37" s="173"/>
      <c r="C37" s="169"/>
      <c r="D37" s="131"/>
      <c r="E37" s="131"/>
      <c r="F37" s="130"/>
      <c r="G37" s="116"/>
      <c r="H37" s="116"/>
      <c r="I37" s="149" t="s">
        <v>69</v>
      </c>
      <c r="J37" s="130"/>
      <c r="K37" s="147" t="s">
        <v>58</v>
      </c>
      <c r="L37" s="132"/>
      <c r="M37" s="334"/>
      <c r="N37" s="170"/>
      <c r="O37" s="121"/>
      <c r="P37" s="265"/>
      <c r="Q37" s="265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78"/>
      <c r="AE37" s="268"/>
      <c r="AG37" s="279"/>
      <c r="AH37" s="279"/>
      <c r="AV37" s="272"/>
      <c r="AW37" s="273"/>
      <c r="AX37" s="284"/>
      <c r="AY37" s="285"/>
      <c r="AZ37" s="273"/>
      <c r="BA37" s="284"/>
      <c r="BB37" s="286"/>
      <c r="BC37" s="275"/>
      <c r="BD37" s="284"/>
      <c r="BE37" s="284"/>
      <c r="BF37" s="273"/>
      <c r="BG37" s="273"/>
      <c r="BH37" s="273"/>
    </row>
    <row r="38" spans="1:60" ht="16" customHeight="1" thickBot="1" x14ac:dyDescent="0.4">
      <c r="A38" s="119"/>
      <c r="B38" s="174"/>
      <c r="C38" s="175"/>
      <c r="D38" s="176"/>
      <c r="E38" s="176"/>
      <c r="F38" s="176"/>
      <c r="G38" s="176"/>
      <c r="H38" s="177"/>
      <c r="I38" s="178"/>
      <c r="J38" s="178"/>
      <c r="K38" s="176"/>
      <c r="L38" s="179"/>
      <c r="M38" s="331" t="s">
        <v>208</v>
      </c>
      <c r="N38" s="180"/>
      <c r="O38" s="121"/>
      <c r="P38" s="265"/>
      <c r="Q38" s="287"/>
      <c r="R38" s="287"/>
      <c r="S38" s="287"/>
      <c r="T38" s="287"/>
      <c r="U38" s="287"/>
      <c r="V38" s="287"/>
      <c r="W38" s="287"/>
      <c r="X38" s="287"/>
      <c r="Y38" s="272"/>
      <c r="Z38" s="287"/>
      <c r="AA38" s="287"/>
      <c r="AB38" s="267"/>
      <c r="AC38" s="267"/>
      <c r="AD38" s="278"/>
      <c r="AE38" s="268"/>
      <c r="AG38" s="288"/>
      <c r="AH38" s="289"/>
      <c r="AV38" s="272"/>
      <c r="AW38" s="273"/>
      <c r="AX38" s="290"/>
      <c r="AY38" s="275"/>
      <c r="AZ38" s="273"/>
      <c r="BA38" s="273"/>
      <c r="BB38" s="286"/>
      <c r="BC38" s="284"/>
      <c r="BD38" s="273"/>
      <c r="BE38" s="273"/>
      <c r="BF38" s="273"/>
      <c r="BG38" s="273"/>
      <c r="BH38" s="273"/>
    </row>
    <row r="39" spans="1:60" ht="11.5" customHeight="1" x14ac:dyDescent="0.35">
      <c r="A39" s="120"/>
      <c r="B39" s="120"/>
      <c r="C39" s="120"/>
      <c r="D39" s="120"/>
      <c r="E39" s="120"/>
      <c r="F39" s="120"/>
      <c r="G39" s="120"/>
      <c r="H39" s="120"/>
      <c r="I39" s="120"/>
      <c r="J39" s="119"/>
      <c r="K39" s="122"/>
      <c r="L39" s="121"/>
      <c r="M39" s="121"/>
      <c r="N39" s="121"/>
      <c r="O39" s="121"/>
      <c r="P39" s="265"/>
      <c r="Q39" s="287"/>
      <c r="R39" s="291"/>
      <c r="S39" s="292"/>
      <c r="T39" s="292"/>
      <c r="U39" s="292"/>
      <c r="V39" s="292"/>
      <c r="W39" s="292"/>
      <c r="X39" s="292"/>
      <c r="Y39" s="292"/>
      <c r="Z39" s="287"/>
      <c r="AA39" s="287"/>
      <c r="AB39" s="267"/>
      <c r="AC39" s="267"/>
      <c r="AD39" s="278"/>
      <c r="AE39" s="268"/>
      <c r="AG39" s="279"/>
      <c r="AH39" s="279"/>
      <c r="AV39" s="272"/>
      <c r="AW39" s="273"/>
      <c r="AX39" s="290"/>
      <c r="AY39" s="290"/>
      <c r="AZ39" s="273"/>
      <c r="BA39" s="273"/>
      <c r="BB39" s="272"/>
      <c r="BC39" s="272"/>
      <c r="BD39" s="273"/>
      <c r="BE39" s="273"/>
      <c r="BF39" s="273"/>
      <c r="BG39" s="273"/>
      <c r="BH39" s="273"/>
    </row>
    <row r="40" spans="1:60" ht="11.5" customHeight="1" x14ac:dyDescent="0.35">
      <c r="A40" s="120"/>
      <c r="B40" s="120"/>
      <c r="C40" s="120"/>
      <c r="D40" s="120"/>
      <c r="E40" s="120"/>
      <c r="F40" s="120"/>
      <c r="G40" s="120"/>
      <c r="H40" s="120"/>
      <c r="I40" s="120"/>
      <c r="J40" s="119"/>
      <c r="K40" s="122"/>
      <c r="L40" s="121"/>
      <c r="M40" s="121"/>
      <c r="N40" s="121"/>
      <c r="O40" s="121"/>
      <c r="P40" s="265"/>
      <c r="Q40" s="287"/>
      <c r="R40" s="287"/>
      <c r="S40" s="287"/>
      <c r="T40" s="287"/>
      <c r="U40" s="287"/>
      <c r="V40" s="287"/>
      <c r="W40" s="287"/>
      <c r="X40" s="287"/>
      <c r="Y40" s="272"/>
      <c r="Z40" s="287"/>
      <c r="AA40" s="287"/>
      <c r="AB40" s="267"/>
      <c r="AC40" s="267"/>
      <c r="AD40" s="278"/>
      <c r="AE40" s="268"/>
      <c r="AG40" s="279"/>
      <c r="AH40" s="279"/>
      <c r="AV40" s="272"/>
      <c r="AW40" s="293"/>
      <c r="AX40" s="294"/>
      <c r="AY40" s="294"/>
      <c r="AZ40" s="294"/>
      <c r="BA40" s="293"/>
      <c r="BB40" s="293"/>
      <c r="BC40" s="293"/>
      <c r="BD40" s="293"/>
      <c r="BE40" s="295"/>
      <c r="BF40" s="273"/>
      <c r="BG40" s="273"/>
      <c r="BH40" s="273"/>
    </row>
    <row r="41" spans="1:60" ht="11.5" customHeight="1" x14ac:dyDescent="0.35">
      <c r="A41" s="120"/>
      <c r="B41" s="120"/>
      <c r="C41" s="120"/>
      <c r="D41" s="120"/>
      <c r="E41" s="120"/>
      <c r="F41" s="120"/>
      <c r="G41" s="120"/>
      <c r="H41" s="120"/>
      <c r="I41" s="120"/>
      <c r="J41" s="119"/>
      <c r="K41" s="122"/>
      <c r="L41" s="121"/>
      <c r="M41" s="121"/>
      <c r="N41" s="121"/>
      <c r="O41" s="121"/>
      <c r="P41" s="265"/>
      <c r="Q41" s="296"/>
      <c r="R41" s="287"/>
      <c r="S41" s="287"/>
      <c r="T41" s="293"/>
      <c r="U41" s="293"/>
      <c r="V41" s="293"/>
      <c r="W41" s="272"/>
      <c r="X41" s="287"/>
      <c r="Y41" s="297"/>
      <c r="Z41" s="272"/>
      <c r="AA41" s="287"/>
      <c r="AB41" s="267"/>
      <c r="AC41" s="267"/>
      <c r="AD41" s="278"/>
      <c r="AE41" s="268"/>
      <c r="AG41" s="279"/>
      <c r="AH41" s="279"/>
      <c r="AV41" s="272"/>
      <c r="AW41" s="273"/>
      <c r="AX41" s="273"/>
      <c r="AY41" s="275"/>
      <c r="AZ41" s="273"/>
      <c r="BA41" s="273"/>
      <c r="BB41" s="273"/>
      <c r="BC41" s="273"/>
      <c r="BD41" s="273"/>
      <c r="BE41" s="298"/>
      <c r="BF41" s="273"/>
      <c r="BG41" s="273"/>
      <c r="BH41" s="273"/>
    </row>
    <row r="42" spans="1:60" ht="15.75" customHeight="1" x14ac:dyDescent="0.35">
      <c r="B42" s="273"/>
      <c r="C42" s="272"/>
      <c r="D42" s="273"/>
      <c r="E42" s="273"/>
      <c r="F42" s="273"/>
      <c r="G42" s="273"/>
      <c r="H42" s="301"/>
      <c r="I42" s="302"/>
      <c r="J42" s="273"/>
      <c r="K42" s="275"/>
      <c r="L42" s="303"/>
      <c r="M42" s="302"/>
      <c r="N42" s="304"/>
      <c r="O42" s="265"/>
      <c r="P42" s="265"/>
      <c r="Q42" s="273"/>
      <c r="R42" s="273"/>
      <c r="S42" s="273"/>
      <c r="T42" s="273"/>
      <c r="U42" s="273"/>
      <c r="V42" s="273"/>
      <c r="W42" s="272"/>
      <c r="X42" s="287"/>
      <c r="Y42" s="299"/>
      <c r="Z42" s="287"/>
      <c r="AA42" s="287"/>
      <c r="AB42" s="300"/>
      <c r="AC42" s="267"/>
      <c r="AD42" s="278"/>
      <c r="AE42" s="268"/>
      <c r="AF42" s="268"/>
      <c r="AG42" s="279"/>
      <c r="AH42" s="279"/>
      <c r="AV42" s="272"/>
      <c r="AW42" s="275"/>
      <c r="AX42" s="275"/>
      <c r="AY42" s="275"/>
      <c r="AZ42" s="275"/>
      <c r="BA42" s="275"/>
      <c r="BB42" s="275"/>
      <c r="BC42" s="275"/>
      <c r="BD42" s="275"/>
      <c r="BE42" s="275"/>
      <c r="BF42" s="275"/>
      <c r="BG42" s="273"/>
      <c r="BH42" s="275"/>
    </row>
    <row r="43" spans="1:60" ht="15.75" customHeight="1" x14ac:dyDescent="0.35"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</row>
    <row r="44" spans="1:60" ht="15.75" customHeight="1" x14ac:dyDescent="0.35"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</row>
  </sheetData>
  <sheetProtection password="EC65" sheet="1" selectLockedCells="1"/>
  <mergeCells count="4">
    <mergeCell ref="E7:K7"/>
    <mergeCell ref="F21:H22"/>
    <mergeCell ref="D1:K2"/>
    <mergeCell ref="L2:N4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17"/>
  <sheetViews>
    <sheetView showGridLines="0" workbookViewId="0">
      <selection activeCell="D11" sqref="D11"/>
    </sheetView>
  </sheetViews>
  <sheetFormatPr defaultColWidth="0" defaultRowHeight="13" zeroHeight="1" x14ac:dyDescent="0.3"/>
  <cols>
    <col min="1" max="1" width="9.1796875" style="203" customWidth="1"/>
    <col min="2" max="11" width="9.1796875" style="214" customWidth="1"/>
    <col min="12" max="255" width="0" style="203" hidden="1" customWidth="1"/>
    <col min="256" max="16384" width="5.54296875" style="203" hidden="1"/>
  </cols>
  <sheetData>
    <row r="1" spans="1:10" x14ac:dyDescent="0.3">
      <c r="A1" s="214"/>
    </row>
    <row r="2" spans="1:10" ht="13.5" thickBot="1" x14ac:dyDescent="0.35">
      <c r="A2" s="214"/>
    </row>
    <row r="3" spans="1:10" x14ac:dyDescent="0.3">
      <c r="A3" s="214"/>
      <c r="B3" s="216"/>
      <c r="C3" s="217"/>
      <c r="D3" s="217"/>
      <c r="E3" s="217"/>
      <c r="F3" s="217"/>
      <c r="G3" s="217"/>
      <c r="H3" s="217"/>
      <c r="I3" s="217"/>
      <c r="J3" s="218"/>
    </row>
    <row r="4" spans="1:10" x14ac:dyDescent="0.3">
      <c r="A4" s="214"/>
      <c r="B4" s="219"/>
      <c r="C4" s="204"/>
      <c r="D4" s="204"/>
      <c r="E4" s="204"/>
      <c r="F4" s="204"/>
      <c r="G4" s="204"/>
      <c r="H4" s="204"/>
      <c r="I4" s="204"/>
      <c r="J4" s="220"/>
    </row>
    <row r="5" spans="1:10" x14ac:dyDescent="0.3">
      <c r="A5" s="214"/>
      <c r="B5" s="219"/>
      <c r="C5" s="204"/>
      <c r="D5" s="204"/>
      <c r="E5" s="204"/>
      <c r="F5" s="204"/>
      <c r="G5" s="204"/>
      <c r="H5" s="204"/>
      <c r="I5" s="204"/>
      <c r="J5" s="220"/>
    </row>
    <row r="6" spans="1:10" x14ac:dyDescent="0.3">
      <c r="A6" s="214"/>
      <c r="B6" s="219"/>
      <c r="C6" s="205" t="s">
        <v>165</v>
      </c>
      <c r="D6" s="71"/>
      <c r="E6" s="206"/>
      <c r="F6" s="206"/>
      <c r="G6" s="207"/>
      <c r="H6" s="208" t="s">
        <v>158</v>
      </c>
      <c r="I6" s="204"/>
      <c r="J6" s="220"/>
    </row>
    <row r="7" spans="1:10" x14ac:dyDescent="0.3">
      <c r="A7" s="214"/>
      <c r="B7" s="219"/>
      <c r="C7" s="209"/>
      <c r="D7" s="71"/>
      <c r="E7" s="206"/>
      <c r="F7" s="187"/>
      <c r="G7" s="196"/>
      <c r="H7" s="206"/>
      <c r="I7" s="204"/>
      <c r="J7" s="220"/>
    </row>
    <row r="8" spans="1:10" x14ac:dyDescent="0.3">
      <c r="A8" s="214"/>
      <c r="B8" s="219"/>
      <c r="C8" s="210" t="s">
        <v>159</v>
      </c>
      <c r="D8" s="211" t="s">
        <v>196</v>
      </c>
      <c r="E8" s="207"/>
      <c r="F8" s="187" t="s">
        <v>160</v>
      </c>
      <c r="G8" s="210" t="s">
        <v>161</v>
      </c>
      <c r="H8" s="207"/>
      <c r="I8" s="204"/>
      <c r="J8" s="220"/>
    </row>
    <row r="9" spans="1:10" x14ac:dyDescent="0.3">
      <c r="A9" s="214"/>
      <c r="B9" s="219"/>
      <c r="C9" s="85" t="s">
        <v>162</v>
      </c>
      <c r="D9" s="328"/>
      <c r="E9" s="207"/>
      <c r="F9" s="77">
        <v>5</v>
      </c>
      <c r="G9" s="212" t="str">
        <f>IF(D9&lt;&gt;"",F9,"")</f>
        <v/>
      </c>
      <c r="H9" s="213" t="str">
        <f>IF(D9="","",1)</f>
        <v/>
      </c>
      <c r="I9" s="204"/>
      <c r="J9" s="220"/>
    </row>
    <row r="10" spans="1:10" x14ac:dyDescent="0.3">
      <c r="A10" s="214"/>
      <c r="B10" s="219"/>
      <c r="C10" s="85" t="s">
        <v>163</v>
      </c>
      <c r="D10" s="328"/>
      <c r="E10" s="207"/>
      <c r="F10" s="77">
        <v>10</v>
      </c>
      <c r="G10" s="212" t="str">
        <f>IF(D10&lt;&gt;"",F10,"")</f>
        <v/>
      </c>
      <c r="H10" s="213" t="str">
        <f>IF(D10="","",1)</f>
        <v/>
      </c>
      <c r="I10" s="204"/>
      <c r="J10" s="220"/>
    </row>
    <row r="11" spans="1:10" x14ac:dyDescent="0.3">
      <c r="A11" s="214"/>
      <c r="B11" s="219"/>
      <c r="C11" s="85" t="s">
        <v>164</v>
      </c>
      <c r="D11" s="328"/>
      <c r="E11" s="207"/>
      <c r="F11" s="77">
        <v>15</v>
      </c>
      <c r="G11" s="212" t="str">
        <f>IF(D11&lt;&gt;"",F11,"")</f>
        <v/>
      </c>
      <c r="H11" s="213" t="str">
        <f>IF(D11="","",1)</f>
        <v/>
      </c>
      <c r="I11" s="204"/>
      <c r="J11" s="220"/>
    </row>
    <row r="12" spans="1:10" x14ac:dyDescent="0.3">
      <c r="A12" s="214"/>
      <c r="B12" s="219"/>
      <c r="C12" s="85" t="s">
        <v>195</v>
      </c>
      <c r="D12" s="328"/>
      <c r="E12" s="207"/>
      <c r="F12" s="77">
        <v>20</v>
      </c>
      <c r="G12" s="263" t="str">
        <f>IF(D12&lt;&gt;"",F12,"")</f>
        <v/>
      </c>
      <c r="H12" s="213" t="str">
        <f>IF(D12="","",1)</f>
        <v/>
      </c>
      <c r="I12" s="204"/>
      <c r="J12" s="220"/>
    </row>
    <row r="13" spans="1:10" x14ac:dyDescent="0.3">
      <c r="A13" s="214"/>
      <c r="B13" s="219"/>
      <c r="C13" s="85"/>
      <c r="D13" s="215"/>
      <c r="E13" s="207"/>
      <c r="F13" s="77"/>
      <c r="G13" s="212">
        <f>IF(H13&gt;1,0,SUM(G9:G12))</f>
        <v>0</v>
      </c>
      <c r="H13" s="213">
        <f>SUM(H9:H12)</f>
        <v>0</v>
      </c>
      <c r="I13" s="204"/>
      <c r="J13" s="220"/>
    </row>
    <row r="14" spans="1:10" x14ac:dyDescent="0.3">
      <c r="A14" s="214"/>
      <c r="B14" s="219"/>
      <c r="C14" s="204"/>
      <c r="D14" s="204"/>
      <c r="E14" s="204"/>
      <c r="F14" s="204"/>
      <c r="G14" s="204"/>
      <c r="H14" s="204"/>
      <c r="I14" s="204"/>
      <c r="J14" s="220"/>
    </row>
    <row r="15" spans="1:10" ht="13.5" thickBot="1" x14ac:dyDescent="0.35">
      <c r="A15" s="214"/>
      <c r="B15" s="221"/>
      <c r="C15" s="222"/>
      <c r="D15" s="222"/>
      <c r="E15" s="222"/>
      <c r="F15" s="222"/>
      <c r="G15" s="222"/>
      <c r="H15" s="222"/>
      <c r="I15" s="222"/>
      <c r="J15" s="223"/>
    </row>
    <row r="16" spans="1:10" x14ac:dyDescent="0.3">
      <c r="A16" s="214"/>
    </row>
    <row r="17" spans="1:1" x14ac:dyDescent="0.3">
      <c r="A17" s="214"/>
    </row>
  </sheetData>
  <sheetProtection password="EC65" sheet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H90"/>
  <sheetViews>
    <sheetView showGridLines="0" zoomScaleNormal="100" workbookViewId="0">
      <selection activeCell="C6" sqref="C6"/>
    </sheetView>
  </sheetViews>
  <sheetFormatPr defaultColWidth="9.1796875" defaultRowHeight="12" customHeight="1" x14ac:dyDescent="0.3"/>
  <cols>
    <col min="1" max="1" width="9.1796875" style="225"/>
    <col min="2" max="7" width="6.7265625" style="259" customWidth="1"/>
    <col min="8" max="8" width="6.1796875" style="259" customWidth="1"/>
    <col min="9" max="15" width="6.7265625" style="259" customWidth="1"/>
    <col min="16" max="16384" width="9.1796875" style="225"/>
  </cols>
  <sheetData>
    <row r="1" spans="2:15" ht="12" customHeight="1" thickBot="1" x14ac:dyDescent="0.35"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2:15" ht="12" customHeight="1" x14ac:dyDescent="0.3">
      <c r="B2" s="226"/>
      <c r="C2" s="476" t="s">
        <v>166</v>
      </c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227"/>
    </row>
    <row r="3" spans="2:15" ht="12" customHeight="1" x14ac:dyDescent="0.3">
      <c r="B3" s="228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229"/>
    </row>
    <row r="4" spans="2:15" ht="12" customHeight="1" x14ac:dyDescent="0.3">
      <c r="B4" s="228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7"/>
      <c r="O4" s="229"/>
    </row>
    <row r="5" spans="2:15" ht="12" customHeight="1" x14ac:dyDescent="0.3">
      <c r="B5" s="230"/>
      <c r="C5" s="7" t="s">
        <v>167</v>
      </c>
      <c r="D5" s="7"/>
      <c r="E5" s="231"/>
      <c r="F5" s="232" t="s">
        <v>168</v>
      </c>
      <c r="G5" s="233"/>
      <c r="H5" s="233"/>
      <c r="I5" s="234"/>
      <c r="J5" s="342"/>
      <c r="K5" s="233"/>
      <c r="L5" s="235"/>
      <c r="M5" s="236"/>
      <c r="N5" s="236"/>
      <c r="O5" s="229"/>
    </row>
    <row r="6" spans="2:15" ht="12" customHeight="1" x14ac:dyDescent="0.3">
      <c r="B6" s="237"/>
      <c r="C6" s="326"/>
      <c r="D6" s="7" t="s">
        <v>169</v>
      </c>
      <c r="E6" s="238"/>
      <c r="F6" s="239"/>
      <c r="G6" s="240" t="s">
        <v>170</v>
      </c>
      <c r="H6" s="240"/>
      <c r="I6" s="236"/>
      <c r="J6" s="236"/>
      <c r="K6" s="236"/>
      <c r="L6" s="235"/>
      <c r="M6" s="236"/>
      <c r="N6" s="234"/>
      <c r="O6" s="229"/>
    </row>
    <row r="7" spans="2:15" ht="12" customHeight="1" x14ac:dyDescent="0.3">
      <c r="B7" s="237"/>
      <c r="C7" s="326"/>
      <c r="D7" s="7" t="s">
        <v>171</v>
      </c>
      <c r="E7" s="238"/>
      <c r="F7" s="239"/>
      <c r="G7" s="240" t="s">
        <v>172</v>
      </c>
      <c r="H7" s="240"/>
      <c r="I7" s="236"/>
      <c r="J7" s="236"/>
      <c r="K7" s="236"/>
      <c r="L7" s="235"/>
      <c r="M7" s="236"/>
      <c r="N7" s="234"/>
      <c r="O7" s="229"/>
    </row>
    <row r="8" spans="2:15" ht="12" customHeight="1" x14ac:dyDescent="0.3">
      <c r="B8" s="237"/>
      <c r="C8" s="327"/>
      <c r="D8" s="7" t="s">
        <v>173</v>
      </c>
      <c r="E8" s="238"/>
      <c r="F8" s="235" t="str">
        <f>IF(OR('2R RATING SUMMARY'!F7=7,'2R RATING SUMMARY'!F7=8),'GEOMETRY '!C30,'GEOMETRY '!C46)</f>
        <v/>
      </c>
      <c r="G8" s="240" t="s">
        <v>174</v>
      </c>
      <c r="H8" s="240"/>
      <c r="I8" s="236"/>
      <c r="J8" s="236"/>
      <c r="K8" s="236"/>
      <c r="L8" s="241"/>
      <c r="M8" s="236"/>
      <c r="N8" s="234"/>
      <c r="O8" s="229"/>
    </row>
    <row r="9" spans="2:15" ht="12" customHeight="1" x14ac:dyDescent="0.3">
      <c r="B9" s="237"/>
      <c r="C9" s="343"/>
      <c r="D9" s="242"/>
      <c r="E9" s="238"/>
      <c r="F9" s="235"/>
      <c r="G9" s="240"/>
      <c r="H9" s="240"/>
      <c r="I9" s="236"/>
      <c r="J9" s="236"/>
      <c r="K9" s="236"/>
      <c r="L9" s="241"/>
      <c r="M9" s="236"/>
      <c r="N9" s="234"/>
      <c r="O9" s="229"/>
    </row>
    <row r="10" spans="2:15" ht="12" customHeight="1" x14ac:dyDescent="0.3">
      <c r="B10" s="243"/>
      <c r="C10" s="244"/>
      <c r="D10" s="231"/>
      <c r="E10" s="231"/>
      <c r="F10" s="245"/>
      <c r="G10" s="246"/>
      <c r="H10" s="231"/>
      <c r="I10" s="231"/>
      <c r="J10" s="247"/>
      <c r="K10" s="244"/>
      <c r="L10" s="231"/>
      <c r="M10" s="231"/>
      <c r="N10" s="231"/>
      <c r="O10" s="248"/>
    </row>
    <row r="11" spans="2:15" ht="12" customHeight="1" x14ac:dyDescent="0.3">
      <c r="B11" s="228"/>
      <c r="C11" s="233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337"/>
    </row>
    <row r="12" spans="2:15" ht="12" customHeight="1" x14ac:dyDescent="0.3">
      <c r="B12" s="338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337"/>
    </row>
    <row r="13" spans="2:15" ht="12" customHeight="1" x14ac:dyDescent="0.3">
      <c r="B13" s="338"/>
      <c r="C13" s="234"/>
      <c r="D13" s="234"/>
      <c r="E13" s="234"/>
      <c r="F13" s="234"/>
      <c r="G13" s="234"/>
      <c r="H13" s="234"/>
      <c r="I13" s="234"/>
      <c r="J13" s="234"/>
      <c r="K13" s="84" t="s">
        <v>215</v>
      </c>
      <c r="L13" s="344" t="str">
        <f>IF(AND(I36=0,I37=0,I38=0),"",L36)</f>
        <v/>
      </c>
      <c r="M13" s="340" t="s">
        <v>212</v>
      </c>
      <c r="N13" s="234"/>
      <c r="O13" s="337"/>
    </row>
    <row r="14" spans="2:15" ht="12" customHeight="1" x14ac:dyDescent="0.3">
      <c r="B14" s="338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337"/>
    </row>
    <row r="15" spans="2:15" ht="12" customHeight="1" x14ac:dyDescent="0.3">
      <c r="B15" s="338"/>
      <c r="C15" s="234"/>
      <c r="D15" s="234"/>
      <c r="E15" s="234"/>
      <c r="F15" s="234"/>
      <c r="G15" s="234"/>
      <c r="H15" s="234"/>
      <c r="I15" s="234"/>
      <c r="J15" s="234"/>
      <c r="K15" s="345" t="s">
        <v>213</v>
      </c>
      <c r="L15" s="341"/>
      <c r="M15" s="234"/>
      <c r="N15" s="234"/>
      <c r="O15" s="337"/>
    </row>
    <row r="16" spans="2:15" ht="12" customHeight="1" thickBot="1" x14ac:dyDescent="0.35">
      <c r="B16" s="33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50"/>
    </row>
    <row r="17" spans="2:34" ht="12" customHeight="1" x14ac:dyDescent="0.3"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</row>
    <row r="18" spans="2:34" s="346" customFormat="1" ht="11.25" customHeight="1" x14ac:dyDescent="0.3">
      <c r="B18" s="305"/>
      <c r="D18" s="347"/>
      <c r="E18" s="347"/>
      <c r="F18" s="347"/>
      <c r="G18" s="347"/>
      <c r="M18" s="348"/>
      <c r="N18" s="256"/>
      <c r="O18" s="348"/>
      <c r="P18" s="348"/>
      <c r="Q18" s="348"/>
      <c r="R18" s="348"/>
      <c r="S18" s="348"/>
      <c r="T18" s="348"/>
      <c r="U18" s="348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</row>
    <row r="19" spans="2:34" s="346" customFormat="1" ht="11.25" customHeight="1" x14ac:dyDescent="0.3">
      <c r="B19" s="305"/>
      <c r="D19" s="349"/>
      <c r="E19" s="349"/>
      <c r="F19" s="349"/>
      <c r="G19" s="256"/>
      <c r="H19" s="349"/>
      <c r="I19" s="349"/>
      <c r="J19" s="256"/>
      <c r="K19" s="256"/>
      <c r="L19" s="256"/>
      <c r="M19" s="256"/>
      <c r="N19" s="256"/>
      <c r="O19" s="256"/>
      <c r="P19" s="256"/>
      <c r="Q19" s="256"/>
      <c r="R19" s="348"/>
      <c r="S19" s="348"/>
      <c r="T19" s="348"/>
      <c r="U19" s="256"/>
      <c r="V19" s="256"/>
      <c r="W19" s="256"/>
      <c r="X19" s="349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</row>
    <row r="20" spans="2:34" s="346" customFormat="1" ht="11.25" customHeight="1" x14ac:dyDescent="0.3">
      <c r="B20" s="305"/>
      <c r="C20" s="350" t="s">
        <v>168</v>
      </c>
      <c r="D20" s="256"/>
      <c r="E20" s="348"/>
      <c r="F20" s="348"/>
      <c r="G20" s="348"/>
      <c r="H20" s="348"/>
      <c r="I20" s="348"/>
      <c r="J20" s="348"/>
      <c r="K20" s="256"/>
      <c r="L20" s="256"/>
      <c r="M20" s="256"/>
      <c r="N20" s="256"/>
      <c r="O20" s="256"/>
      <c r="P20" s="256"/>
      <c r="Q20" s="256"/>
      <c r="R20" s="348"/>
      <c r="S20" s="348"/>
      <c r="T20" s="348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</row>
    <row r="21" spans="2:34" s="346" customFormat="1" ht="11.25" customHeight="1" x14ac:dyDescent="0.3">
      <c r="B21" s="305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348"/>
      <c r="N21" s="256"/>
      <c r="O21" s="256"/>
      <c r="P21" s="256"/>
      <c r="Q21" s="253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</row>
    <row r="22" spans="2:34" s="346" customFormat="1" ht="11.25" customHeight="1" x14ac:dyDescent="0.3">
      <c r="B22" s="305"/>
      <c r="C22" s="351">
        <f>F6</f>
        <v>0</v>
      </c>
      <c r="D22" s="352" t="s">
        <v>175</v>
      </c>
      <c r="E22" s="353"/>
      <c r="F22" s="353"/>
      <c r="I22" s="354" t="s">
        <v>19</v>
      </c>
      <c r="J22" s="258" t="s">
        <v>10</v>
      </c>
      <c r="K22" s="256"/>
      <c r="L22" s="256"/>
      <c r="M22" s="348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349"/>
      <c r="Z22" s="256"/>
      <c r="AA22" s="256"/>
      <c r="AB22" s="256"/>
      <c r="AC22" s="252"/>
      <c r="AD22" s="253"/>
      <c r="AE22" s="253"/>
      <c r="AF22" s="349"/>
      <c r="AG22" s="355"/>
      <c r="AH22" s="256"/>
    </row>
    <row r="23" spans="2:34" s="346" customFormat="1" ht="11.25" customHeight="1" x14ac:dyDescent="0.3">
      <c r="B23" s="305"/>
      <c r="C23" s="353"/>
      <c r="D23" s="353"/>
      <c r="E23" s="353"/>
      <c r="F23" s="353"/>
      <c r="G23" s="356"/>
      <c r="I23" s="258" t="s">
        <v>214</v>
      </c>
      <c r="J23" s="357">
        <v>5</v>
      </c>
      <c r="K23" s="358"/>
      <c r="L23" s="256"/>
      <c r="M23" s="348"/>
      <c r="N23" s="256"/>
      <c r="O23" s="348"/>
      <c r="P23" s="348"/>
      <c r="Q23" s="348"/>
      <c r="R23" s="348"/>
      <c r="S23" s="348"/>
      <c r="T23" s="348"/>
      <c r="U23" s="348"/>
      <c r="V23" s="348"/>
      <c r="W23" s="256"/>
      <c r="X23" s="256"/>
      <c r="Y23" s="355"/>
      <c r="Z23" s="256"/>
      <c r="AA23" s="256"/>
      <c r="AB23" s="256"/>
      <c r="AC23" s="254"/>
      <c r="AD23" s="253"/>
      <c r="AE23" s="255"/>
      <c r="AF23" s="349"/>
      <c r="AG23" s="355"/>
      <c r="AH23" s="256"/>
    </row>
    <row r="24" spans="2:34" s="346" customFormat="1" ht="11.25" customHeight="1" x14ac:dyDescent="0.3">
      <c r="B24" s="305"/>
      <c r="C24" s="351">
        <f>F7</f>
        <v>0</v>
      </c>
      <c r="D24" s="352" t="s">
        <v>176</v>
      </c>
      <c r="E24" s="353"/>
      <c r="F24" s="353"/>
      <c r="G24" s="359"/>
      <c r="I24" s="258"/>
      <c r="J24" s="357"/>
      <c r="M24" s="348"/>
      <c r="N24" s="256"/>
      <c r="O24" s="348"/>
      <c r="P24" s="348"/>
      <c r="Q24" s="360"/>
      <c r="R24" s="360"/>
      <c r="S24" s="361"/>
      <c r="T24" s="362"/>
      <c r="U24" s="348"/>
      <c r="V24" s="348"/>
      <c r="W24" s="256"/>
      <c r="X24" s="256"/>
      <c r="Y24" s="355"/>
      <c r="Z24" s="355"/>
      <c r="AA24" s="355"/>
      <c r="AB24" s="355"/>
      <c r="AC24" s="254"/>
      <c r="AD24" s="255"/>
      <c r="AE24" s="255"/>
      <c r="AF24" s="349"/>
      <c r="AG24" s="363"/>
      <c r="AH24" s="256"/>
    </row>
    <row r="25" spans="2:34" s="346" customFormat="1" ht="11.25" customHeight="1" x14ac:dyDescent="0.3">
      <c r="B25" s="305"/>
      <c r="C25" s="353"/>
      <c r="D25" s="353"/>
      <c r="E25" s="353"/>
      <c r="F25" s="353"/>
      <c r="G25" s="353"/>
      <c r="I25" s="258"/>
      <c r="J25" s="258"/>
      <c r="M25" s="348"/>
      <c r="N25" s="256"/>
      <c r="O25" s="348"/>
      <c r="P25" s="348"/>
      <c r="Q25" s="360"/>
      <c r="R25" s="360"/>
      <c r="S25" s="360"/>
      <c r="T25" s="360"/>
      <c r="U25" s="348"/>
      <c r="V25" s="348"/>
      <c r="W25" s="256"/>
      <c r="X25" s="256"/>
      <c r="Y25" s="355"/>
      <c r="Z25" s="256"/>
      <c r="AA25" s="256"/>
      <c r="AB25" s="256"/>
      <c r="AC25" s="254"/>
      <c r="AD25" s="255"/>
      <c r="AE25" s="255"/>
      <c r="AF25" s="349"/>
      <c r="AG25" s="355"/>
      <c r="AH25" s="256"/>
    </row>
    <row r="26" spans="2:34" s="346" customFormat="1" ht="11.25" customHeight="1" x14ac:dyDescent="0.3">
      <c r="B26" s="305"/>
      <c r="C26" s="353"/>
      <c r="D26" s="353"/>
      <c r="E26" s="353"/>
      <c r="F26" s="353"/>
      <c r="G26" s="353"/>
      <c r="I26" s="258"/>
      <c r="J26" s="258"/>
      <c r="M26" s="348"/>
      <c r="N26" s="256"/>
      <c r="O26" s="348"/>
      <c r="P26" s="348"/>
      <c r="Q26" s="360"/>
      <c r="R26" s="360"/>
      <c r="S26" s="360"/>
      <c r="T26" s="360"/>
      <c r="U26" s="348"/>
      <c r="V26" s="348"/>
      <c r="W26" s="256"/>
      <c r="X26" s="256"/>
      <c r="Y26" s="355"/>
      <c r="Z26" s="256"/>
      <c r="AA26" s="256"/>
      <c r="AB26" s="256"/>
      <c r="AC26" s="254"/>
      <c r="AD26" s="255"/>
      <c r="AE26" s="255"/>
      <c r="AF26" s="349"/>
      <c r="AG26" s="355"/>
      <c r="AH26" s="256"/>
    </row>
    <row r="27" spans="2:34" s="346" customFormat="1" ht="11.25" customHeight="1" x14ac:dyDescent="0.3">
      <c r="B27" s="305"/>
      <c r="C27" s="353"/>
      <c r="D27" s="353"/>
      <c r="E27" s="353"/>
      <c r="F27" s="353"/>
      <c r="G27" s="353"/>
      <c r="I27" s="258"/>
      <c r="J27" s="258"/>
      <c r="M27" s="348"/>
      <c r="N27" s="256"/>
      <c r="O27" s="348"/>
      <c r="P27" s="348"/>
      <c r="Q27" s="360"/>
      <c r="R27" s="360"/>
      <c r="S27" s="360"/>
      <c r="T27" s="360"/>
      <c r="U27" s="348"/>
      <c r="V27" s="348"/>
      <c r="W27" s="256"/>
      <c r="X27" s="256"/>
      <c r="Y27" s="355"/>
      <c r="Z27" s="256"/>
      <c r="AA27" s="256"/>
      <c r="AB27" s="256"/>
      <c r="AC27" s="254"/>
      <c r="AD27" s="255"/>
      <c r="AE27" s="255"/>
      <c r="AF27" s="349"/>
      <c r="AG27" s="355"/>
      <c r="AH27" s="256"/>
    </row>
    <row r="28" spans="2:34" s="346" customFormat="1" ht="11.25" customHeight="1" x14ac:dyDescent="0.3">
      <c r="B28" s="364" t="s">
        <v>177</v>
      </c>
      <c r="D28" s="353"/>
      <c r="E28" s="353"/>
      <c r="F28" s="353"/>
      <c r="G28" s="353"/>
      <c r="I28" s="258"/>
      <c r="J28" s="258"/>
      <c r="M28" s="348"/>
      <c r="N28" s="256"/>
      <c r="O28" s="348"/>
      <c r="P28" s="348"/>
      <c r="Q28" s="360"/>
      <c r="R28" s="360"/>
      <c r="S28" s="360"/>
      <c r="T28" s="360"/>
      <c r="U28" s="348"/>
      <c r="V28" s="348"/>
      <c r="W28" s="256"/>
      <c r="X28" s="256"/>
      <c r="Y28" s="355"/>
      <c r="Z28" s="256"/>
      <c r="AA28" s="256"/>
      <c r="AB28" s="256"/>
      <c r="AC28" s="254"/>
      <c r="AD28" s="255"/>
      <c r="AE28" s="255"/>
      <c r="AF28" s="349"/>
      <c r="AG28" s="355"/>
      <c r="AH28" s="256"/>
    </row>
    <row r="29" spans="2:34" s="346" customFormat="1" ht="11.25" customHeight="1" x14ac:dyDescent="0.3">
      <c r="B29" s="305"/>
      <c r="C29" s="352"/>
      <c r="D29" s="353"/>
      <c r="E29" s="353"/>
      <c r="F29" s="353"/>
      <c r="G29" s="353"/>
      <c r="H29" s="353"/>
      <c r="I29" s="353"/>
      <c r="J29" s="353"/>
      <c r="M29" s="256"/>
      <c r="N29" s="256"/>
      <c r="O29" s="256"/>
      <c r="P29" s="256"/>
      <c r="Q29" s="360"/>
      <c r="R29" s="365"/>
      <c r="S29" s="365"/>
      <c r="T29" s="365"/>
      <c r="U29" s="256"/>
      <c r="V29" s="256"/>
      <c r="W29" s="256"/>
      <c r="X29" s="256"/>
      <c r="Y29" s="349"/>
      <c r="Z29" s="366"/>
      <c r="AA29" s="367"/>
      <c r="AB29" s="256"/>
      <c r="AC29" s="254"/>
      <c r="AD29" s="255"/>
      <c r="AE29" s="255"/>
      <c r="AF29" s="349"/>
      <c r="AG29" s="355"/>
      <c r="AH29" s="256"/>
    </row>
    <row r="30" spans="2:34" s="346" customFormat="1" ht="11.25" customHeight="1" x14ac:dyDescent="0.3">
      <c r="B30" s="305"/>
      <c r="C30" s="368" t="str">
        <f>IF(AND(I36=0,I37=0,I38=0),"",C35)</f>
        <v/>
      </c>
      <c r="D30" s="256" t="s">
        <v>178</v>
      </c>
      <c r="E30" s="353"/>
      <c r="F30" s="353"/>
      <c r="G30" s="353"/>
      <c r="H30" s="353"/>
      <c r="I30" s="353"/>
      <c r="J30" s="353"/>
      <c r="M30" s="256"/>
      <c r="N30" s="256"/>
      <c r="O30" s="256"/>
      <c r="P30" s="256"/>
      <c r="Q30" s="360"/>
      <c r="R30" s="360"/>
      <c r="S30" s="360"/>
      <c r="T30" s="360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</row>
    <row r="31" spans="2:34" s="346" customFormat="1" ht="11.25" customHeight="1" x14ac:dyDescent="0.3">
      <c r="B31" s="305"/>
      <c r="C31" s="353"/>
      <c r="D31" s="353"/>
      <c r="E31" s="353"/>
      <c r="F31" s="353"/>
      <c r="G31" s="353"/>
      <c r="H31" s="353"/>
      <c r="I31" s="353"/>
      <c r="J31" s="353"/>
      <c r="Q31" s="360"/>
      <c r="R31" s="360"/>
      <c r="S31" s="360"/>
      <c r="T31" s="360"/>
      <c r="U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</row>
    <row r="32" spans="2:34" s="346" customFormat="1" ht="11.25" customHeight="1" x14ac:dyDescent="0.3">
      <c r="B32" s="305"/>
      <c r="C32" s="478" t="s">
        <v>179</v>
      </c>
      <c r="D32" s="478"/>
      <c r="E32" s="478"/>
      <c r="F32" s="478"/>
      <c r="G32" s="256"/>
      <c r="H32" s="255"/>
      <c r="I32" s="255"/>
      <c r="J32" s="369"/>
      <c r="K32" s="353"/>
      <c r="Q32" s="256"/>
      <c r="R32" s="348"/>
      <c r="S32" s="348"/>
      <c r="T32" s="348"/>
      <c r="U32" s="256"/>
      <c r="W32" s="256"/>
      <c r="X32" s="256"/>
      <c r="Y32" s="348"/>
      <c r="Z32" s="348"/>
      <c r="AA32" s="348"/>
      <c r="AB32" s="348"/>
      <c r="AC32" s="348"/>
      <c r="AD32" s="348"/>
      <c r="AE32" s="348"/>
      <c r="AF32" s="256"/>
      <c r="AG32" s="256"/>
      <c r="AH32" s="256"/>
    </row>
    <row r="33" spans="2:34" s="346" customFormat="1" ht="11.25" customHeight="1" x14ac:dyDescent="0.3">
      <c r="B33" s="305"/>
      <c r="C33" s="370"/>
      <c r="D33" s="348"/>
      <c r="E33" s="256"/>
      <c r="F33" s="256"/>
      <c r="G33" s="256"/>
      <c r="H33" s="256"/>
      <c r="I33" s="256"/>
      <c r="J33" s="256"/>
      <c r="K33" s="353"/>
      <c r="R33" s="258"/>
      <c r="S33" s="258"/>
      <c r="T33" s="258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</row>
    <row r="34" spans="2:34" s="346" customFormat="1" ht="11.25" customHeight="1" x14ac:dyDescent="0.3">
      <c r="B34" s="305"/>
      <c r="C34" s="371" t="s">
        <v>180</v>
      </c>
      <c r="D34" s="371" t="s">
        <v>181</v>
      </c>
      <c r="E34" s="371" t="s">
        <v>182</v>
      </c>
      <c r="F34" s="371" t="s">
        <v>183</v>
      </c>
      <c r="G34" s="256"/>
      <c r="M34" s="258"/>
      <c r="N34" s="258"/>
      <c r="O34" s="258"/>
      <c r="R34" s="256"/>
      <c r="S34" s="256"/>
      <c r="T34" s="256"/>
      <c r="U34" s="349"/>
      <c r="V34" s="349"/>
      <c r="W34" s="349"/>
      <c r="X34" s="349"/>
      <c r="Y34" s="349"/>
      <c r="Z34" s="349"/>
      <c r="AA34" s="372"/>
      <c r="AB34" s="373"/>
      <c r="AC34" s="256"/>
    </row>
    <row r="35" spans="2:34" s="346" customFormat="1" ht="11.25" customHeight="1" x14ac:dyDescent="0.3">
      <c r="B35" s="305"/>
      <c r="C35" s="374">
        <f>IF(AND(L41&lt;=50,'Traffic and ACC'!C4&lt;400),24,C36)</f>
        <v>24</v>
      </c>
      <c r="D35" s="348">
        <f>IF(AND(L41&lt;=30,'Traffic and ACC'!C4&lt;1501),30,D36)</f>
        <v>30</v>
      </c>
      <c r="E35" s="348">
        <f>IF(AND(L41&lt;=50,'Traffic and ACC'!C4&lt;2001),34,E36)</f>
        <v>34</v>
      </c>
      <c r="F35" s="348">
        <f>IF('Traffic and ACC'!C4&gt;2000,40,0)</f>
        <v>0</v>
      </c>
      <c r="G35" s="256"/>
      <c r="H35" s="256"/>
      <c r="I35" s="346" t="s">
        <v>167</v>
      </c>
      <c r="K35" s="479" t="s">
        <v>200</v>
      </c>
      <c r="L35" s="479"/>
      <c r="M35" s="479"/>
      <c r="N35" s="479"/>
      <c r="O35" s="479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</row>
    <row r="36" spans="2:34" s="346" customFormat="1" ht="11.25" customHeight="1" x14ac:dyDescent="0.3">
      <c r="B36" s="305"/>
      <c r="C36" s="348">
        <f>IF(AND(L41&gt;50,'Traffic and ACC'!C4&lt;400),26,D35)</f>
        <v>30</v>
      </c>
      <c r="D36" s="348">
        <f>IF(AND(L41&gt;=35,'Traffic and ACC'!C4&lt;1501),32,E35)</f>
        <v>34</v>
      </c>
      <c r="E36" s="348">
        <f>IF(AND(L41&gt;=55,'Traffic and ACC'!C4&lt;2001),36,F35)</f>
        <v>0</v>
      </c>
      <c r="F36" s="370"/>
      <c r="G36" s="256"/>
      <c r="H36" s="256"/>
      <c r="I36" s="375">
        <f>C6</f>
        <v>0</v>
      </c>
      <c r="J36" s="346" t="s">
        <v>169</v>
      </c>
      <c r="L36" s="376">
        <f>IF(I36&lt;&gt;0,M36,L37)</f>
        <v>20</v>
      </c>
      <c r="M36" s="376">
        <f>IF('Traffic and ACC'!C4&lt;(400),40,N36)</f>
        <v>40</v>
      </c>
      <c r="N36" s="376">
        <f>IF('Traffic and ACC'!C4&lt;(2001),50,60)</f>
        <v>50</v>
      </c>
      <c r="O36" s="258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</row>
    <row r="37" spans="2:34" s="346" customFormat="1" ht="11.25" customHeight="1" x14ac:dyDescent="0.3">
      <c r="B37" s="305"/>
      <c r="C37" s="348"/>
      <c r="D37" s="348"/>
      <c r="E37" s="348"/>
      <c r="F37" s="370"/>
      <c r="G37" s="256"/>
      <c r="H37" s="256"/>
      <c r="I37" s="375">
        <f>C7</f>
        <v>0</v>
      </c>
      <c r="J37" s="346" t="s">
        <v>171</v>
      </c>
      <c r="L37" s="376">
        <f>IF(I37&lt;&gt;0,M37,L38)</f>
        <v>20</v>
      </c>
      <c r="M37" s="376">
        <f>IF('Traffic and ACC'!C4&lt;(400),30,N37)</f>
        <v>30</v>
      </c>
      <c r="N37" s="376">
        <f>IF('Traffic and ACC'!C4&lt;(2001),40,50)</f>
        <v>40</v>
      </c>
      <c r="O37" s="258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</row>
    <row r="38" spans="2:34" s="346" customFormat="1" ht="11.25" customHeight="1" x14ac:dyDescent="0.3">
      <c r="H38" s="256"/>
      <c r="I38" s="375">
        <f>C8</f>
        <v>0</v>
      </c>
      <c r="J38" s="346" t="s">
        <v>173</v>
      </c>
      <c r="L38" s="376">
        <f>M38</f>
        <v>20</v>
      </c>
      <c r="M38" s="376">
        <f>IF('Traffic and ACC'!C4&lt;(400),20,N38)</f>
        <v>20</v>
      </c>
      <c r="N38" s="376">
        <f>IF('Traffic and ACC'!C4&lt;(2001),30,40)</f>
        <v>30</v>
      </c>
      <c r="O38" s="258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</row>
    <row r="39" spans="2:34" s="346" customFormat="1" ht="11.25" customHeight="1" x14ac:dyDescent="0.3">
      <c r="H39" s="256"/>
      <c r="I39" s="367"/>
      <c r="L39" s="256"/>
      <c r="M39" s="256"/>
      <c r="N39" s="256"/>
      <c r="O39" s="258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</row>
    <row r="40" spans="2:34" s="346" customFormat="1" ht="11.25" customHeight="1" x14ac:dyDescent="0.3">
      <c r="B40" s="377" t="s">
        <v>85</v>
      </c>
      <c r="H40" s="256"/>
      <c r="I40" s="367"/>
      <c r="L40" s="256"/>
      <c r="M40" s="256"/>
      <c r="N40" s="256"/>
      <c r="O40" s="258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</row>
    <row r="41" spans="2:34" s="346" customFormat="1" ht="11.25" customHeight="1" x14ac:dyDescent="0.3">
      <c r="H41" s="256"/>
      <c r="I41" s="348"/>
      <c r="J41" s="256"/>
      <c r="K41" s="370"/>
      <c r="L41" s="378"/>
      <c r="M41" s="256"/>
      <c r="N41" s="256"/>
      <c r="O41" s="348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</row>
    <row r="42" spans="2:34" s="346" customFormat="1" ht="11.25" customHeight="1" x14ac:dyDescent="0.3">
      <c r="H42" s="256"/>
      <c r="I42" s="367"/>
      <c r="L42" s="256"/>
      <c r="M42" s="256"/>
      <c r="N42" s="256"/>
      <c r="O42" s="258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</row>
    <row r="43" spans="2:34" s="346" customFormat="1" ht="11.25" customHeight="1" x14ac:dyDescent="0.3">
      <c r="H43" s="256"/>
      <c r="I43" s="367"/>
      <c r="M43" s="256"/>
      <c r="N43" s="256"/>
      <c r="O43" s="258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</row>
    <row r="44" spans="2:34" s="346" customFormat="1" ht="11.25" customHeight="1" x14ac:dyDescent="0.3">
      <c r="H44" s="256"/>
      <c r="I44" s="367"/>
      <c r="L44" s="256"/>
      <c r="M44" s="256"/>
      <c r="N44" s="256"/>
      <c r="O44" s="258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</row>
    <row r="45" spans="2:34" s="346" customFormat="1" ht="11.25" customHeight="1" x14ac:dyDescent="0.3">
      <c r="H45" s="256"/>
      <c r="I45" s="367"/>
      <c r="L45" s="256"/>
      <c r="M45" s="256"/>
      <c r="N45" s="256"/>
      <c r="O45" s="258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</row>
    <row r="46" spans="2:34" s="346" customFormat="1" ht="11.25" customHeight="1" x14ac:dyDescent="0.3">
      <c r="C46" s="368" t="str">
        <f>IF(AND(I36=0,I37=0,I38=0),"",C51)</f>
        <v/>
      </c>
      <c r="D46" s="256" t="s">
        <v>184</v>
      </c>
      <c r="E46" s="353"/>
      <c r="F46" s="353"/>
      <c r="G46" s="353"/>
      <c r="H46" s="353"/>
      <c r="I46" s="353"/>
      <c r="O46" s="258"/>
      <c r="P46" s="258"/>
      <c r="Q46" s="258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</row>
    <row r="47" spans="2:34" s="346" customFormat="1" ht="11.25" customHeight="1" x14ac:dyDescent="0.3">
      <c r="H47" s="256"/>
      <c r="O47" s="258"/>
      <c r="P47" s="258"/>
      <c r="Q47" s="258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</row>
    <row r="48" spans="2:34" s="257" customFormat="1" ht="12" customHeight="1" x14ac:dyDescent="0.3">
      <c r="B48" s="346"/>
      <c r="C48" s="478" t="s">
        <v>185</v>
      </c>
      <c r="D48" s="478"/>
      <c r="E48" s="478"/>
      <c r="F48" s="478"/>
      <c r="G48" s="346"/>
      <c r="H48" s="256"/>
      <c r="I48" s="258"/>
      <c r="J48" s="346"/>
      <c r="K48" s="354"/>
      <c r="L48" s="348"/>
      <c r="M48" s="346"/>
      <c r="N48" s="346"/>
      <c r="O48" s="258"/>
    </row>
    <row r="49" spans="2:15" s="257" customFormat="1" ht="12" customHeight="1" x14ac:dyDescent="0.3">
      <c r="B49" s="346"/>
      <c r="C49" s="370"/>
      <c r="D49" s="348"/>
      <c r="E49" s="256"/>
      <c r="F49" s="256"/>
      <c r="G49" s="346"/>
      <c r="H49" s="256"/>
      <c r="I49" s="258"/>
      <c r="J49" s="346"/>
      <c r="K49" s="354"/>
      <c r="L49" s="348"/>
      <c r="M49" s="346"/>
      <c r="N49" s="346"/>
      <c r="O49" s="258"/>
    </row>
    <row r="50" spans="2:15" s="257" customFormat="1" ht="12" customHeight="1" x14ac:dyDescent="0.3">
      <c r="B50" s="346"/>
      <c r="C50" s="371" t="s">
        <v>180</v>
      </c>
      <c r="D50" s="371" t="s">
        <v>181</v>
      </c>
      <c r="E50" s="371" t="s">
        <v>182</v>
      </c>
      <c r="F50" s="371" t="s">
        <v>183</v>
      </c>
      <c r="G50" s="346"/>
      <c r="H50" s="256"/>
      <c r="I50" s="258"/>
      <c r="J50" s="346"/>
      <c r="K50" s="354"/>
      <c r="L50" s="348"/>
      <c r="M50" s="346"/>
      <c r="N50" s="346"/>
      <c r="O50" s="258"/>
    </row>
    <row r="51" spans="2:15" s="257" customFormat="1" ht="12" customHeight="1" x14ac:dyDescent="0.3">
      <c r="B51" s="346"/>
      <c r="C51" s="374">
        <f>IF(AND(L56&lt;=50,'Traffic and ACC'!C4&lt;400),30,C52)</f>
        <v>30</v>
      </c>
      <c r="D51" s="348">
        <f>IF(AND(L56&lt;=30,'Traffic and ACC'!C4&lt;1501),34,D52)</f>
        <v>34</v>
      </c>
      <c r="E51" s="348">
        <f>IF(AND(L56&lt;=50,'Traffic and ACC'!C4&lt;2001),36,E52)</f>
        <v>36</v>
      </c>
      <c r="F51" s="379">
        <f>IF('Traffic and ACC'!C4&gt;2000,40,0)</f>
        <v>0</v>
      </c>
      <c r="G51" s="346"/>
      <c r="H51" s="256"/>
      <c r="I51" s="258"/>
      <c r="J51" s="346"/>
      <c r="K51" s="354"/>
      <c r="L51" s="348"/>
      <c r="M51" s="346"/>
      <c r="N51" s="346"/>
      <c r="O51" s="258"/>
    </row>
    <row r="52" spans="2:15" s="257" customFormat="1" ht="12" customHeight="1" x14ac:dyDescent="0.3">
      <c r="B52" s="346"/>
      <c r="C52" s="348">
        <f>IF(AND(L56&gt;50,'Traffic and ACC'!C4&lt;400),30,D51)</f>
        <v>34</v>
      </c>
      <c r="D52" s="348">
        <f>IF(AND(L56&gt;=35,'Traffic and ACC'!C4&lt;1501),34,E51)</f>
        <v>36</v>
      </c>
      <c r="E52" s="348">
        <f>IF(AND(L56&gt;=55,'Traffic and ACC'!C4&lt;2001),36,F51)</f>
        <v>0</v>
      </c>
      <c r="F52" s="379">
        <f>IF('Traffic and ACC'!C4&gt;2000,40,0)</f>
        <v>0</v>
      </c>
      <c r="G52" s="346"/>
      <c r="H52" s="256"/>
      <c r="I52" s="258"/>
      <c r="J52" s="346"/>
      <c r="K52" s="354"/>
      <c r="L52" s="348"/>
      <c r="M52" s="346"/>
      <c r="N52" s="346"/>
      <c r="O52" s="258"/>
    </row>
    <row r="53" spans="2:15" s="257" customFormat="1" ht="12" customHeight="1" x14ac:dyDescent="0.3">
      <c r="B53" s="346"/>
      <c r="C53" s="348"/>
      <c r="D53" s="348"/>
      <c r="E53" s="348"/>
      <c r="F53" s="370"/>
      <c r="G53" s="346"/>
      <c r="H53" s="256"/>
      <c r="I53" s="258"/>
      <c r="J53" s="346"/>
      <c r="K53" s="354"/>
      <c r="L53" s="348"/>
      <c r="M53" s="346"/>
      <c r="N53" s="346"/>
      <c r="O53" s="258"/>
    </row>
    <row r="54" spans="2:15" s="257" customFormat="1" ht="12" customHeight="1" x14ac:dyDescent="0.3">
      <c r="B54" s="346"/>
      <c r="C54" s="346"/>
      <c r="D54" s="346"/>
      <c r="E54" s="346"/>
      <c r="F54" s="346"/>
      <c r="G54" s="346"/>
      <c r="H54" s="346"/>
      <c r="I54" s="346"/>
      <c r="J54" s="346"/>
      <c r="K54" s="346"/>
      <c r="L54" s="346"/>
      <c r="M54" s="258"/>
      <c r="N54" s="258"/>
      <c r="O54" s="258"/>
    </row>
    <row r="55" spans="2:15" s="257" customFormat="1" ht="12" customHeight="1" x14ac:dyDescent="0.3"/>
    <row r="56" spans="2:15" s="257" customFormat="1" ht="12" customHeight="1" x14ac:dyDescent="0.3"/>
    <row r="57" spans="2:15" s="257" customFormat="1" ht="12" customHeight="1" x14ac:dyDescent="0.3"/>
    <row r="58" spans="2:15" s="257" customFormat="1" ht="12" customHeight="1" x14ac:dyDescent="0.3"/>
    <row r="59" spans="2:15" s="257" customFormat="1" ht="12" customHeight="1" x14ac:dyDescent="0.3"/>
    <row r="60" spans="2:15" s="257" customFormat="1" ht="12" customHeight="1" x14ac:dyDescent="0.3"/>
    <row r="61" spans="2:15" s="257" customFormat="1" ht="12" customHeight="1" x14ac:dyDescent="0.3"/>
    <row r="62" spans="2:15" s="257" customFormat="1" ht="12" customHeight="1" x14ac:dyDescent="0.3"/>
    <row r="63" spans="2:15" s="257" customFormat="1" ht="12" customHeight="1" x14ac:dyDescent="0.3"/>
    <row r="64" spans="2:15" s="257" customFormat="1" ht="12" customHeight="1" x14ac:dyDescent="0.3"/>
    <row r="65" spans="2:18" s="257" customFormat="1" ht="12" customHeight="1" x14ac:dyDescent="0.3"/>
    <row r="66" spans="2:18" s="257" customFormat="1" ht="12" customHeight="1" x14ac:dyDescent="0.3"/>
    <row r="67" spans="2:18" s="257" customFormat="1" ht="12" customHeight="1" x14ac:dyDescent="0.3"/>
    <row r="68" spans="2:18" s="257" customFormat="1" ht="12" customHeight="1" x14ac:dyDescent="0.3"/>
    <row r="69" spans="2:18" s="257" customFormat="1" ht="12" customHeight="1" x14ac:dyDescent="0.3"/>
    <row r="70" spans="2:18" s="257" customFormat="1" ht="12" customHeight="1" x14ac:dyDescent="0.3"/>
    <row r="71" spans="2:18" s="257" customFormat="1" ht="12" customHeight="1" x14ac:dyDescent="0.3">
      <c r="B71" s="346"/>
      <c r="C71" s="258"/>
      <c r="D71" s="380" t="s">
        <v>185</v>
      </c>
      <c r="E71" s="258"/>
      <c r="F71" s="258"/>
      <c r="G71" s="346"/>
      <c r="H71" s="346"/>
      <c r="I71" s="258"/>
      <c r="J71" s="380" t="s">
        <v>185</v>
      </c>
      <c r="K71" s="258"/>
      <c r="L71" s="258"/>
      <c r="N71" s="346"/>
      <c r="O71" s="258"/>
      <c r="P71" s="380" t="s">
        <v>185</v>
      </c>
      <c r="Q71" s="258"/>
      <c r="R71" s="258"/>
    </row>
    <row r="72" spans="2:18" s="257" customFormat="1" ht="12" customHeight="1" x14ac:dyDescent="0.3">
      <c r="B72" s="346"/>
      <c r="C72" s="346"/>
      <c r="D72" s="346"/>
      <c r="E72" s="346"/>
      <c r="F72" s="346"/>
      <c r="G72" s="346"/>
      <c r="H72" s="346"/>
      <c r="I72" s="346"/>
      <c r="J72" s="346"/>
      <c r="K72" s="346"/>
      <c r="L72" s="346"/>
      <c r="N72" s="346"/>
      <c r="O72" s="346"/>
      <c r="P72" s="346"/>
      <c r="Q72" s="346"/>
      <c r="R72" s="346"/>
    </row>
    <row r="73" spans="2:18" s="257" customFormat="1" ht="12" customHeight="1" x14ac:dyDescent="0.3">
      <c r="B73" s="354" t="s">
        <v>186</v>
      </c>
      <c r="C73" s="346"/>
      <c r="D73" s="381" t="s">
        <v>187</v>
      </c>
      <c r="E73" s="305"/>
      <c r="F73" s="305"/>
      <c r="G73" s="346"/>
      <c r="H73" s="354" t="s">
        <v>186</v>
      </c>
      <c r="I73" s="346"/>
      <c r="J73" s="258" t="s">
        <v>188</v>
      </c>
      <c r="K73" s="305"/>
      <c r="L73" s="305"/>
      <c r="N73" s="382" t="s">
        <v>186</v>
      </c>
      <c r="O73" s="383" t="s">
        <v>189</v>
      </c>
      <c r="Q73" s="305"/>
      <c r="R73" s="305"/>
    </row>
    <row r="74" spans="2:18" s="257" customFormat="1" ht="12" customHeight="1" x14ac:dyDescent="0.3">
      <c r="B74" s="354" t="s">
        <v>190</v>
      </c>
      <c r="C74" s="371" t="s">
        <v>180</v>
      </c>
      <c r="D74" s="371" t="s">
        <v>181</v>
      </c>
      <c r="E74" s="371" t="s">
        <v>182</v>
      </c>
      <c r="F74" s="371" t="s">
        <v>183</v>
      </c>
      <c r="G74" s="346"/>
      <c r="H74" s="354" t="s">
        <v>190</v>
      </c>
      <c r="I74" s="371" t="s">
        <v>180</v>
      </c>
      <c r="J74" s="371" t="s">
        <v>181</v>
      </c>
      <c r="K74" s="371" t="s">
        <v>182</v>
      </c>
      <c r="L74" s="371" t="s">
        <v>183</v>
      </c>
      <c r="N74" s="382" t="s">
        <v>190</v>
      </c>
      <c r="O74" s="371" t="s">
        <v>180</v>
      </c>
      <c r="P74" s="371" t="s">
        <v>181</v>
      </c>
      <c r="Q74" s="371" t="s">
        <v>182</v>
      </c>
      <c r="R74" s="371" t="s">
        <v>183</v>
      </c>
    </row>
    <row r="75" spans="2:18" s="257" customFormat="1" ht="12" customHeight="1" x14ac:dyDescent="0.3">
      <c r="B75" s="346"/>
      <c r="C75" s="346"/>
      <c r="D75" s="346"/>
      <c r="E75" s="346"/>
      <c r="F75" s="346"/>
      <c r="G75" s="346"/>
      <c r="H75" s="346"/>
      <c r="I75" s="346"/>
      <c r="J75" s="346"/>
      <c r="K75" s="346"/>
      <c r="L75" s="346"/>
    </row>
    <row r="76" spans="2:18" s="257" customFormat="1" ht="12" customHeight="1" x14ac:dyDescent="0.3">
      <c r="B76" s="258">
        <v>40</v>
      </c>
      <c r="C76" s="258">
        <v>22</v>
      </c>
      <c r="D76" s="258">
        <v>22</v>
      </c>
      <c r="E76" s="258">
        <v>22</v>
      </c>
      <c r="F76" s="258">
        <v>24</v>
      </c>
      <c r="G76" s="346"/>
      <c r="H76" s="354" t="s">
        <v>191</v>
      </c>
      <c r="I76" s="258">
        <v>4</v>
      </c>
      <c r="J76" s="258">
        <v>6</v>
      </c>
      <c r="K76" s="258">
        <v>6</v>
      </c>
      <c r="L76" s="258">
        <v>8</v>
      </c>
      <c r="N76" s="258">
        <v>40</v>
      </c>
      <c r="O76" s="258">
        <f>C76+($I$76*2)</f>
        <v>30</v>
      </c>
      <c r="P76" s="258">
        <f>D76+($J$76*2)</f>
        <v>34</v>
      </c>
      <c r="Q76" s="258">
        <f>E76+($K$76*2)</f>
        <v>34</v>
      </c>
      <c r="R76" s="258">
        <f>F76+($L$76*2)</f>
        <v>40</v>
      </c>
    </row>
    <row r="77" spans="2:18" s="257" customFormat="1" ht="12" customHeight="1" x14ac:dyDescent="0.3">
      <c r="B77" s="258">
        <v>45</v>
      </c>
      <c r="C77" s="258">
        <v>22</v>
      </c>
      <c r="D77" s="258">
        <v>22</v>
      </c>
      <c r="E77" s="258">
        <v>22</v>
      </c>
      <c r="F77" s="258">
        <v>24</v>
      </c>
      <c r="G77" s="346"/>
      <c r="H77" s="258"/>
      <c r="I77" s="258"/>
      <c r="J77" s="258"/>
      <c r="K77" s="258"/>
      <c r="L77" s="258"/>
      <c r="N77" s="258">
        <v>45</v>
      </c>
      <c r="O77" s="258">
        <f t="shared" ref="O77:O83" si="0">C77+($I$76*2)</f>
        <v>30</v>
      </c>
      <c r="P77" s="258">
        <f t="shared" ref="P77:P83" si="1">D77+($J$76*2)</f>
        <v>34</v>
      </c>
      <c r="Q77" s="258">
        <f t="shared" ref="Q77:Q83" si="2">E77+($K$76*2)</f>
        <v>34</v>
      </c>
      <c r="R77" s="258">
        <f t="shared" ref="R77:R83" si="3">F77+($L$76*2)</f>
        <v>40</v>
      </c>
    </row>
    <row r="78" spans="2:18" s="257" customFormat="1" ht="12" customHeight="1" x14ac:dyDescent="0.3">
      <c r="B78" s="258">
        <v>50</v>
      </c>
      <c r="C78" s="258">
        <v>22</v>
      </c>
      <c r="D78" s="258">
        <v>22</v>
      </c>
      <c r="E78" s="258">
        <v>24</v>
      </c>
      <c r="F78" s="258">
        <v>24</v>
      </c>
      <c r="G78" s="346"/>
      <c r="H78" s="258"/>
      <c r="I78" s="258"/>
      <c r="J78" s="258"/>
      <c r="K78" s="258"/>
      <c r="L78" s="258"/>
      <c r="N78" s="258">
        <v>50</v>
      </c>
      <c r="O78" s="258">
        <f t="shared" si="0"/>
        <v>30</v>
      </c>
      <c r="P78" s="258">
        <f t="shared" si="1"/>
        <v>34</v>
      </c>
      <c r="Q78" s="258">
        <f t="shared" si="2"/>
        <v>36</v>
      </c>
      <c r="R78" s="258">
        <f t="shared" si="3"/>
        <v>40</v>
      </c>
    </row>
    <row r="79" spans="2:18" s="257" customFormat="1" ht="12" customHeight="1" x14ac:dyDescent="0.3">
      <c r="B79" s="258">
        <v>55</v>
      </c>
      <c r="C79" s="258">
        <v>22</v>
      </c>
      <c r="D79" s="258">
        <v>22</v>
      </c>
      <c r="E79" s="258">
        <v>24</v>
      </c>
      <c r="F79" s="258">
        <v>24</v>
      </c>
      <c r="G79" s="346"/>
      <c r="H79" s="258"/>
      <c r="I79" s="258"/>
      <c r="J79" s="258"/>
      <c r="K79" s="258"/>
      <c r="L79" s="258"/>
      <c r="N79" s="258">
        <v>55</v>
      </c>
      <c r="O79" s="258">
        <f t="shared" si="0"/>
        <v>30</v>
      </c>
      <c r="P79" s="258">
        <f t="shared" si="1"/>
        <v>34</v>
      </c>
      <c r="Q79" s="258">
        <f t="shared" si="2"/>
        <v>36</v>
      </c>
      <c r="R79" s="258">
        <f t="shared" si="3"/>
        <v>40</v>
      </c>
    </row>
    <row r="80" spans="2:18" s="257" customFormat="1" ht="12" customHeight="1" x14ac:dyDescent="0.3">
      <c r="B80" s="258">
        <v>60</v>
      </c>
      <c r="C80" s="258">
        <v>24</v>
      </c>
      <c r="D80" s="258">
        <v>24</v>
      </c>
      <c r="E80" s="258">
        <v>24</v>
      </c>
      <c r="F80" s="258">
        <v>24</v>
      </c>
      <c r="G80" s="346"/>
      <c r="H80" s="258"/>
      <c r="I80" s="258"/>
      <c r="J80" s="258"/>
      <c r="K80" s="258"/>
      <c r="L80" s="258"/>
      <c r="N80" s="258">
        <v>60</v>
      </c>
      <c r="O80" s="258">
        <f t="shared" si="0"/>
        <v>32</v>
      </c>
      <c r="P80" s="258">
        <f t="shared" si="1"/>
        <v>36</v>
      </c>
      <c r="Q80" s="258">
        <f t="shared" si="2"/>
        <v>36</v>
      </c>
      <c r="R80" s="258">
        <f t="shared" si="3"/>
        <v>40</v>
      </c>
    </row>
    <row r="81" spans="2:18" s="257" customFormat="1" ht="12" customHeight="1" x14ac:dyDescent="0.3">
      <c r="B81" s="258">
        <v>65</v>
      </c>
      <c r="C81" s="258">
        <v>24</v>
      </c>
      <c r="D81" s="258">
        <v>24</v>
      </c>
      <c r="E81" s="258">
        <v>24</v>
      </c>
      <c r="F81" s="258">
        <v>24</v>
      </c>
      <c r="G81" s="346"/>
      <c r="H81" s="258"/>
      <c r="I81" s="258"/>
      <c r="J81" s="258"/>
      <c r="K81" s="258"/>
      <c r="L81" s="258"/>
      <c r="N81" s="258">
        <v>65</v>
      </c>
      <c r="O81" s="258">
        <f t="shared" si="0"/>
        <v>32</v>
      </c>
      <c r="P81" s="258">
        <f t="shared" si="1"/>
        <v>36</v>
      </c>
      <c r="Q81" s="258">
        <f t="shared" si="2"/>
        <v>36</v>
      </c>
      <c r="R81" s="258">
        <f t="shared" si="3"/>
        <v>40</v>
      </c>
    </row>
    <row r="82" spans="2:18" s="257" customFormat="1" ht="12" customHeight="1" x14ac:dyDescent="0.3">
      <c r="B82" s="258">
        <v>70</v>
      </c>
      <c r="C82" s="258">
        <v>24</v>
      </c>
      <c r="D82" s="258">
        <v>24</v>
      </c>
      <c r="E82" s="258">
        <v>24</v>
      </c>
      <c r="F82" s="258">
        <v>24</v>
      </c>
      <c r="G82" s="346"/>
      <c r="H82" s="258"/>
      <c r="I82" s="258"/>
      <c r="J82" s="258"/>
      <c r="K82" s="258"/>
      <c r="L82" s="258"/>
      <c r="N82" s="258">
        <v>70</v>
      </c>
      <c r="O82" s="258">
        <f t="shared" si="0"/>
        <v>32</v>
      </c>
      <c r="P82" s="258">
        <f t="shared" si="1"/>
        <v>36</v>
      </c>
      <c r="Q82" s="258">
        <f t="shared" si="2"/>
        <v>36</v>
      </c>
      <c r="R82" s="258">
        <f t="shared" si="3"/>
        <v>40</v>
      </c>
    </row>
    <row r="83" spans="2:18" s="257" customFormat="1" ht="12" customHeight="1" x14ac:dyDescent="0.3">
      <c r="B83" s="258">
        <v>75</v>
      </c>
      <c r="C83" s="258">
        <v>24</v>
      </c>
      <c r="D83" s="258">
        <v>24</v>
      </c>
      <c r="E83" s="258">
        <v>24</v>
      </c>
      <c r="F83" s="258">
        <v>24</v>
      </c>
      <c r="G83" s="346"/>
      <c r="H83" s="258"/>
      <c r="I83" s="258"/>
      <c r="J83" s="258"/>
      <c r="K83" s="258"/>
      <c r="L83" s="258"/>
      <c r="N83" s="258">
        <v>75</v>
      </c>
      <c r="O83" s="258">
        <f t="shared" si="0"/>
        <v>32</v>
      </c>
      <c r="P83" s="258">
        <f t="shared" si="1"/>
        <v>36</v>
      </c>
      <c r="Q83" s="258">
        <f t="shared" si="2"/>
        <v>36</v>
      </c>
      <c r="R83" s="258">
        <f t="shared" si="3"/>
        <v>40</v>
      </c>
    </row>
    <row r="84" spans="2:18" s="257" customFormat="1" ht="12" customHeight="1" x14ac:dyDescent="0.3"/>
    <row r="85" spans="2:18" s="257" customFormat="1" ht="12" customHeight="1" x14ac:dyDescent="0.3"/>
    <row r="86" spans="2:18" s="257" customFormat="1" ht="12" customHeight="1" x14ac:dyDescent="0.3"/>
    <row r="87" spans="2:18" s="257" customFormat="1" ht="12" customHeight="1" x14ac:dyDescent="0.3"/>
    <row r="88" spans="2:18" s="257" customFormat="1" ht="12" customHeight="1" x14ac:dyDescent="0.3"/>
    <row r="89" spans="2:18" s="257" customFormat="1" ht="12" customHeight="1" x14ac:dyDescent="0.3"/>
    <row r="90" spans="2:18" s="257" customFormat="1" ht="12" customHeight="1" x14ac:dyDescent="0.3"/>
  </sheetData>
  <sheetProtection password="EC65" sheet="1" selectLockedCells="1"/>
  <mergeCells count="4">
    <mergeCell ref="C2:N4"/>
    <mergeCell ref="C32:F32"/>
    <mergeCell ref="K35:O35"/>
    <mergeCell ref="C48:F48"/>
  </mergeCells>
  <conditionalFormatting sqref="C10 K10">
    <cfRule type="expression" dxfId="10" priority="11" stopIfTrue="1">
      <formula>ISERROR($K$35)</formula>
    </cfRule>
  </conditionalFormatting>
  <conditionalFormatting sqref="H33 D33">
    <cfRule type="expression" dxfId="9" priority="8" stopIfTrue="1">
      <formula>ISERROR($C$82)</formula>
    </cfRule>
  </conditionalFormatting>
  <conditionalFormatting sqref="I33">
    <cfRule type="expression" dxfId="8" priority="7" stopIfTrue="1">
      <formula>ISERROR($N$83)</formula>
    </cfRule>
  </conditionalFormatting>
  <conditionalFormatting sqref="D34">
    <cfRule type="expression" dxfId="7" priority="6" stopIfTrue="1">
      <formula>ISERROR($K$84)</formula>
    </cfRule>
  </conditionalFormatting>
  <conditionalFormatting sqref="J33">
    <cfRule type="expression" dxfId="6" priority="5" stopIfTrue="1">
      <formula>ISERROR($E$129)</formula>
    </cfRule>
  </conditionalFormatting>
  <conditionalFormatting sqref="Q19">
    <cfRule type="expression" dxfId="5" priority="4" stopIfTrue="1">
      <formula>ISERROR($M$6)</formula>
    </cfRule>
  </conditionalFormatting>
  <conditionalFormatting sqref="Q21">
    <cfRule type="expression" dxfId="4" priority="3" stopIfTrue="1">
      <formula>ISERROR($M$8)</formula>
    </cfRule>
  </conditionalFormatting>
  <conditionalFormatting sqref="D49">
    <cfRule type="expression" dxfId="3" priority="2" stopIfTrue="1">
      <formula>ISERROR($C$82)</formula>
    </cfRule>
  </conditionalFormatting>
  <conditionalFormatting sqref="D50">
    <cfRule type="expression" dxfId="2" priority="1" stopIfTrue="1">
      <formula>ISERROR($K$84)</formula>
    </cfRule>
  </conditionalFormatting>
  <conditionalFormatting sqref="K18:K32">
    <cfRule type="expression" dxfId="1" priority="9" stopIfTrue="1">
      <formula>ISERROR($N$70)</formula>
    </cfRule>
  </conditionalFormatting>
  <conditionalFormatting sqref="J18:J32">
    <cfRule type="expression" dxfId="0" priority="10" stopIfTrue="1">
      <formula>ISERROR($K$74)</formula>
    </cfRule>
  </conditionalFormatting>
  <pageMargins left="0.7" right="0.7" top="0.75" bottom="0.75" header="0.3" footer="0.3"/>
  <pageSetup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4"/>
  <sheetViews>
    <sheetView showGridLines="0" zoomScaleNormal="100" workbookViewId="0">
      <selection activeCell="F13" sqref="F13"/>
    </sheetView>
  </sheetViews>
  <sheetFormatPr defaultColWidth="9.1796875" defaultRowHeight="12.75" customHeight="1" x14ac:dyDescent="0.3"/>
  <cols>
    <col min="1" max="2" width="3.453125" style="214" customWidth="1"/>
    <col min="3" max="9" width="9" style="214" customWidth="1"/>
    <col min="10" max="12" width="8.7265625" style="214" customWidth="1"/>
    <col min="13" max="13" width="10.453125" style="214" customWidth="1"/>
    <col min="14" max="16" width="8.7265625" style="214" customWidth="1"/>
    <col min="17" max="16384" width="9.1796875" style="214"/>
  </cols>
  <sheetData>
    <row r="1" spans="1:20" s="203" customFormat="1" ht="12.75" customHeight="1" x14ac:dyDescent="0.3"/>
    <row r="2" spans="1:20" s="203" customFormat="1" ht="12.75" customHeight="1" thickBot="1" x14ac:dyDescent="0.35"/>
    <row r="3" spans="1:20" s="203" customFormat="1" ht="12.75" customHeight="1" thickTop="1" x14ac:dyDescent="0.3">
      <c r="C3" s="307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9"/>
    </row>
    <row r="4" spans="1:20" s="203" customFormat="1" ht="12.75" customHeight="1" x14ac:dyDescent="0.3">
      <c r="A4" s="257"/>
      <c r="B4" s="257"/>
      <c r="C4" s="31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2"/>
      <c r="P4" s="12"/>
      <c r="Q4" s="311"/>
      <c r="R4" s="305"/>
      <c r="S4" s="306"/>
      <c r="T4" s="306"/>
    </row>
    <row r="5" spans="1:20" s="203" customFormat="1" ht="12.75" customHeight="1" x14ac:dyDescent="0.3">
      <c r="A5" s="257"/>
      <c r="B5" s="257"/>
      <c r="C5" s="310"/>
      <c r="D5" s="100"/>
      <c r="E5" s="7"/>
      <c r="F5" s="100"/>
      <c r="G5" s="181" t="s">
        <v>199</v>
      </c>
      <c r="H5" s="100"/>
      <c r="I5" s="100"/>
      <c r="J5" s="100"/>
      <c r="K5" s="100"/>
      <c r="L5" s="100"/>
      <c r="M5" s="100"/>
      <c r="N5" s="100"/>
      <c r="O5" s="100"/>
      <c r="P5" s="100"/>
      <c r="Q5" s="312"/>
      <c r="R5" s="306"/>
      <c r="S5" s="306"/>
      <c r="T5" s="306"/>
    </row>
    <row r="6" spans="1:20" s="203" customFormat="1" ht="12.75" customHeight="1" x14ac:dyDescent="0.3">
      <c r="A6" s="257"/>
      <c r="B6" s="257"/>
      <c r="C6" s="310"/>
      <c r="D6" s="7"/>
      <c r="E6" s="7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312"/>
      <c r="R6" s="306"/>
      <c r="S6" s="306"/>
      <c r="T6" s="306"/>
    </row>
    <row r="7" spans="1:20" s="203" customFormat="1" ht="12.75" customHeight="1" x14ac:dyDescent="0.3">
      <c r="A7" s="257"/>
      <c r="B7" s="257"/>
      <c r="C7" s="313" t="s">
        <v>205</v>
      </c>
      <c r="D7" s="100"/>
      <c r="E7" s="7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312"/>
      <c r="R7" s="306"/>
      <c r="S7" s="306"/>
      <c r="T7" s="306"/>
    </row>
    <row r="8" spans="1:20" s="203" customFormat="1" ht="12.75" customHeight="1" x14ac:dyDescent="0.3">
      <c r="A8" s="257"/>
      <c r="B8" s="257"/>
      <c r="C8" s="310"/>
      <c r="D8" s="7"/>
      <c r="E8" s="7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312"/>
      <c r="R8" s="306"/>
      <c r="S8" s="306"/>
      <c r="T8" s="306"/>
    </row>
    <row r="9" spans="1:20" s="203" customFormat="1" ht="12.75" customHeight="1" x14ac:dyDescent="0.3">
      <c r="A9" s="257"/>
      <c r="B9" s="257"/>
      <c r="C9" s="310"/>
      <c r="D9" s="100"/>
      <c r="E9" s="100"/>
      <c r="F9" s="182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312"/>
      <c r="R9" s="306"/>
      <c r="S9" s="306"/>
      <c r="T9" s="306"/>
    </row>
    <row r="10" spans="1:20" s="203" customFormat="1" ht="12.75" customHeight="1" x14ac:dyDescent="0.3">
      <c r="A10" s="257"/>
      <c r="B10" s="257"/>
      <c r="C10" s="310"/>
      <c r="D10" s="7"/>
      <c r="E10" s="100"/>
      <c r="F10" s="81" t="s">
        <v>70</v>
      </c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312"/>
      <c r="R10" s="306"/>
      <c r="S10" s="306"/>
      <c r="T10" s="306"/>
    </row>
    <row r="11" spans="1:20" s="203" customFormat="1" ht="12.75" customHeight="1" x14ac:dyDescent="0.3">
      <c r="A11" s="257"/>
      <c r="B11" s="257"/>
      <c r="C11" s="310"/>
      <c r="D11" s="7"/>
      <c r="E11" s="100"/>
      <c r="F11" s="183" t="s">
        <v>71</v>
      </c>
      <c r="G11" s="184"/>
      <c r="H11" s="100" t="s">
        <v>72</v>
      </c>
      <c r="I11" s="100"/>
      <c r="J11" s="100"/>
      <c r="K11" s="100"/>
      <c r="L11" s="100"/>
      <c r="M11" s="100"/>
      <c r="N11" s="100"/>
      <c r="O11" s="100"/>
      <c r="P11" s="100"/>
      <c r="Q11" s="312"/>
      <c r="R11" s="306"/>
      <c r="S11" s="306"/>
      <c r="T11" s="306"/>
    </row>
    <row r="12" spans="1:20" s="203" customFormat="1" ht="12.75" customHeight="1" x14ac:dyDescent="0.3">
      <c r="A12" s="257"/>
      <c r="B12" s="257"/>
      <c r="C12" s="310"/>
      <c r="D12" s="7"/>
      <c r="E12" s="100"/>
      <c r="F12" s="100"/>
      <c r="G12" s="183"/>
      <c r="H12" s="100"/>
      <c r="I12" s="100"/>
      <c r="J12" s="100"/>
      <c r="K12" s="100"/>
      <c r="L12" s="100"/>
      <c r="M12" s="100"/>
      <c r="N12" s="100"/>
      <c r="O12" s="100"/>
      <c r="P12" s="100"/>
      <c r="Q12" s="312"/>
      <c r="R12" s="306"/>
      <c r="S12" s="306"/>
      <c r="T12" s="306"/>
    </row>
    <row r="13" spans="1:20" s="203" customFormat="1" ht="12.75" customHeight="1" x14ac:dyDescent="0.3">
      <c r="A13" s="257"/>
      <c r="B13" s="257"/>
      <c r="C13" s="310"/>
      <c r="D13" s="7"/>
      <c r="E13" s="7"/>
      <c r="F13" s="185"/>
      <c r="G13" s="100"/>
      <c r="H13" s="186" t="str">
        <f>IF(F13&lt;&gt;"",3,"")</f>
        <v/>
      </c>
      <c r="I13" s="480" t="s">
        <v>73</v>
      </c>
      <c r="J13" s="480"/>
      <c r="K13" s="480"/>
      <c r="L13" s="480"/>
      <c r="M13" s="480"/>
      <c r="N13" s="100"/>
      <c r="O13" s="100"/>
      <c r="P13" s="100"/>
      <c r="Q13" s="312"/>
      <c r="R13" s="306"/>
      <c r="S13" s="306"/>
      <c r="T13" s="306"/>
    </row>
    <row r="14" spans="1:20" s="203" customFormat="1" ht="12.75" customHeight="1" x14ac:dyDescent="0.3">
      <c r="A14" s="257"/>
      <c r="B14" s="257"/>
      <c r="C14" s="310"/>
      <c r="D14" s="100"/>
      <c r="E14" s="100"/>
      <c r="F14" s="187"/>
      <c r="G14" s="100"/>
      <c r="H14" s="188"/>
      <c r="I14" s="480"/>
      <c r="J14" s="480"/>
      <c r="K14" s="480"/>
      <c r="L14" s="480"/>
      <c r="M14" s="480"/>
      <c r="N14" s="100"/>
      <c r="O14" s="100"/>
      <c r="P14" s="100"/>
      <c r="Q14" s="312"/>
      <c r="R14" s="306"/>
      <c r="S14" s="306"/>
      <c r="T14" s="306"/>
    </row>
    <row r="15" spans="1:20" s="203" customFormat="1" ht="12.75" customHeight="1" x14ac:dyDescent="0.3">
      <c r="A15" s="257"/>
      <c r="B15" s="257"/>
      <c r="C15" s="310"/>
      <c r="D15" s="100"/>
      <c r="E15" s="100"/>
      <c r="F15" s="187"/>
      <c r="G15" s="100"/>
      <c r="H15" s="188"/>
      <c r="I15" s="480"/>
      <c r="J15" s="480"/>
      <c r="K15" s="480"/>
      <c r="L15" s="480"/>
      <c r="M15" s="480"/>
      <c r="N15" s="100"/>
      <c r="O15" s="100"/>
      <c r="P15" s="100"/>
      <c r="Q15" s="312"/>
      <c r="R15" s="306"/>
      <c r="S15" s="306"/>
      <c r="T15" s="306"/>
    </row>
    <row r="16" spans="1:20" s="203" customFormat="1" ht="12.75" customHeight="1" x14ac:dyDescent="0.3">
      <c r="A16" s="257"/>
      <c r="B16" s="257"/>
      <c r="C16" s="310"/>
      <c r="D16" s="100"/>
      <c r="E16" s="100"/>
      <c r="F16" s="187"/>
      <c r="G16" s="100"/>
      <c r="H16" s="188"/>
      <c r="I16" s="480"/>
      <c r="J16" s="480"/>
      <c r="K16" s="480"/>
      <c r="L16" s="480"/>
      <c r="M16" s="480"/>
      <c r="N16" s="100"/>
      <c r="O16" s="100"/>
      <c r="P16" s="100"/>
      <c r="Q16" s="312"/>
      <c r="R16" s="306"/>
      <c r="S16" s="306"/>
      <c r="T16" s="306"/>
    </row>
    <row r="17" spans="1:20" s="203" customFormat="1" ht="12.75" customHeight="1" x14ac:dyDescent="0.3">
      <c r="A17" s="257"/>
      <c r="B17" s="257"/>
      <c r="C17" s="310"/>
      <c r="D17" s="100"/>
      <c r="E17" s="100"/>
      <c r="F17" s="187"/>
      <c r="G17" s="100"/>
      <c r="H17" s="188"/>
      <c r="I17" s="189"/>
      <c r="J17" s="189"/>
      <c r="K17" s="189"/>
      <c r="L17" s="189"/>
      <c r="M17" s="189"/>
      <c r="N17" s="100"/>
      <c r="O17" s="100"/>
      <c r="P17" s="100"/>
      <c r="Q17" s="312"/>
      <c r="R17" s="306"/>
      <c r="S17" s="306"/>
      <c r="T17" s="306"/>
    </row>
    <row r="18" spans="1:20" s="203" customFormat="1" ht="12.75" customHeight="1" x14ac:dyDescent="0.3">
      <c r="A18" s="257"/>
      <c r="B18" s="257"/>
      <c r="C18" s="310"/>
      <c r="D18" s="7"/>
      <c r="E18" s="100"/>
      <c r="F18" s="187"/>
      <c r="G18" s="100"/>
      <c r="H18" s="188"/>
      <c r="I18" s="100"/>
      <c r="J18" s="100"/>
      <c r="K18" s="100"/>
      <c r="L18" s="100"/>
      <c r="M18" s="100"/>
      <c r="N18" s="100"/>
      <c r="O18" s="100"/>
      <c r="P18" s="100"/>
      <c r="Q18" s="312"/>
      <c r="R18" s="306"/>
      <c r="S18" s="306"/>
      <c r="T18" s="306"/>
    </row>
    <row r="19" spans="1:20" s="203" customFormat="1" ht="12.75" customHeight="1" x14ac:dyDescent="0.3">
      <c r="A19" s="257"/>
      <c r="B19" s="257"/>
      <c r="C19" s="310"/>
      <c r="D19" s="100"/>
      <c r="E19" s="81" t="s">
        <v>223</v>
      </c>
      <c r="F19" s="185"/>
      <c r="G19" s="100"/>
      <c r="H19" s="186" t="str">
        <f>IF(F19&lt;&gt;"",2,"")</f>
        <v/>
      </c>
      <c r="I19" s="190" t="s">
        <v>74</v>
      </c>
      <c r="J19" s="100"/>
      <c r="K19" s="100"/>
      <c r="L19" s="100"/>
      <c r="M19" s="100"/>
      <c r="N19" s="100"/>
      <c r="O19" s="100"/>
      <c r="P19" s="100"/>
      <c r="Q19" s="312"/>
      <c r="R19" s="306"/>
      <c r="S19" s="306"/>
      <c r="T19" s="306"/>
    </row>
    <row r="20" spans="1:20" s="203" customFormat="1" ht="12.75" customHeight="1" x14ac:dyDescent="0.3">
      <c r="A20" s="257"/>
      <c r="B20" s="257"/>
      <c r="C20" s="310"/>
      <c r="D20" s="100"/>
      <c r="E20" s="81" t="s">
        <v>76</v>
      </c>
      <c r="F20" s="185"/>
      <c r="G20" s="100"/>
      <c r="H20" s="186" t="str">
        <f>IF(F20&lt;&gt;"",5,"")</f>
        <v/>
      </c>
      <c r="I20" s="190" t="s">
        <v>74</v>
      </c>
      <c r="J20" s="100"/>
      <c r="K20" s="100"/>
      <c r="L20" s="100"/>
      <c r="M20" s="100"/>
      <c r="N20" s="100"/>
      <c r="O20" s="100"/>
      <c r="P20" s="100"/>
      <c r="Q20" s="312"/>
      <c r="R20" s="306"/>
      <c r="S20" s="306"/>
      <c r="T20" s="306"/>
    </row>
    <row r="21" spans="1:20" s="203" customFormat="1" ht="12.75" customHeight="1" x14ac:dyDescent="0.3">
      <c r="A21" s="257"/>
      <c r="B21" s="257"/>
      <c r="C21" s="310"/>
      <c r="D21" s="100"/>
      <c r="E21" s="100"/>
      <c r="F21" s="100"/>
      <c r="G21" s="188"/>
      <c r="H21" s="100"/>
      <c r="I21" s="100"/>
      <c r="J21" s="100"/>
      <c r="K21" s="100"/>
      <c r="L21" s="100"/>
      <c r="M21" s="100"/>
      <c r="N21" s="100"/>
      <c r="O21" s="100"/>
      <c r="P21" s="100"/>
      <c r="Q21" s="312"/>
      <c r="R21" s="306"/>
      <c r="S21" s="306"/>
      <c r="T21" s="306"/>
    </row>
    <row r="22" spans="1:20" s="203" customFormat="1" ht="12.75" customHeight="1" x14ac:dyDescent="0.3">
      <c r="A22" s="257"/>
      <c r="B22" s="257"/>
      <c r="C22" s="314"/>
      <c r="D22" s="187"/>
      <c r="E22" s="84" t="s">
        <v>77</v>
      </c>
      <c r="F22" s="100"/>
      <c r="G22" s="100"/>
      <c r="H22" s="191">
        <f>IF(SUM(H13,H19:H20)&gt;5,5,SUM(H13,H19:H20))</f>
        <v>0</v>
      </c>
      <c r="I22" s="100"/>
      <c r="J22" s="100"/>
      <c r="K22" s="100"/>
      <c r="L22" s="100"/>
      <c r="M22" s="100"/>
      <c r="N22" s="100"/>
      <c r="O22" s="100"/>
      <c r="P22" s="100"/>
      <c r="Q22" s="312"/>
      <c r="R22" s="306"/>
      <c r="S22" s="306"/>
      <c r="T22" s="306"/>
    </row>
    <row r="23" spans="1:20" s="203" customFormat="1" ht="12.75" customHeight="1" x14ac:dyDescent="0.3">
      <c r="A23" s="257"/>
      <c r="B23" s="257"/>
      <c r="C23" s="314"/>
      <c r="D23" s="187"/>
      <c r="E23" s="187"/>
      <c r="F23" s="187"/>
      <c r="G23" s="187"/>
      <c r="H23" s="187"/>
      <c r="I23" s="100"/>
      <c r="J23" s="100"/>
      <c r="K23" s="100"/>
      <c r="L23" s="100"/>
      <c r="M23" s="100"/>
      <c r="N23" s="100"/>
      <c r="O23" s="100"/>
      <c r="P23" s="100"/>
      <c r="Q23" s="312"/>
      <c r="R23" s="306"/>
      <c r="S23" s="306"/>
      <c r="T23" s="306"/>
    </row>
    <row r="24" spans="1:20" s="203" customFormat="1" ht="12.75" customHeight="1" x14ac:dyDescent="0.3">
      <c r="A24" s="257"/>
      <c r="B24" s="257"/>
      <c r="C24" s="314"/>
      <c r="D24" s="187"/>
      <c r="E24" s="187"/>
      <c r="F24" s="187"/>
      <c r="G24" s="187"/>
      <c r="H24" s="187"/>
      <c r="I24" s="100"/>
      <c r="J24" s="100"/>
      <c r="K24" s="100"/>
      <c r="L24" s="100"/>
      <c r="M24" s="100"/>
      <c r="N24" s="100"/>
      <c r="O24" s="100"/>
      <c r="P24" s="100"/>
      <c r="Q24" s="312"/>
      <c r="R24" s="306"/>
      <c r="S24" s="306"/>
      <c r="T24" s="306"/>
    </row>
    <row r="25" spans="1:20" s="203" customFormat="1" ht="12.75" customHeight="1" x14ac:dyDescent="0.3">
      <c r="A25" s="257"/>
      <c r="B25" s="257"/>
      <c r="C25" s="314"/>
      <c r="D25" s="187"/>
      <c r="E25" s="187"/>
      <c r="F25" s="187"/>
      <c r="G25" s="187"/>
      <c r="H25" s="187"/>
      <c r="I25" s="100"/>
      <c r="J25" s="100"/>
      <c r="K25" s="100"/>
      <c r="L25" s="100"/>
      <c r="M25" s="100"/>
      <c r="N25" s="100"/>
      <c r="O25" s="100"/>
      <c r="P25" s="100"/>
      <c r="Q25" s="312"/>
      <c r="R25" s="306"/>
      <c r="S25" s="306"/>
      <c r="T25" s="306"/>
    </row>
    <row r="26" spans="1:20" s="203" customFormat="1" ht="12.75" customHeight="1" x14ac:dyDescent="0.3">
      <c r="A26" s="257"/>
      <c r="B26" s="257"/>
      <c r="C26" s="314"/>
      <c r="D26" s="187"/>
      <c r="E26" s="187"/>
      <c r="F26" s="187"/>
      <c r="G26" s="187"/>
      <c r="H26" s="187"/>
      <c r="I26" s="100"/>
      <c r="J26" s="100"/>
      <c r="K26" s="100"/>
      <c r="L26" s="100"/>
      <c r="M26" s="100"/>
      <c r="N26" s="100"/>
      <c r="O26" s="100"/>
      <c r="P26" s="100"/>
      <c r="Q26" s="312"/>
      <c r="R26" s="306"/>
      <c r="S26" s="306"/>
      <c r="T26" s="306"/>
    </row>
    <row r="27" spans="1:20" s="203" customFormat="1" ht="12.75" customHeight="1" x14ac:dyDescent="0.3">
      <c r="A27" s="257"/>
      <c r="B27" s="257"/>
      <c r="C27" s="31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312"/>
      <c r="R27" s="306"/>
      <c r="S27" s="306"/>
      <c r="T27" s="306"/>
    </row>
    <row r="28" spans="1:20" s="203" customFormat="1" ht="12.75" customHeight="1" x14ac:dyDescent="0.3">
      <c r="A28" s="257"/>
      <c r="B28" s="257"/>
      <c r="C28" s="31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312"/>
      <c r="R28" s="306"/>
      <c r="S28" s="306"/>
      <c r="T28" s="306"/>
    </row>
    <row r="29" spans="1:20" s="203" customFormat="1" ht="12.75" customHeight="1" x14ac:dyDescent="0.3">
      <c r="A29" s="257"/>
      <c r="B29" s="257"/>
      <c r="C29" s="31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312"/>
      <c r="R29" s="306"/>
      <c r="S29" s="306"/>
      <c r="T29" s="306"/>
    </row>
    <row r="30" spans="1:20" s="203" customFormat="1" ht="12.75" customHeight="1" x14ac:dyDescent="0.3">
      <c r="A30" s="257"/>
      <c r="B30" s="257"/>
      <c r="C30" s="31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312"/>
      <c r="R30" s="306"/>
      <c r="S30" s="306"/>
      <c r="T30" s="306"/>
    </row>
    <row r="31" spans="1:20" s="203" customFormat="1" ht="12.75" customHeight="1" x14ac:dyDescent="0.3">
      <c r="A31" s="257"/>
      <c r="B31" s="257"/>
      <c r="C31" s="31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312"/>
      <c r="R31" s="306"/>
      <c r="S31" s="306"/>
      <c r="T31" s="306"/>
    </row>
    <row r="32" spans="1:20" s="203" customFormat="1" ht="12.75" customHeight="1" thickBot="1" x14ac:dyDescent="0.35">
      <c r="A32" s="257"/>
      <c r="B32" s="257"/>
      <c r="C32" s="386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8"/>
      <c r="R32" s="306"/>
      <c r="S32" s="306"/>
      <c r="T32" s="306"/>
    </row>
    <row r="33" spans="1:20" s="203" customFormat="1" ht="12.75" customHeight="1" thickTop="1" x14ac:dyDescent="0.3">
      <c r="A33" s="257"/>
      <c r="B33" s="257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06"/>
      <c r="S33" s="306"/>
      <c r="T33" s="306"/>
    </row>
    <row r="34" spans="1:20" s="203" customFormat="1" ht="12.75" customHeight="1" x14ac:dyDescent="0.3">
      <c r="A34" s="257"/>
      <c r="B34" s="257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</row>
  </sheetData>
  <sheetProtection password="EC65" sheet="1" selectLockedCells="1"/>
  <mergeCells count="1">
    <mergeCell ref="I13:M16"/>
  </mergeCells>
  <pageMargins left="0.25" right="0.25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40"/>
  <sheetViews>
    <sheetView showGridLines="0" workbookViewId="0">
      <selection activeCell="C18" sqref="C18"/>
    </sheetView>
  </sheetViews>
  <sheetFormatPr defaultColWidth="9.1796875" defaultRowHeight="13" x14ac:dyDescent="0.3"/>
  <cols>
    <col min="1" max="1" width="9.1796875" style="257"/>
    <col min="2" max="2" width="3.1796875" style="257" customWidth="1"/>
    <col min="3" max="10" width="9.1796875" style="257"/>
    <col min="11" max="11" width="11.26953125" style="257" customWidth="1"/>
    <col min="12" max="16384" width="9.1796875" style="257"/>
  </cols>
  <sheetData>
    <row r="2" spans="2:13" ht="13.5" thickBot="1" x14ac:dyDescent="0.35"/>
    <row r="3" spans="2:13" ht="13.5" thickTop="1" x14ac:dyDescent="0.3">
      <c r="B3" s="398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400"/>
    </row>
    <row r="4" spans="2:13" x14ac:dyDescent="0.3">
      <c r="B4" s="31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312"/>
    </row>
    <row r="5" spans="2:13" x14ac:dyDescent="0.3">
      <c r="B5" s="310"/>
      <c r="C5" s="390" t="s">
        <v>78</v>
      </c>
      <c r="D5" s="391"/>
      <c r="E5" s="391"/>
      <c r="F5" s="391"/>
      <c r="G5" s="196"/>
      <c r="H5" s="196"/>
      <c r="I5" s="196"/>
      <c r="J5" s="196"/>
      <c r="K5" s="196"/>
      <c r="L5" s="392"/>
      <c r="M5" s="312"/>
    </row>
    <row r="6" spans="2:13" x14ac:dyDescent="0.3">
      <c r="B6" s="310"/>
      <c r="C6" s="196"/>
      <c r="D6" s="196"/>
      <c r="E6" s="196"/>
      <c r="F6" s="196"/>
      <c r="G6" s="196"/>
      <c r="H6" s="196"/>
      <c r="I6" s="196"/>
      <c r="J6" s="196"/>
      <c r="K6" s="196"/>
      <c r="L6" s="392"/>
      <c r="M6" s="312"/>
    </row>
    <row r="7" spans="2:13" ht="12.75" customHeight="1" x14ac:dyDescent="0.3">
      <c r="B7" s="310"/>
      <c r="C7" s="481" t="s">
        <v>80</v>
      </c>
      <c r="D7" s="481"/>
      <c r="E7" s="481"/>
      <c r="F7" s="481"/>
      <c r="G7" s="481"/>
      <c r="H7" s="481"/>
      <c r="I7" s="481"/>
      <c r="J7" s="481"/>
      <c r="K7" s="481"/>
      <c r="L7" s="194"/>
      <c r="M7" s="312"/>
    </row>
    <row r="8" spans="2:13" x14ac:dyDescent="0.3">
      <c r="B8" s="310"/>
      <c r="C8" s="481"/>
      <c r="D8" s="481"/>
      <c r="E8" s="481"/>
      <c r="F8" s="481"/>
      <c r="G8" s="481"/>
      <c r="H8" s="481"/>
      <c r="I8" s="481"/>
      <c r="J8" s="481"/>
      <c r="K8" s="481"/>
      <c r="L8" s="194"/>
      <c r="M8" s="312"/>
    </row>
    <row r="9" spans="2:13" x14ac:dyDescent="0.3">
      <c r="B9" s="310"/>
      <c r="C9" s="481"/>
      <c r="D9" s="481"/>
      <c r="E9" s="481"/>
      <c r="F9" s="481"/>
      <c r="G9" s="481"/>
      <c r="H9" s="481"/>
      <c r="I9" s="481"/>
      <c r="J9" s="481"/>
      <c r="K9" s="481"/>
      <c r="L9" s="194"/>
      <c r="M9" s="312"/>
    </row>
    <row r="10" spans="2:13" ht="12.75" customHeight="1" x14ac:dyDescent="0.3">
      <c r="B10" s="310"/>
      <c r="C10" s="481" t="s">
        <v>79</v>
      </c>
      <c r="D10" s="481"/>
      <c r="E10" s="481"/>
      <c r="F10" s="481"/>
      <c r="G10" s="481"/>
      <c r="H10" s="481"/>
      <c r="I10" s="481"/>
      <c r="J10" s="481"/>
      <c r="K10" s="481"/>
      <c r="L10" s="194"/>
      <c r="M10" s="312"/>
    </row>
    <row r="11" spans="2:13" ht="12.75" customHeight="1" x14ac:dyDescent="0.3">
      <c r="B11" s="310"/>
      <c r="C11" s="481"/>
      <c r="D11" s="481"/>
      <c r="E11" s="481"/>
      <c r="F11" s="481"/>
      <c r="G11" s="481"/>
      <c r="H11" s="481"/>
      <c r="I11" s="481"/>
      <c r="J11" s="481"/>
      <c r="K11" s="481"/>
      <c r="L11" s="194"/>
      <c r="M11" s="312"/>
    </row>
    <row r="12" spans="2:13" ht="12.75" customHeight="1" x14ac:dyDescent="0.3">
      <c r="B12" s="310"/>
      <c r="C12" s="195"/>
      <c r="D12" s="195"/>
      <c r="E12" s="195"/>
      <c r="F12" s="195"/>
      <c r="G12" s="195"/>
      <c r="H12" s="195"/>
      <c r="I12" s="195"/>
      <c r="J12" s="195"/>
      <c r="K12" s="195"/>
      <c r="L12" s="194"/>
      <c r="M12" s="312"/>
    </row>
    <row r="13" spans="2:13" x14ac:dyDescent="0.3">
      <c r="B13" s="310"/>
      <c r="C13" s="196"/>
      <c r="D13" s="196"/>
      <c r="E13" s="196"/>
      <c r="F13" s="194"/>
      <c r="G13" s="194"/>
      <c r="H13" s="194"/>
      <c r="I13" s="194"/>
      <c r="J13" s="194"/>
      <c r="K13" s="194"/>
      <c r="L13" s="194"/>
      <c r="M13" s="312"/>
    </row>
    <row r="14" spans="2:13" ht="12.75" customHeight="1" x14ac:dyDescent="0.3">
      <c r="B14" s="310"/>
      <c r="C14" s="491" t="s">
        <v>82</v>
      </c>
      <c r="D14" s="491"/>
      <c r="E14" s="492" t="s">
        <v>81</v>
      </c>
      <c r="F14" s="492"/>
      <c r="G14" s="492"/>
      <c r="H14" s="492"/>
      <c r="I14" s="492"/>
      <c r="J14" s="492"/>
      <c r="K14" s="493" t="s">
        <v>83</v>
      </c>
      <c r="L14" s="194"/>
      <c r="M14" s="312"/>
    </row>
    <row r="15" spans="2:13" ht="12.75" customHeight="1" x14ac:dyDescent="0.3">
      <c r="B15" s="310"/>
      <c r="C15" s="491"/>
      <c r="D15" s="491"/>
      <c r="E15" s="492"/>
      <c r="F15" s="492"/>
      <c r="G15" s="492"/>
      <c r="H15" s="492"/>
      <c r="I15" s="492"/>
      <c r="J15" s="492"/>
      <c r="K15" s="493"/>
      <c r="L15" s="194"/>
      <c r="M15" s="312"/>
    </row>
    <row r="16" spans="2:13" x14ac:dyDescent="0.3">
      <c r="B16" s="310"/>
      <c r="C16" s="491"/>
      <c r="D16" s="491"/>
      <c r="E16" s="492"/>
      <c r="F16" s="492"/>
      <c r="G16" s="492"/>
      <c r="H16" s="492"/>
      <c r="I16" s="492"/>
      <c r="J16" s="492"/>
      <c r="K16" s="493"/>
      <c r="L16" s="194"/>
      <c r="M16" s="312"/>
    </row>
    <row r="17" spans="2:13" x14ac:dyDescent="0.3">
      <c r="B17" s="310"/>
      <c r="C17" s="195"/>
      <c r="D17" s="195"/>
      <c r="E17" s="196"/>
      <c r="F17" s="196"/>
      <c r="G17" s="196"/>
      <c r="H17" s="196"/>
      <c r="I17" s="196"/>
      <c r="J17" s="196"/>
      <c r="K17" s="194"/>
      <c r="L17" s="194"/>
      <c r="M17" s="312"/>
    </row>
    <row r="18" spans="2:13" x14ac:dyDescent="0.3">
      <c r="B18" s="310"/>
      <c r="C18" s="323"/>
      <c r="D18" s="324"/>
      <c r="E18" s="482"/>
      <c r="F18" s="483"/>
      <c r="G18" s="483"/>
      <c r="H18" s="483"/>
      <c r="I18" s="483"/>
      <c r="J18" s="484"/>
      <c r="K18" s="323"/>
      <c r="L18" s="197"/>
      <c r="M18" s="312"/>
    </row>
    <row r="19" spans="2:13" x14ac:dyDescent="0.3">
      <c r="B19" s="310"/>
      <c r="C19" s="401"/>
      <c r="D19" s="401"/>
      <c r="E19" s="485"/>
      <c r="F19" s="486"/>
      <c r="G19" s="486"/>
      <c r="H19" s="486"/>
      <c r="I19" s="486"/>
      <c r="J19" s="487"/>
      <c r="K19" s="197"/>
      <c r="L19" s="197"/>
      <c r="M19" s="312"/>
    </row>
    <row r="20" spans="2:13" x14ac:dyDescent="0.3">
      <c r="B20" s="310"/>
      <c r="C20" s="194"/>
      <c r="D20" s="194"/>
      <c r="E20" s="488"/>
      <c r="F20" s="489"/>
      <c r="G20" s="489"/>
      <c r="H20" s="489"/>
      <c r="I20" s="489"/>
      <c r="J20" s="490"/>
      <c r="K20" s="197"/>
      <c r="L20" s="197"/>
      <c r="M20" s="312"/>
    </row>
    <row r="21" spans="2:13" x14ac:dyDescent="0.3">
      <c r="B21" s="310"/>
      <c r="C21" s="397"/>
      <c r="D21" s="397"/>
      <c r="E21" s="194"/>
      <c r="F21" s="194"/>
      <c r="G21" s="194"/>
      <c r="H21" s="194"/>
      <c r="I21" s="194"/>
      <c r="J21" s="194"/>
      <c r="K21" s="194"/>
      <c r="L21" s="194"/>
      <c r="M21" s="312"/>
    </row>
    <row r="22" spans="2:13" x14ac:dyDescent="0.3">
      <c r="B22" s="310"/>
      <c r="C22" s="323"/>
      <c r="D22" s="324"/>
      <c r="E22" s="482"/>
      <c r="F22" s="483"/>
      <c r="G22" s="483"/>
      <c r="H22" s="483"/>
      <c r="I22" s="483"/>
      <c r="J22" s="484"/>
      <c r="K22" s="323"/>
      <c r="L22" s="197"/>
      <c r="M22" s="312"/>
    </row>
    <row r="23" spans="2:13" x14ac:dyDescent="0.3">
      <c r="B23" s="310"/>
      <c r="C23" s="401"/>
      <c r="D23" s="401"/>
      <c r="E23" s="485"/>
      <c r="F23" s="486"/>
      <c r="G23" s="486"/>
      <c r="H23" s="486"/>
      <c r="I23" s="486"/>
      <c r="J23" s="487"/>
      <c r="K23" s="197"/>
      <c r="L23" s="197"/>
      <c r="M23" s="312"/>
    </row>
    <row r="24" spans="2:13" x14ac:dyDescent="0.3">
      <c r="B24" s="310"/>
      <c r="C24" s="194"/>
      <c r="D24" s="194"/>
      <c r="E24" s="488"/>
      <c r="F24" s="489"/>
      <c r="G24" s="489"/>
      <c r="H24" s="489"/>
      <c r="I24" s="489"/>
      <c r="J24" s="490"/>
      <c r="K24" s="198"/>
      <c r="L24" s="198"/>
      <c r="M24" s="312"/>
    </row>
    <row r="25" spans="2:13" x14ac:dyDescent="0.3">
      <c r="B25" s="310"/>
      <c r="C25" s="397"/>
      <c r="D25" s="397"/>
      <c r="E25" s="194"/>
      <c r="F25" s="194"/>
      <c r="G25" s="194"/>
      <c r="H25" s="194"/>
      <c r="I25" s="194"/>
      <c r="J25" s="194"/>
      <c r="K25" s="194"/>
      <c r="L25" s="194"/>
      <c r="M25" s="312"/>
    </row>
    <row r="26" spans="2:13" x14ac:dyDescent="0.3">
      <c r="B26" s="310"/>
      <c r="C26" s="323"/>
      <c r="D26" s="324"/>
      <c r="E26" s="482"/>
      <c r="F26" s="483"/>
      <c r="G26" s="483"/>
      <c r="H26" s="483"/>
      <c r="I26" s="483"/>
      <c r="J26" s="484"/>
      <c r="K26" s="323"/>
      <c r="L26" s="197"/>
      <c r="M26" s="312"/>
    </row>
    <row r="27" spans="2:13" x14ac:dyDescent="0.3">
      <c r="B27" s="310"/>
      <c r="C27" s="194"/>
      <c r="D27" s="194"/>
      <c r="E27" s="485"/>
      <c r="F27" s="486"/>
      <c r="G27" s="486"/>
      <c r="H27" s="486"/>
      <c r="I27" s="486"/>
      <c r="J27" s="487"/>
      <c r="K27" s="197"/>
      <c r="L27" s="197"/>
      <c r="M27" s="312"/>
    </row>
    <row r="28" spans="2:13" x14ac:dyDescent="0.3">
      <c r="B28" s="310"/>
      <c r="C28" s="194"/>
      <c r="D28" s="194"/>
      <c r="E28" s="488"/>
      <c r="F28" s="489"/>
      <c r="G28" s="489"/>
      <c r="H28" s="489"/>
      <c r="I28" s="489"/>
      <c r="J28" s="490"/>
      <c r="K28" s="194"/>
      <c r="L28" s="194"/>
      <c r="M28" s="312"/>
    </row>
    <row r="29" spans="2:13" x14ac:dyDescent="0.3">
      <c r="B29" s="310"/>
      <c r="C29" s="196"/>
      <c r="D29" s="196"/>
      <c r="E29" s="196"/>
      <c r="F29" s="194"/>
      <c r="G29" s="194"/>
      <c r="H29" s="194"/>
      <c r="I29" s="194"/>
      <c r="J29" s="194"/>
      <c r="K29" s="194"/>
      <c r="L29" s="194"/>
      <c r="M29" s="312"/>
    </row>
    <row r="30" spans="2:13" x14ac:dyDescent="0.3">
      <c r="B30" s="310"/>
      <c r="C30" s="196"/>
      <c r="D30" s="196"/>
      <c r="E30" s="196"/>
      <c r="F30" s="194"/>
      <c r="G30" s="194"/>
      <c r="H30" s="194"/>
      <c r="I30" s="194"/>
      <c r="J30" s="194"/>
      <c r="K30" s="194"/>
      <c r="L30" s="194"/>
      <c r="M30" s="312"/>
    </row>
    <row r="31" spans="2:13" ht="13.5" thickBot="1" x14ac:dyDescent="0.35">
      <c r="B31" s="310"/>
      <c r="C31" s="196"/>
      <c r="D31" s="196"/>
      <c r="E31" s="196"/>
      <c r="F31" s="194"/>
      <c r="G31" s="194"/>
      <c r="H31" s="194"/>
      <c r="I31" s="194"/>
      <c r="J31" s="194"/>
      <c r="K31" s="194"/>
      <c r="L31" s="194"/>
      <c r="M31" s="312"/>
    </row>
    <row r="32" spans="2:13" ht="13.5" thickBot="1" x14ac:dyDescent="0.35">
      <c r="B32" s="310"/>
      <c r="C32" s="325"/>
      <c r="D32" s="402" t="s">
        <v>84</v>
      </c>
      <c r="E32" s="7"/>
      <c r="F32" s="16"/>
      <c r="G32" s="7"/>
      <c r="H32" s="16"/>
      <c r="I32" s="7"/>
      <c r="J32" s="7"/>
      <c r="K32" s="100"/>
      <c r="L32" s="100"/>
      <c r="M32" s="312"/>
    </row>
    <row r="33" spans="2:13" x14ac:dyDescent="0.3">
      <c r="B33" s="31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312"/>
    </row>
    <row r="34" spans="2:13" x14ac:dyDescent="0.3">
      <c r="B34" s="31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312"/>
    </row>
    <row r="35" spans="2:13" x14ac:dyDescent="0.3">
      <c r="B35" s="31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312"/>
    </row>
    <row r="36" spans="2:13" x14ac:dyDescent="0.3">
      <c r="B36" s="31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312"/>
    </row>
    <row r="37" spans="2:13" x14ac:dyDescent="0.3">
      <c r="B37" s="31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312"/>
    </row>
    <row r="38" spans="2:13" x14ac:dyDescent="0.3">
      <c r="B38" s="31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312"/>
    </row>
    <row r="39" spans="2:13" ht="13.5" thickBot="1" x14ac:dyDescent="0.35">
      <c r="B39" s="386"/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88"/>
    </row>
    <row r="40" spans="2:13" ht="13.5" thickTop="1" x14ac:dyDescent="0.3"/>
  </sheetData>
  <sheetProtection password="EC65" sheet="1" objects="1" scenarios="1" selectLockedCells="1"/>
  <mergeCells count="8">
    <mergeCell ref="C10:K11"/>
    <mergeCell ref="C7:K9"/>
    <mergeCell ref="E18:J20"/>
    <mergeCell ref="E22:J24"/>
    <mergeCell ref="E26:J28"/>
    <mergeCell ref="C14:D16"/>
    <mergeCell ref="E14:J16"/>
    <mergeCell ref="K14:K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2R RATING SUMMARY</vt:lpstr>
      <vt:lpstr>Traffic and ACC</vt:lpstr>
      <vt:lpstr>Surface Rating</vt:lpstr>
      <vt:lpstr>F&amp;G Rating</vt:lpstr>
      <vt:lpstr>GEOMETRY </vt:lpstr>
      <vt:lpstr>2R Safety</vt:lpstr>
      <vt:lpstr>Missing Link</vt:lpstr>
      <vt:lpstr>'2R RATING SUMMARY'!Print_Area</vt:lpstr>
      <vt:lpstr>'GEOMETRY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2020-02-20T00:25:46Z</cp:lastPrinted>
  <dcterms:created xsi:type="dcterms:W3CDTF">2011-07-15T16:43:34Z</dcterms:created>
  <dcterms:modified xsi:type="dcterms:W3CDTF">2021-08-13T17:30:04Z</dcterms:modified>
</cp:coreProperties>
</file>