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NE/"/>
    </mc:Choice>
  </mc:AlternateContent>
  <xr:revisionPtr revIDLastSave="36" documentId="11_D516908AC599ECCAA3AF767B38E87AF0D061179A" xr6:coauthVersionLast="46" xr6:coauthVersionMax="46" xr10:uidLastSave="{5F7FFE06-3242-40F4-AB8F-570DF414E3AA}"/>
  <bookViews>
    <workbookView xWindow="-110" yWindow="-110" windowWidth="38620" windowHeight="21220" tabRatio="844" xr2:uid="{00000000-000D-0000-FFFF-FFFF00000000}"/>
  </bookViews>
  <sheets>
    <sheet name="3R RATING SUMMARY" sheetId="7" r:id="rId1"/>
    <sheet name="TRAFFIC &amp; ACCIDENTS" sheetId="11" r:id="rId2"/>
    <sheet name="Local &amp; Links" sheetId="15" r:id="rId3"/>
    <sheet name="STRUCTURE" sheetId="13" r:id="rId4"/>
    <sheet name="GEOMETRY" sheetId="14" r:id="rId5"/>
    <sheet name="3R Checklist Safety" sheetId="16" r:id="rId6"/>
    <sheet name="INTERSECTION" sheetId="17" r:id="rId7"/>
    <sheet name="USCS" sheetId="6" r:id="rId8"/>
    <sheet name="Engr's 3R letter" sheetId="5" r:id="rId9"/>
  </sheets>
  <definedNames>
    <definedName name="_xlnm.Print_Area" localSheetId="5">'3R Checklist Safety'!$B$3:$L$38</definedName>
    <definedName name="_xlnm.Print_Area" localSheetId="0">'3R RATING SUMMARY'!$B$3:$M$58</definedName>
    <definedName name="_xlnm.Print_Area" localSheetId="4">GEOMETRY!$B$2:$N$48</definedName>
    <definedName name="_xlnm.Print_Area" localSheetId="3">STRUCTURE!$B$4:$K$24,STRUCTURE!$B$35:$M$158</definedName>
    <definedName name="_xlnm.Print_Area" localSheetId="1">'TRAFFIC &amp; ACCIDENTS'!$B$4:$L$20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7" l="1"/>
  <c r="K23" i="7" l="1"/>
  <c r="R10" i="14" l="1"/>
  <c r="R8" i="14"/>
  <c r="V107" i="14"/>
  <c r="U107" i="14"/>
  <c r="V106" i="14"/>
  <c r="U106" i="14"/>
  <c r="V105" i="14"/>
  <c r="U105" i="14"/>
  <c r="V104" i="14"/>
  <c r="U104" i="14"/>
  <c r="V103" i="14"/>
  <c r="U103" i="14"/>
  <c r="V102" i="14"/>
  <c r="U102" i="14"/>
  <c r="V101" i="14"/>
  <c r="U101" i="14"/>
  <c r="V100" i="14"/>
  <c r="U100" i="14"/>
  <c r="V99" i="14"/>
  <c r="U99" i="14"/>
  <c r="V98" i="14"/>
  <c r="U98" i="14"/>
  <c r="V97" i="14"/>
  <c r="U97" i="14"/>
  <c r="V96" i="14"/>
  <c r="U96" i="14"/>
  <c r="V95" i="14"/>
  <c r="U95" i="14"/>
  <c r="V94" i="14"/>
  <c r="U94" i="14"/>
  <c r="V93" i="14"/>
  <c r="U93" i="14"/>
  <c r="V92" i="14"/>
  <c r="U92" i="14"/>
  <c r="V91" i="14"/>
  <c r="U91" i="14"/>
  <c r="V90" i="14"/>
  <c r="U90" i="14"/>
  <c r="P90" i="14"/>
  <c r="V89" i="14"/>
  <c r="U89" i="14"/>
  <c r="V88" i="14"/>
  <c r="U88" i="14"/>
  <c r="P88" i="14"/>
  <c r="P87" i="14"/>
  <c r="P86" i="14"/>
  <c r="U73" i="14"/>
  <c r="U72" i="14"/>
  <c r="U71" i="14"/>
  <c r="U70" i="14"/>
  <c r="U69" i="14"/>
  <c r="U68" i="14"/>
  <c r="U67" i="14"/>
  <c r="U66" i="14"/>
  <c r="U65" i="14"/>
  <c r="U64" i="14"/>
  <c r="U63" i="14"/>
  <c r="U62" i="14"/>
  <c r="U61" i="14"/>
  <c r="U60" i="14"/>
  <c r="U59" i="14"/>
  <c r="U58" i="14"/>
  <c r="P58" i="14"/>
  <c r="U57" i="14"/>
  <c r="P57" i="14"/>
  <c r="U56" i="14"/>
  <c r="P56" i="14"/>
  <c r="U55" i="14"/>
  <c r="U54" i="14"/>
  <c r="P48" i="14"/>
  <c r="R66" i="14" s="1"/>
  <c r="D12" i="11"/>
  <c r="U115" i="14" s="1"/>
  <c r="H10" i="11"/>
  <c r="H11" i="11"/>
  <c r="H12" i="11"/>
  <c r="H13" i="11"/>
  <c r="H14" i="11"/>
  <c r="H15" i="11"/>
  <c r="H16" i="11"/>
  <c r="H17" i="11"/>
  <c r="H18" i="11"/>
  <c r="H9" i="11"/>
  <c r="C150" i="13"/>
  <c r="G150" i="13" s="1"/>
  <c r="C149" i="13"/>
  <c r="F149" i="13" s="1"/>
  <c r="C148" i="13"/>
  <c r="G148" i="13" s="1"/>
  <c r="C147" i="13"/>
  <c r="F147" i="13" s="1"/>
  <c r="I140" i="13"/>
  <c r="K140" i="13" s="1"/>
  <c r="I139" i="13"/>
  <c r="K139" i="13" s="1"/>
  <c r="I138" i="13"/>
  <c r="K138" i="13" s="1"/>
  <c r="I137" i="13"/>
  <c r="J137" i="13" s="1"/>
  <c r="I136" i="13"/>
  <c r="K136" i="13" s="1"/>
  <c r="J127" i="13"/>
  <c r="J152" i="13"/>
  <c r="K94" i="13"/>
  <c r="G35" i="11"/>
  <c r="J35" i="11"/>
  <c r="I54" i="11"/>
  <c r="I56" i="11"/>
  <c r="H26" i="17"/>
  <c r="I30" i="17" s="1"/>
  <c r="K50" i="7" s="1"/>
  <c r="W37" i="16"/>
  <c r="H31" i="16"/>
  <c r="F29" i="16"/>
  <c r="G29" i="16" s="1"/>
  <c r="F28" i="16"/>
  <c r="G28" i="16" s="1"/>
  <c r="F30" i="16"/>
  <c r="G30" i="16" s="1"/>
  <c r="L45" i="14"/>
  <c r="K45" i="14"/>
  <c r="B23" i="13"/>
  <c r="J21" i="13"/>
  <c r="K21" i="13" s="1"/>
  <c r="C21" i="13"/>
  <c r="J20" i="13"/>
  <c r="K20" i="13" s="1"/>
  <c r="C20" i="13"/>
  <c r="B20" i="13"/>
  <c r="J19" i="13"/>
  <c r="K19" i="13" s="1"/>
  <c r="C19" i="13"/>
  <c r="B19" i="13"/>
  <c r="J18" i="13"/>
  <c r="K18" i="13"/>
  <c r="C18" i="13"/>
  <c r="B18" i="13"/>
  <c r="C17" i="13"/>
  <c r="B17" i="13"/>
  <c r="G10" i="13"/>
  <c r="K25" i="7"/>
  <c r="N30" i="7"/>
  <c r="I20" i="7"/>
  <c r="I54" i="7" s="1"/>
  <c r="I41" i="7"/>
  <c r="K47" i="7"/>
  <c r="K49" i="7"/>
  <c r="J138" i="13"/>
  <c r="F150" i="13"/>
  <c r="G31" i="16" l="1"/>
  <c r="F31" i="16" s="1"/>
  <c r="K137" i="13"/>
  <c r="K141" i="13" s="1"/>
  <c r="J141" i="13" s="1"/>
  <c r="J153" i="13" s="1"/>
  <c r="G147" i="13"/>
  <c r="P45" i="11"/>
  <c r="P44" i="11"/>
  <c r="P43" i="11" s="1"/>
  <c r="P42" i="11" s="1"/>
  <c r="P41" i="11" s="1"/>
  <c r="P40" i="11" s="1"/>
  <c r="P39" i="11" s="1"/>
  <c r="P48" i="11"/>
  <c r="P47" i="11"/>
  <c r="P49" i="11"/>
  <c r="P46" i="11"/>
  <c r="T28" i="14"/>
  <c r="S28" i="14" s="1"/>
  <c r="O49" i="11"/>
  <c r="H19" i="11"/>
  <c r="K18" i="7" s="1"/>
  <c r="G149" i="13"/>
  <c r="G151" i="13" s="1"/>
  <c r="J139" i="13"/>
  <c r="J136" i="13"/>
  <c r="K24" i="13"/>
  <c r="J22" i="13" s="1"/>
  <c r="C24" i="13"/>
  <c r="C22" i="13" s="1"/>
  <c r="J140" i="13"/>
  <c r="R101" i="14"/>
  <c r="Q101" i="14" s="1"/>
  <c r="R97" i="14"/>
  <c r="Q97" i="14" s="1"/>
  <c r="P97" i="14" s="1"/>
  <c r="P96" i="14" s="1"/>
  <c r="R95" i="14"/>
  <c r="Q95" i="14" s="1"/>
  <c r="P95" i="14" s="1"/>
  <c r="Q66" i="14"/>
  <c r="P66" i="14" s="1"/>
  <c r="P65" i="14" s="1"/>
  <c r="R65" i="14"/>
  <c r="Q65" i="14" s="1"/>
  <c r="R96" i="14"/>
  <c r="Q96" i="14" s="1"/>
  <c r="R64" i="14"/>
  <c r="Q64" i="14" s="1"/>
  <c r="R102" i="14"/>
  <c r="Q102" i="14" s="1"/>
  <c r="P102" i="14" s="1"/>
  <c r="P101" i="14" s="1"/>
  <c r="R100" i="14"/>
  <c r="Q100" i="14" s="1"/>
  <c r="P100" i="14" s="1"/>
  <c r="P92" i="14" s="1"/>
  <c r="W91" i="14" s="1"/>
  <c r="D25" i="16"/>
  <c r="I59" i="11"/>
  <c r="C12" i="16"/>
  <c r="T27" i="14"/>
  <c r="S27" i="14" s="1"/>
  <c r="O48" i="11"/>
  <c r="O47" i="11" s="1"/>
  <c r="O46" i="11" s="1"/>
  <c r="O45" i="11" s="1"/>
  <c r="O44" i="11" s="1"/>
  <c r="O43" i="11" s="1"/>
  <c r="O42" i="11" s="1"/>
  <c r="O41" i="11" s="1"/>
  <c r="O40" i="11" s="1"/>
  <c r="O39" i="11" s="1"/>
  <c r="T29" i="14"/>
  <c r="S29" i="14" s="1"/>
  <c r="R29" i="14" s="1"/>
  <c r="R28" i="14" s="1"/>
  <c r="U20" i="14"/>
  <c r="I58" i="11"/>
  <c r="F148" i="13"/>
  <c r="J31" i="16"/>
  <c r="K48" i="7" s="1"/>
  <c r="R27" i="14" l="1"/>
  <c r="K62" i="11"/>
  <c r="K64" i="11" s="1"/>
  <c r="K19" i="7" s="1"/>
  <c r="U31" i="14"/>
  <c r="M17" i="14" s="1"/>
  <c r="G39" i="14" s="1"/>
  <c r="K46" i="11"/>
  <c r="K17" i="7" s="1"/>
  <c r="K46" i="7"/>
  <c r="K52" i="7" s="1"/>
  <c r="C14" i="16"/>
  <c r="E14" i="16" s="1"/>
  <c r="F151" i="13"/>
  <c r="J154" i="13" s="1"/>
  <c r="J157" i="13" s="1"/>
  <c r="P64" i="14"/>
  <c r="R61" i="14" s="1"/>
  <c r="V63" i="14" s="1"/>
  <c r="Y63" i="14" s="1"/>
  <c r="X63" i="14" s="1"/>
  <c r="W93" i="14"/>
  <c r="K20" i="14"/>
  <c r="W95" i="14"/>
  <c r="W100" i="14"/>
  <c r="W104" i="14"/>
  <c r="W96" i="14"/>
  <c r="W94" i="14"/>
  <c r="W92" i="14"/>
  <c r="W98" i="14"/>
  <c r="W107" i="14"/>
  <c r="W105" i="14"/>
  <c r="W106" i="14"/>
  <c r="W88" i="14"/>
  <c r="W89" i="14"/>
  <c r="W103" i="14"/>
  <c r="W101" i="14"/>
  <c r="W99" i="14"/>
  <c r="W90" i="14"/>
  <c r="W102" i="14"/>
  <c r="W97" i="14"/>
  <c r="I60" i="11"/>
  <c r="K20" i="7" l="1"/>
  <c r="H28" i="14"/>
  <c r="G28" i="14" s="1"/>
  <c r="H34" i="14"/>
  <c r="G34" i="14" s="1"/>
  <c r="H44" i="14"/>
  <c r="G37" i="14"/>
  <c r="H25" i="14"/>
  <c r="G25" i="14" s="1"/>
  <c r="G42" i="14"/>
  <c r="G38" i="14"/>
  <c r="H36" i="14"/>
  <c r="G32" i="14"/>
  <c r="H39" i="14"/>
  <c r="G44" i="14"/>
  <c r="H37" i="14"/>
  <c r="G36" i="14"/>
  <c r="H32" i="14"/>
  <c r="H26" i="14"/>
  <c r="G26" i="14" s="1"/>
  <c r="G45" i="14" s="1"/>
  <c r="G43" i="14"/>
  <c r="G40" i="14"/>
  <c r="X6" i="16"/>
  <c r="H38" i="14"/>
  <c r="G27" i="14"/>
  <c r="H31" i="14"/>
  <c r="G31" i="14" s="1"/>
  <c r="H33" i="14"/>
  <c r="E20" i="14"/>
  <c r="D43" i="14" s="1"/>
  <c r="H41" i="14"/>
  <c r="T21" i="14"/>
  <c r="T20" i="14" s="1"/>
  <c r="S21" i="14" s="1"/>
  <c r="S20" i="14" s="1"/>
  <c r="R21" i="14" s="1"/>
  <c r="R20" i="14" s="1"/>
  <c r="R13" i="14" s="1"/>
  <c r="H8" i="14" s="1"/>
  <c r="V9" i="14" s="1"/>
  <c r="W11" i="14" s="1"/>
  <c r="W10" i="14" s="1"/>
  <c r="W9" i="14" s="1"/>
  <c r="K10" i="14" s="1"/>
  <c r="H35" i="14"/>
  <c r="G35" i="14" s="1"/>
  <c r="H43" i="14"/>
  <c r="H27" i="14"/>
  <c r="H42" i="14"/>
  <c r="H30" i="14"/>
  <c r="G30" i="14" s="1"/>
  <c r="H40" i="14"/>
  <c r="H29" i="14"/>
  <c r="G29" i="14" s="1"/>
  <c r="G41" i="14"/>
  <c r="G33" i="14"/>
  <c r="V69" i="14"/>
  <c r="W69" i="14" s="1"/>
  <c r="V71" i="14"/>
  <c r="W71" i="14" s="1"/>
  <c r="V64" i="14"/>
  <c r="Y64" i="14" s="1"/>
  <c r="X64" i="14" s="1"/>
  <c r="W64" i="14" s="1"/>
  <c r="W63" i="14"/>
  <c r="V67" i="14"/>
  <c r="Y67" i="14" s="1"/>
  <c r="X67" i="14" s="1"/>
  <c r="V58" i="14"/>
  <c r="Y58" i="14" s="1"/>
  <c r="X58" i="14" s="1"/>
  <c r="V56" i="14"/>
  <c r="Y56" i="14" s="1"/>
  <c r="X56" i="14" s="1"/>
  <c r="W56" i="14" s="1"/>
  <c r="V66" i="14"/>
  <c r="Y66" i="14" s="1"/>
  <c r="X66" i="14" s="1"/>
  <c r="V59" i="14"/>
  <c r="Y59" i="14" s="1"/>
  <c r="V65" i="14"/>
  <c r="Y65" i="14" s="1"/>
  <c r="X65" i="14" s="1"/>
  <c r="V54" i="14"/>
  <c r="Y54" i="14" s="1"/>
  <c r="V73" i="14"/>
  <c r="W73" i="14" s="1"/>
  <c r="V62" i="14"/>
  <c r="Y62" i="14" s="1"/>
  <c r="X62" i="14" s="1"/>
  <c r="W62" i="14" s="1"/>
  <c r="V72" i="14"/>
  <c r="W72" i="14" s="1"/>
  <c r="V68" i="14"/>
  <c r="Y68" i="14" s="1"/>
  <c r="X68" i="14" s="1"/>
  <c r="V70" i="14"/>
  <c r="W70" i="14" s="1"/>
  <c r="V57" i="14"/>
  <c r="Y57" i="14" s="1"/>
  <c r="X57" i="14" s="1"/>
  <c r="W57" i="14" s="1"/>
  <c r="V55" i="14"/>
  <c r="Y55" i="14" s="1"/>
  <c r="X55" i="14" s="1"/>
  <c r="W55" i="14" s="1"/>
  <c r="V61" i="14"/>
  <c r="Y61" i="14" s="1"/>
  <c r="X61" i="14" s="1"/>
  <c r="V60" i="14"/>
  <c r="Y60" i="14" s="1"/>
  <c r="X60" i="14" s="1"/>
  <c r="W60" i="14" s="1"/>
  <c r="N28" i="14"/>
  <c r="N36" i="14"/>
  <c r="N44" i="14"/>
  <c r="N29" i="14"/>
  <c r="N37" i="14"/>
  <c r="N30" i="14"/>
  <c r="N38" i="14"/>
  <c r="N31" i="14"/>
  <c r="N39" i="14"/>
  <c r="N33" i="14"/>
  <c r="N41" i="14"/>
  <c r="N26" i="14"/>
  <c r="N34" i="14"/>
  <c r="N42" i="14"/>
  <c r="N27" i="14"/>
  <c r="N35" i="14"/>
  <c r="N32" i="14"/>
  <c r="N40" i="14"/>
  <c r="N43" i="14"/>
  <c r="D44" i="14"/>
  <c r="D33" i="14"/>
  <c r="D41" i="14"/>
  <c r="D42" i="14"/>
  <c r="D35" i="14"/>
  <c r="D36" i="14"/>
  <c r="D27" i="14"/>
  <c r="O37" i="14"/>
  <c r="O35" i="14"/>
  <c r="W112" i="14"/>
  <c r="O41" i="14"/>
  <c r="O27" i="14"/>
  <c r="O33" i="14"/>
  <c r="O25" i="14"/>
  <c r="N25" i="14" s="1"/>
  <c r="O32" i="14"/>
  <c r="O38" i="14"/>
  <c r="O36" i="14"/>
  <c r="O39" i="14"/>
  <c r="O26" i="14"/>
  <c r="O34" i="14"/>
  <c r="O40" i="14"/>
  <c r="O31" i="14"/>
  <c r="O42" i="14"/>
  <c r="O44" i="14"/>
  <c r="O30" i="14"/>
  <c r="O28" i="14"/>
  <c r="O43" i="14"/>
  <c r="O29" i="14"/>
  <c r="D40" i="14" l="1"/>
  <c r="D32" i="14"/>
  <c r="D25" i="14"/>
  <c r="D31" i="14"/>
  <c r="D37" i="14"/>
  <c r="D39" i="14"/>
  <c r="D29" i="14"/>
  <c r="D38" i="14"/>
  <c r="D28" i="14"/>
  <c r="D30" i="14"/>
  <c r="D34" i="14"/>
  <c r="W67" i="14"/>
  <c r="D26" i="14"/>
  <c r="X59" i="14"/>
  <c r="W59" i="14" s="1"/>
  <c r="W65" i="14"/>
  <c r="Y69" i="14"/>
  <c r="X69" i="14" s="1"/>
  <c r="Y72" i="14"/>
  <c r="X72" i="14" s="1"/>
  <c r="Y70" i="14"/>
  <c r="X70" i="14" s="1"/>
  <c r="Y71" i="14"/>
  <c r="X71" i="14" s="1"/>
  <c r="X54" i="14"/>
  <c r="W54" i="14" s="1"/>
  <c r="W58" i="14"/>
  <c r="Y73" i="14"/>
  <c r="X73" i="14" s="1"/>
  <c r="W66" i="14"/>
  <c r="X91" i="14"/>
  <c r="Y116" i="14" s="1"/>
  <c r="Y115" i="14" s="1"/>
  <c r="Y114" i="14" s="1"/>
  <c r="Y113" i="14" s="1"/>
  <c r="W61" i="14"/>
  <c r="W68" i="14"/>
  <c r="K38" i="7"/>
  <c r="N45" i="14"/>
  <c r="W74" i="14" l="1"/>
  <c r="X74" i="14" s="1"/>
  <c r="K21" i="14"/>
  <c r="K39" i="7" s="1"/>
  <c r="Y74" i="14" l="1"/>
  <c r="K79" i="14" s="1"/>
  <c r="E21" i="14" s="1"/>
  <c r="K40" i="7" s="1"/>
  <c r="K41" i="7" s="1"/>
  <c r="I33" i="7"/>
  <c r="K31" i="7"/>
  <c r="K29" i="7"/>
  <c r="K32" i="7"/>
  <c r="K33" i="7" l="1"/>
  <c r="K34" i="7" s="1"/>
  <c r="K54" i="7" s="1"/>
</calcChain>
</file>

<file path=xl/sharedStrings.xml><?xml version="1.0" encoding="utf-8"?>
<sst xmlns="http://schemas.openxmlformats.org/spreadsheetml/2006/main" count="664" uniqueCount="530">
  <si>
    <t>Possible</t>
  </si>
  <si>
    <t xml:space="preserve">                                                                      </t>
  </si>
  <si>
    <t>Points</t>
  </si>
  <si>
    <t xml:space="preserve"> </t>
  </si>
  <si>
    <t>Subtotal</t>
  </si>
  <si>
    <t>GRAVEL</t>
  </si>
  <si>
    <t>Surface Condition</t>
  </si>
  <si>
    <t>Drainage</t>
  </si>
  <si>
    <t>Subsurface Condition</t>
  </si>
  <si>
    <t>LOCAL SIGNIFICANCE</t>
  </si>
  <si>
    <t>Vertical Alignment</t>
  </si>
  <si>
    <t>Horizontal Alignment</t>
  </si>
  <si>
    <t>Calculation Table</t>
  </si>
  <si>
    <t>AADT =</t>
  </si>
  <si>
    <t>TRUCK AADT =</t>
  </si>
  <si>
    <t>CALC</t>
  </si>
  <si>
    <t xml:space="preserve">Note: Use the larger of AADT or Truck AADT.  All traffic data  </t>
  </si>
  <si>
    <t>AADT</t>
  </si>
  <si>
    <t>TRUCK AADT</t>
  </si>
  <si>
    <t xml:space="preserve">   shall be adjusted to reflect average annual daily traffic (AADT).</t>
  </si>
  <si>
    <t>POINTS</t>
  </si>
  <si>
    <t xml:space="preserve">                                                                         </t>
  </si>
  <si>
    <t>Trk AADT</t>
  </si>
  <si>
    <t>TRAFFIC VOLUME SUBTOTAL</t>
  </si>
  <si>
    <t>=</t>
  </si>
  <si>
    <t xml:space="preserve">  </t>
  </si>
  <si>
    <t>(Page to be filled out by RAP Engineer)</t>
  </si>
  <si>
    <t>(Intermediate values on scales are acceptable)</t>
  </si>
  <si>
    <t>Excellent</t>
  </si>
  <si>
    <t>Tight surface with no slick or porous areas,</t>
  </si>
  <si>
    <t xml:space="preserve"> no cracks or spalling   </t>
  </si>
  <si>
    <t>Good</t>
  </si>
  <si>
    <t>Only minor, localized transverse cracks,</t>
  </si>
  <si>
    <t xml:space="preserve"> slick or porous areas</t>
  </si>
  <si>
    <t>Adequate</t>
  </si>
  <si>
    <t xml:space="preserve">Minor, localized, longitudinal cracks;  rutting, spalling or </t>
  </si>
  <si>
    <t xml:space="preserve">ravelling;  minor seal patching has been required;  some </t>
  </si>
  <si>
    <t>transverse cracking</t>
  </si>
  <si>
    <t>Fair</t>
  </si>
  <si>
    <t xml:space="preserve">Small areas that have required patching;  larger areas have </t>
  </si>
  <si>
    <t xml:space="preserve">required seal patching;  some longitudinal cracks, spalling, </t>
  </si>
  <si>
    <t>rutting, or ravelling</t>
  </si>
  <si>
    <t>Marginal</t>
  </si>
  <si>
    <t xml:space="preserve">Several areas that have required moderate to heavy </t>
  </si>
  <si>
    <t xml:space="preserve">patching; moderate to heavy cracking, spalling, </t>
  </si>
  <si>
    <t>rutting or ravelling</t>
  </si>
  <si>
    <t>Poor</t>
  </si>
  <si>
    <t xml:space="preserve">Large areas that have required asphalt patching and </t>
  </si>
  <si>
    <t xml:space="preserve">frequent seal coating;  heavy cracking, spalling, </t>
  </si>
  <si>
    <t>rutting and/or ravelling.</t>
  </si>
  <si>
    <t>*  Intermediate values are acceptable</t>
  </si>
  <si>
    <t xml:space="preserve">No signs of displacement or settling                   </t>
  </si>
  <si>
    <t xml:space="preserve">Minor localized sags along shoulder                    </t>
  </si>
  <si>
    <t xml:space="preserve">Moderate alligator cracking mid lane, some sags on </t>
  </si>
  <si>
    <t xml:space="preserve">     shoulders and  mid lane, minor localized settling</t>
  </si>
  <si>
    <t xml:space="preserve">Large areas of heavy alligator cracking, </t>
  </si>
  <si>
    <t xml:space="preserve">     extensive sagging and settling.</t>
  </si>
  <si>
    <t>Very Poor</t>
  </si>
  <si>
    <t xml:space="preserve">Major subgrade deterioration;  extensive deep sags and  </t>
  </si>
  <si>
    <t xml:space="preserve">     settling;  heavy alligator cracking throughout section.</t>
  </si>
  <si>
    <t>Structural Condition - Paved Only</t>
  </si>
  <si>
    <t>(Note: Round rating to nearest whole number)</t>
  </si>
  <si>
    <t>Adequate amount of surface material of proper gradation</t>
  </si>
  <si>
    <t>and well fractured.</t>
  </si>
  <si>
    <t>Some material but over sized gradation or poorly</t>
  </si>
  <si>
    <t xml:space="preserve"> fractured.</t>
  </si>
  <si>
    <t>No surface material, large loose stones, barely travelable.</t>
  </si>
  <si>
    <t>POINTS:</t>
  </si>
  <si>
    <t>&gt; 2000</t>
  </si>
  <si>
    <t>2'</t>
  </si>
  <si>
    <t>3' - 4'</t>
  </si>
  <si>
    <t>Proposed</t>
  </si>
  <si>
    <t>Design</t>
  </si>
  <si>
    <t>Minimum Des. Speed Calc. Table</t>
  </si>
  <si>
    <t>Flat</t>
  </si>
  <si>
    <t>Rolling</t>
  </si>
  <si>
    <t>Mountainous</t>
  </si>
  <si>
    <t>Minimum Design Speed</t>
  </si>
  <si>
    <t>Speed</t>
  </si>
  <si>
    <t>FLAT</t>
  </si>
  <si>
    <t>ROLLING</t>
  </si>
  <si>
    <t>MOUNTAINOUS</t>
  </si>
  <si>
    <t>Curve No.</t>
  </si>
  <si>
    <t>TRUCK ADT</t>
  </si>
  <si>
    <t>From CRAB</t>
  </si>
  <si>
    <t>1)</t>
  </si>
  <si>
    <t>Length of</t>
  </si>
  <si>
    <t>(check one)</t>
  </si>
  <si>
    <t>Points:</t>
  </si>
  <si>
    <t>(Surface Condition and Drainage points to be filled out by RAP Engineer)</t>
  </si>
  <si>
    <t>Scored By CRAB</t>
  </si>
  <si>
    <t>Visual Surface Score</t>
  </si>
  <si>
    <t>from CRAB</t>
  </si>
  <si>
    <t>Submit Test procedure and/or Data</t>
  </si>
  <si>
    <t>By Cores:  Dig or excavate down 3 ft with backhoe or auger.</t>
  </si>
  <si>
    <t xml:space="preserve"> Analyze material below surfacing.</t>
  </si>
  <si>
    <t>From Road Log</t>
  </si>
  <si>
    <t>CLASS</t>
  </si>
  <si>
    <t>SELECT ONE:</t>
  </si>
  <si>
    <t>T6 or T7</t>
  </si>
  <si>
    <t>T5</t>
  </si>
  <si>
    <t>T4</t>
  </si>
  <si>
    <t>T3</t>
  </si>
  <si>
    <t>Base</t>
  </si>
  <si>
    <t>Truck Rating</t>
  </si>
  <si>
    <t>TOTAL GRAVEL STRUCTURAL RATING</t>
  </si>
  <si>
    <t>POSSIBLE:</t>
  </si>
  <si>
    <t>SCORE</t>
  </si>
  <si>
    <t>SELECTED:</t>
  </si>
  <si>
    <t>Intermediate values are acceptible</t>
  </si>
  <si>
    <t>Drainage Score</t>
  </si>
  <si>
    <t>SCORE:</t>
  </si>
  <si>
    <t>Visual Rating</t>
  </si>
  <si>
    <t>STRUCTURAL CONDITION:</t>
  </si>
  <si>
    <t>Subsurface or Soils</t>
  </si>
  <si>
    <t>Surfaced</t>
  </si>
  <si>
    <t>OR</t>
  </si>
  <si>
    <t>Visual</t>
  </si>
  <si>
    <t>Cores</t>
  </si>
  <si>
    <t>F&amp;G</t>
  </si>
  <si>
    <t>VOLUME:</t>
  </si>
  <si>
    <t>Check each that apply:</t>
  </si>
  <si>
    <t>ACCIDENTS</t>
  </si>
  <si>
    <r>
      <t>LOCAL SIGNIFICANCE</t>
    </r>
    <r>
      <rPr>
        <b/>
        <u/>
        <sz val="7"/>
        <rFont val="MS Sans Serif"/>
        <family val="2"/>
      </rPr>
      <t/>
    </r>
  </si>
  <si>
    <t>TERRAIN</t>
  </si>
  <si>
    <t>COUNTY</t>
  </si>
  <si>
    <t>PROJECT NAME</t>
  </si>
  <si>
    <t>ACP, BST, PCC</t>
  </si>
  <si>
    <t>Gravel, Earth</t>
  </si>
  <si>
    <t>Unsurfaced</t>
  </si>
  <si>
    <t>Total Visual Score</t>
  </si>
  <si>
    <t>PROPOSED</t>
  </si>
  <si>
    <t>EXISTING</t>
  </si>
  <si>
    <t>COLLECTORS</t>
  </si>
  <si>
    <t>&lt; 400</t>
  </si>
  <si>
    <t>400 - 1500</t>
  </si>
  <si>
    <t>1500 - 2000</t>
  </si>
  <si>
    <t>STATE OF WASHINGTON</t>
  </si>
  <si>
    <t>COUNTY ROAD ADMINISTRATION BOARD</t>
  </si>
  <si>
    <t>VERIFICATION OF 3R SCOPE FOR RAP PROJECT</t>
  </si>
  <si>
    <t>County</t>
  </si>
  <si>
    <t>Project name</t>
  </si>
  <si>
    <t>Project mileposts</t>
  </si>
  <si>
    <t xml:space="preserve">The scope of work for the RATA funding proposal mentioned above, and which was </t>
  </si>
  <si>
    <t xml:space="preserve">submitted to CRAB on </t>
  </si>
  <si>
    <t xml:space="preserve">, is based on 3R design standards as </t>
  </si>
  <si>
    <t xml:space="preserve">referrenced in the Local Agency Guidelines.   </t>
  </si>
  <si>
    <t xml:space="preserve">In keeping with these guidelines, I have considered the following factors as well as others </t>
  </si>
  <si>
    <t>in arriving at the proposed scope of improvements:</t>
  </si>
  <si>
    <t>Roadside conditions</t>
  </si>
  <si>
    <t>Funding constraints</t>
  </si>
  <si>
    <t>Environmental concerns</t>
  </si>
  <si>
    <t>Changing traffic and land use patterns</t>
  </si>
  <si>
    <t>Deterioration rate of surfacing</t>
  </si>
  <si>
    <t>Accidents or accident rates.</t>
  </si>
  <si>
    <t xml:space="preserve">Where justified, the project will include: </t>
  </si>
  <si>
    <t>Guardrail improvements or upgrades</t>
  </si>
  <si>
    <t>Approach and and transition guardrail improvements for bridges</t>
  </si>
  <si>
    <t>Beveled end sections for crossing and parallel culverts located in the clear zone.</t>
  </si>
  <si>
    <t>Relocating, protecting, or providing breakaway features for sign supports and luminaires</t>
  </si>
  <si>
    <t>Protection for exposed bridge piers and abuttments.</t>
  </si>
  <si>
    <t>Removing fixed objects from the clear zone</t>
  </si>
  <si>
    <t>Improvements to roadway geometry.</t>
  </si>
  <si>
    <t xml:space="preserve">With these and other improvements as mentioned in the project prospectus, the project </t>
  </si>
  <si>
    <t xml:space="preserve">will sufficiently extend service life, provide additonal pavement strength, restore or </t>
  </si>
  <si>
    <t>improve the original cross section, and enhance safety.</t>
  </si>
  <si>
    <t>County Engineer</t>
  </si>
  <si>
    <t>Date</t>
  </si>
  <si>
    <t>This letter must be completed prior to commencing construction and retained in the county's project files.</t>
  </si>
  <si>
    <t>SAND</t>
  </si>
  <si>
    <t>CLAY</t>
  </si>
  <si>
    <t>ORGANIC</t>
  </si>
  <si>
    <t>SILT</t>
  </si>
  <si>
    <r>
      <t xml:space="preserve">See </t>
    </r>
    <r>
      <rPr>
        <b/>
        <u/>
        <sz val="8"/>
        <rFont val="MS Sans Serif"/>
        <family val="2"/>
      </rPr>
      <t>USCS sheet</t>
    </r>
  </si>
  <si>
    <t>GW, GP, GM, GC</t>
  </si>
  <si>
    <t>SW, SP, SM, SC</t>
  </si>
  <si>
    <t>ML, MH</t>
  </si>
  <si>
    <t>CL, CH</t>
  </si>
  <si>
    <t>OL, OH</t>
  </si>
  <si>
    <t>MAJOR DIVISIONS</t>
  </si>
  <si>
    <t>GROUP SYMBOL</t>
  </si>
  <si>
    <t>GROUP NAME</t>
  </si>
  <si>
    <t>COARSE GRAINED SOILS MORE THAN 50% RETAINED ON NO.200 SIEVE</t>
  </si>
  <si>
    <t>GRAVEL MORE THAN 50% OF COARSE FRACTION RETAINED ON NO.4 SIEVE</t>
  </si>
  <si>
    <t>CLEAN GRAVEL</t>
  </si>
  <si>
    <t>GW</t>
  </si>
  <si>
    <t>WELL-GRADED GRAVEL, FINE TO COARSE GRAVEL</t>
  </si>
  <si>
    <t>GP</t>
  </si>
  <si>
    <t>POORLY-GRADED GRAVEL</t>
  </si>
  <si>
    <t>GRAVEL WITH FINES</t>
  </si>
  <si>
    <t>GM</t>
  </si>
  <si>
    <t>SILTY GRAVEL</t>
  </si>
  <si>
    <t>GC</t>
  </si>
  <si>
    <t>CLAYEY GRAVEL</t>
  </si>
  <si>
    <t>SAND MORE THAN 50% OF COARSE FRACTION PASSES NO.4 SIEVE</t>
  </si>
  <si>
    <t>CLEAN SAND</t>
  </si>
  <si>
    <t>SW</t>
  </si>
  <si>
    <t>WELL-GRADED SAND, FINE TO COARSE SAND</t>
  </si>
  <si>
    <t>SP</t>
  </si>
  <si>
    <t>POORLY-GRADED SAND</t>
  </si>
  <si>
    <t>SAND WITH FINES</t>
  </si>
  <si>
    <t>SM</t>
  </si>
  <si>
    <t>SILTY SAND</t>
  </si>
  <si>
    <t>SC</t>
  </si>
  <si>
    <t>CLAYEY SAND</t>
  </si>
  <si>
    <t>FINE GRAINED SOILS MORE THAN 50% PASSES NO.200 SIEVE</t>
  </si>
  <si>
    <t>SILT AND CLAY LIQUID LIMIT LESS THAN 50</t>
  </si>
  <si>
    <t>INORGANIC</t>
  </si>
  <si>
    <t>ML</t>
  </si>
  <si>
    <t>CL</t>
  </si>
  <si>
    <t>OL</t>
  </si>
  <si>
    <t>ORGANIC SILT, ORGANIC CLAY</t>
  </si>
  <si>
    <t>SILT AND CLAY LIQUID LIMIT 50 OR MORE</t>
  </si>
  <si>
    <t>MH</t>
  </si>
  <si>
    <t>SILT OF HIGH PLASTICITY, ELASTIC SILT</t>
  </si>
  <si>
    <t>CH</t>
  </si>
  <si>
    <t>CLAY OF HIGH PLASTICITY, FAT CLAY</t>
  </si>
  <si>
    <t>OH</t>
  </si>
  <si>
    <t>ORGANIC CLAY, ORGANIC SILT</t>
  </si>
  <si>
    <t>HIGHLY ORGANIC SOILS</t>
  </si>
  <si>
    <t>PT</t>
  </si>
  <si>
    <t>PEAT</t>
  </si>
  <si>
    <t>Curve #</t>
  </si>
  <si>
    <t>TRAFFIC RATING</t>
  </si>
  <si>
    <t>PROJECT LENGTH, MI.</t>
  </si>
  <si>
    <t>Scored</t>
  </si>
  <si>
    <t>TRAFFIC:</t>
  </si>
  <si>
    <t>STRUCTURAL RATING</t>
  </si>
  <si>
    <t>1. VISUAL:</t>
  </si>
  <si>
    <t>3. FREIGHT AND GOODS CLASS</t>
  </si>
  <si>
    <t>GRAVELS</t>
  </si>
  <si>
    <t>SILTS</t>
  </si>
  <si>
    <t>GEOMETRY:</t>
  </si>
  <si>
    <t>T1-T3</t>
  </si>
  <si>
    <t>Road Width (shoulder to shoulder)</t>
  </si>
  <si>
    <t>GEOMETRY RATING</t>
  </si>
  <si>
    <t>Widening</t>
  </si>
  <si>
    <t>Speed:</t>
  </si>
  <si>
    <t>STANDARD</t>
  </si>
  <si>
    <t>3R CHECKLIST:</t>
  </si>
  <si>
    <t>(35 points max.)</t>
  </si>
  <si>
    <t xml:space="preserve">Sideslopes and guardaril </t>
  </si>
  <si>
    <t>Culvert end treatments</t>
  </si>
  <si>
    <t>Remove Structures and Obstructions</t>
  </si>
  <si>
    <t>Relocate Utility Poles</t>
  </si>
  <si>
    <t>NOTES:</t>
  </si>
  <si>
    <t xml:space="preserve">   1.  Points for Visual Rating portion of the STRUCTURAL RATING will be assigned by the RAP Engineer.</t>
  </si>
  <si>
    <t xml:space="preserve">   2.  No points are allowed for conditions which are not going to be improved by the proposed project.</t>
  </si>
  <si>
    <t>Design Speed</t>
  </si>
  <si>
    <t>Rate only fot those conditions that will be improved to standard</t>
  </si>
  <si>
    <t>Attach Roadside Hazard Review</t>
  </si>
  <si>
    <t>Sideslopes and Guardrail (25)</t>
  </si>
  <si>
    <t>Reduce Roadside Hazards</t>
  </si>
  <si>
    <t>Condition:</t>
  </si>
  <si>
    <t>Project length</t>
  </si>
  <si>
    <t>Count once</t>
  </si>
  <si>
    <t>Sideslopes and Guardrail</t>
  </si>
  <si>
    <t>Slopes or cuts must be 2:1 or steeper</t>
  </si>
  <si>
    <t>X 25 pts =</t>
  </si>
  <si>
    <t>points</t>
  </si>
  <si>
    <t>fill sections must be 6' or higher</t>
  </si>
  <si>
    <t>Calculated as % project length treated X 25 pts</t>
  </si>
  <si>
    <t>Culvert End Treatments (5)</t>
  </si>
  <si>
    <t>Count road approach culverts to be beveled, Cross culverts to have safety bars added.</t>
  </si>
  <si>
    <t>1 pt for each treatment, up to 5 points</t>
  </si>
  <si>
    <t>for Safety Bars on cross culverts</t>
  </si>
  <si>
    <t>Remove Structure and Obstructions (15)</t>
  </si>
  <si>
    <t>and beveled ends on road approach culverts</t>
  </si>
  <si>
    <t>Remove structure and obstuction from clear zone</t>
  </si>
  <si>
    <t>Objects per mile</t>
  </si>
  <si>
    <t>Attach Inventory Sheet</t>
  </si>
  <si>
    <t>a)</t>
  </si>
  <si>
    <t>Structures and Obstructions</t>
  </si>
  <si>
    <t>non - mail box</t>
  </si>
  <si>
    <t>trees, stumps &gt; 1.5 ft above ground level,</t>
  </si>
  <si>
    <t>Subtotals:</t>
  </si>
  <si>
    <t>Number of</t>
  </si>
  <si>
    <t xml:space="preserve">houses, concrete structures, </t>
  </si>
  <si>
    <t>1 - 4 / mile</t>
  </si>
  <si>
    <t>Mail Boxes</t>
  </si>
  <si>
    <t>non - breakaway sign supports.</t>
  </si>
  <si>
    <t>5 - 10 / mile</t>
  </si>
  <si>
    <t>&gt; 10 / mile</t>
  </si>
  <si>
    <t>b)</t>
  </si>
  <si>
    <t>mailboxes</t>
  </si>
  <si>
    <t>Relocate Utility Poles (5)</t>
  </si>
  <si>
    <t xml:space="preserve">  (to outside of clear zone,</t>
  </si>
  <si>
    <t>No. of poles to be relocated 4 ft beyond back of ditch or outside of clear zone</t>
  </si>
  <si>
    <t xml:space="preserve">  or 4' beyond back of ditch)</t>
  </si>
  <si>
    <t>25 pts allowed</t>
  </si>
  <si>
    <t xml:space="preserve">SILT  </t>
  </si>
  <si>
    <t>Widening:</t>
  </si>
  <si>
    <t>Score</t>
  </si>
  <si>
    <r>
      <t xml:space="preserve">LIST   ALL   </t>
    </r>
    <r>
      <rPr>
        <b/>
        <sz val="10"/>
        <color indexed="10"/>
        <rFont val="MS Sans Serif"/>
        <family val="2"/>
      </rPr>
      <t>DEFICIENT</t>
    </r>
    <r>
      <rPr>
        <sz val="10"/>
        <color indexed="10"/>
        <rFont val="MS Sans Serif"/>
        <family val="2"/>
      </rPr>
      <t xml:space="preserve">   CURVES</t>
    </r>
  </si>
  <si>
    <r>
      <t xml:space="preserve">Length of project to be improved in </t>
    </r>
    <r>
      <rPr>
        <b/>
        <sz val="10"/>
        <rFont val="MS Sans Serif"/>
        <family val="2"/>
      </rPr>
      <t>miles</t>
    </r>
    <r>
      <rPr>
        <sz val="10"/>
        <rFont val="MS Sans Serif"/>
      </rPr>
      <t xml:space="preserve">, for slopes </t>
    </r>
    <r>
      <rPr>
        <u/>
        <sz val="10"/>
        <rFont val="MS Sans Serif"/>
        <family val="2"/>
      </rPr>
      <t>&gt;</t>
    </r>
    <r>
      <rPr>
        <sz val="10"/>
        <rFont val="MS Sans Serif"/>
      </rPr>
      <t xml:space="preserve"> 6 ft. and 2:1 or steeper.</t>
    </r>
  </si>
  <si>
    <r>
      <t xml:space="preserve">Number of </t>
    </r>
    <r>
      <rPr>
        <b/>
        <u/>
        <sz val="10"/>
        <rFont val="MS Sans Serif"/>
        <family val="2"/>
      </rPr>
      <t>non mailbox</t>
    </r>
    <r>
      <rPr>
        <sz val="10"/>
        <rFont val="MS Sans Serif"/>
      </rPr>
      <t xml:space="preserve"> objects that are </t>
    </r>
    <r>
      <rPr>
        <b/>
        <sz val="10"/>
        <rFont val="MS Sans Serif"/>
        <family val="2"/>
      </rPr>
      <t>"Roadside Hazards"</t>
    </r>
  </si>
  <si>
    <r>
      <t xml:space="preserve">Good/Adequate = </t>
    </r>
    <r>
      <rPr>
        <b/>
        <sz val="10"/>
        <color indexed="10"/>
        <rFont val="MS Sans Serif"/>
        <family val="2"/>
      </rPr>
      <t>0</t>
    </r>
  </si>
  <si>
    <t>FATAL</t>
  </si>
  <si>
    <t>ECONOMY / USAGE:</t>
  </si>
  <si>
    <t>Pts</t>
  </si>
  <si>
    <t>GRAIN CROPS</t>
  </si>
  <si>
    <t>OTHER FIELD CROPS</t>
  </si>
  <si>
    <t>HORTICULTURE</t>
  </si>
  <si>
    <t>DAIRY/LIVESTOCK</t>
  </si>
  <si>
    <t>LOGGING</t>
  </si>
  <si>
    <t>INDUSTRY/MINING</t>
  </si>
  <si>
    <t>RECREATION</t>
  </si>
  <si>
    <t>COMMUTE</t>
  </si>
  <si>
    <t>MILITARY</t>
  </si>
  <si>
    <t>COMMERCIAL HAUL</t>
  </si>
  <si>
    <t>NON FATAL</t>
  </si>
  <si>
    <r>
      <t xml:space="preserve">Use the last </t>
    </r>
    <r>
      <rPr>
        <b/>
        <sz val="10"/>
        <rFont val="Arial"/>
        <family val="2"/>
      </rPr>
      <t>5</t>
    </r>
  </si>
  <si>
    <r>
      <t xml:space="preserve">1. Total Number of </t>
    </r>
    <r>
      <rPr>
        <b/>
        <sz val="10"/>
        <rFont val="Arial"/>
        <family val="2"/>
      </rPr>
      <t xml:space="preserve">Non Fatal </t>
    </r>
    <r>
      <rPr>
        <sz val="10"/>
        <rFont val="Arial"/>
        <family val="2"/>
      </rPr>
      <t>Accidents for Past 5 Yrs  =</t>
    </r>
  </si>
  <si>
    <t>full years of data</t>
  </si>
  <si>
    <r>
      <t xml:space="preserve">2. Total Number of </t>
    </r>
    <r>
      <rPr>
        <b/>
        <sz val="10"/>
        <rFont val="Arial"/>
        <family val="2"/>
      </rPr>
      <t>Fatal</t>
    </r>
    <r>
      <rPr>
        <sz val="10"/>
        <rFont val="Arial"/>
        <family val="2"/>
      </rPr>
      <t xml:space="preserve"> Accidents for Past 5 Years  =</t>
    </r>
  </si>
  <si>
    <t xml:space="preserve">      Acc. per Mile =</t>
  </si>
  <si>
    <t>Non Fatal Acc. + (3 x Fatal Accidents)</t>
  </si>
  <si>
    <t>(Weighted Acc)</t>
  </si>
  <si>
    <t>Length of Project in Miles</t>
  </si>
  <si>
    <t>(project length)</t>
  </si>
  <si>
    <t>ACCIDENTS/MILE</t>
  </si>
  <si>
    <t>X 2</t>
  </si>
  <si>
    <t>NER RAP 3R Rating Worksheet</t>
  </si>
  <si>
    <t>TOTAL NE 3R RAP WORKSHEET RATING:</t>
  </si>
  <si>
    <t>Surfaced
Visual</t>
  </si>
  <si>
    <r>
      <t xml:space="preserve">   Fair = </t>
    </r>
    <r>
      <rPr>
        <b/>
        <sz val="10"/>
        <color indexed="10"/>
        <rFont val="MS Sans Serif"/>
        <family val="2"/>
      </rPr>
      <t>5</t>
    </r>
  </si>
  <si>
    <r>
      <t xml:space="preserve">Poor = </t>
    </r>
    <r>
      <rPr>
        <b/>
        <sz val="10"/>
        <color indexed="10"/>
        <rFont val="MS Sans Serif"/>
        <family val="2"/>
      </rPr>
      <t>10</t>
    </r>
  </si>
  <si>
    <t>VOLUME</t>
  </si>
  <si>
    <t>USAGE / ECONOMY</t>
  </si>
  <si>
    <t>MISSING LINKS</t>
  </si>
  <si>
    <t>400 - 2000</t>
  </si>
  <si>
    <t>MISSING LINK STATUS</t>
  </si>
  <si>
    <t>(10 Pts Max.)</t>
  </si>
  <si>
    <t xml:space="preserve">Description:  </t>
  </si>
  <si>
    <t>Explain the missing link characteristics of this project</t>
  </si>
  <si>
    <t>2)</t>
  </si>
  <si>
    <t>Missing Link Rating:</t>
  </si>
  <si>
    <t>DEFINITION:</t>
  </si>
  <si>
    <t>Between two RAP funded sections</t>
  </si>
  <si>
    <t>Between a RAP funded section and a section improved with other funds</t>
  </si>
  <si>
    <t>Between a RAP funded section and an urban boundary or city limits</t>
  </si>
  <si>
    <t>Between a RAP funded section and a state highway.</t>
  </si>
  <si>
    <t>Between two sections recently improved or currently funded via federal funds.</t>
  </si>
  <si>
    <t>The end section off two or more RAP funded sections.</t>
  </si>
  <si>
    <t>An isolated section some distance between two other improved or funded sections on the same road.</t>
  </si>
  <si>
    <t>(The other funded sections must both be no more than 3 miles from the project)</t>
  </si>
  <si>
    <t>On the Freight and Goods Transportation System.</t>
  </si>
  <si>
    <t>On the regional system recognized by  the RTPO</t>
  </si>
  <si>
    <t>Between two urban ares or two state highways, or one of each.</t>
  </si>
  <si>
    <t>3)</t>
  </si>
  <si>
    <t>Conditions for missing link points:</t>
  </si>
  <si>
    <t>The project can qualify for only one category of points above.</t>
  </si>
  <si>
    <t>"Improved" means the work has been completed within the last ten (10) years</t>
  </si>
  <si>
    <t>"Between" means adjacent to.</t>
  </si>
  <si>
    <t>NE 3R</t>
  </si>
  <si>
    <t>Intermediate values are acceptable</t>
  </si>
  <si>
    <t>No. of Accidents</t>
  </si>
  <si>
    <t>VOLUME (7 Points Max.)</t>
  </si>
  <si>
    <t>1-100</t>
  </si>
  <si>
    <t>101-200</t>
  </si>
  <si>
    <t>201-300</t>
  </si>
  <si>
    <t>301-450</t>
  </si>
  <si>
    <t>451-600</t>
  </si>
  <si>
    <t>601-750</t>
  </si>
  <si>
    <t>751-900</t>
  </si>
  <si>
    <t>901-1050</t>
  </si>
  <si>
    <t>1051-1300</t>
  </si>
  <si>
    <t>&gt;1300</t>
  </si>
  <si>
    <t>1-10</t>
  </si>
  <si>
    <t>11-20</t>
  </si>
  <si>
    <t>21-30</t>
  </si>
  <si>
    <t>31-45</t>
  </si>
  <si>
    <t>46-60</t>
  </si>
  <si>
    <t>61-75</t>
  </si>
  <si>
    <t>76-90</t>
  </si>
  <si>
    <t>91-105</t>
  </si>
  <si>
    <t>106-130</t>
  </si>
  <si>
    <t>&gt;130</t>
  </si>
  <si>
    <t>Ball Bank</t>
  </si>
  <si>
    <t>Avg.</t>
  </si>
  <si>
    <t>Deficient</t>
  </si>
  <si>
    <t>Length</t>
  </si>
  <si>
    <t>Vb</t>
  </si>
  <si>
    <t>Minimum Design Speed Table</t>
  </si>
  <si>
    <t>HORIZ. ALIGNMENT:</t>
  </si>
  <si>
    <t>VERT. ALIGNMENT:</t>
  </si>
  <si>
    <t>Maximum Grade</t>
  </si>
  <si>
    <t>Pts Assigned</t>
  </si>
  <si>
    <t xml:space="preserve">weighted </t>
  </si>
  <si>
    <t xml:space="preserve">   %</t>
  </si>
  <si>
    <t xml:space="preserve">Existing </t>
  </si>
  <si>
    <t xml:space="preserve">    %</t>
  </si>
  <si>
    <t>Speed, Vb</t>
  </si>
  <si>
    <t>Impr.</t>
  </si>
  <si>
    <t>Grades</t>
  </si>
  <si>
    <r>
      <t>Grade,</t>
    </r>
    <r>
      <rPr>
        <u/>
        <sz val="8"/>
        <color indexed="14"/>
        <rFont val="Arial"/>
        <family val="2"/>
      </rPr>
      <t>Mi.</t>
    </r>
  </si>
  <si>
    <t xml:space="preserve">  Impr.</t>
  </si>
  <si>
    <t>Cum..</t>
  </si>
  <si>
    <t>Sections</t>
  </si>
  <si>
    <t>Miles</t>
  </si>
  <si>
    <t>3R PROJECTS</t>
  </si>
  <si>
    <t>The rating process is as follows:</t>
  </si>
  <si>
    <t>Rounded</t>
  </si>
  <si>
    <t xml:space="preserve">     1)</t>
  </si>
  <si>
    <t>Round each curve's ball bank speed to the nearest 5 mph</t>
  </si>
  <si>
    <t>MPH</t>
  </si>
  <si>
    <t>Curves</t>
  </si>
  <si>
    <r>
      <t xml:space="preserve">Curves </t>
    </r>
    <r>
      <rPr>
        <u/>
        <sz val="8"/>
        <rFont val="Arial"/>
        <family val="2"/>
      </rPr>
      <t>&lt;</t>
    </r>
  </si>
  <si>
    <t xml:space="preserve">   2)</t>
  </si>
  <si>
    <t>Subtract the rounded ball bank speed from the design speed for the project</t>
  </si>
  <si>
    <t>below</t>
  </si>
  <si>
    <t>Better than</t>
  </si>
  <si>
    <t>15 MPH</t>
  </si>
  <si>
    <t>&gt; 15 MPH</t>
  </si>
  <si>
    <t xml:space="preserve"> 3)</t>
  </si>
  <si>
    <t>Rate project by the following:</t>
  </si>
  <si>
    <t>standard</t>
  </si>
  <si>
    <t>Standard</t>
  </si>
  <si>
    <t>below std</t>
  </si>
  <si>
    <t>DESCRIPTIONS:</t>
  </si>
  <si>
    <r>
      <t xml:space="preserve">All existing alignment is </t>
    </r>
    <r>
      <rPr>
        <b/>
        <sz val="10"/>
        <rFont val="Arial"/>
        <family val="2"/>
      </rPr>
      <t>better than design speed</t>
    </r>
  </si>
  <si>
    <t>HORIZONTAL ALIGNMENT POINTS</t>
  </si>
  <si>
    <t>(15 Points Max.)</t>
  </si>
  <si>
    <t>Horizontal</t>
  </si>
  <si>
    <t>STANDARD GRADES (MAX.)</t>
  </si>
  <si>
    <t>VERTICAL ALIGNMENT CALCULATION:</t>
  </si>
  <si>
    <t>AASHTO 2001</t>
  </si>
  <si>
    <t>Collectors</t>
  </si>
  <si>
    <t>Arterials</t>
  </si>
  <si>
    <t>(p 427)</t>
  </si>
  <si>
    <t>(p 450)</t>
  </si>
  <si>
    <t>Grade, Mi.</t>
  </si>
  <si>
    <t>400-2000</t>
  </si>
  <si>
    <t>&lt;400</t>
  </si>
  <si>
    <t>% Deficient</t>
  </si>
  <si>
    <t>Function Class</t>
  </si>
  <si>
    <t>Standard Grade</t>
  </si>
  <si>
    <r>
      <t xml:space="preserve">Grade Chart, </t>
    </r>
    <r>
      <rPr>
        <b/>
        <sz val="10"/>
        <rFont val="Arial"/>
        <family val="2"/>
      </rPr>
      <t>Arterials</t>
    </r>
  </si>
  <si>
    <t>No portion of roadway exceeds standard grade</t>
  </si>
  <si>
    <t>Short sections exceed standard grade</t>
  </si>
  <si>
    <t>5% of project exceeds standard grade</t>
  </si>
  <si>
    <t>10% or more of project exceeds standard grade</t>
  </si>
  <si>
    <r>
      <t xml:space="preserve">Grade Chart, </t>
    </r>
    <r>
      <rPr>
        <b/>
        <sz val="10"/>
        <rFont val="Arial"/>
        <family val="2"/>
      </rPr>
      <t>Collectors</t>
    </r>
  </si>
  <si>
    <t>Vertical</t>
  </si>
  <si>
    <t>Total Miles of Deficiency</t>
  </si>
  <si>
    <t>Project Length, miles</t>
  </si>
  <si>
    <r>
      <t xml:space="preserve">One or more substandard curves &gt; </t>
    </r>
    <r>
      <rPr>
        <b/>
        <sz val="10"/>
        <rFont val="Arial"/>
        <family val="2"/>
      </rPr>
      <t>15 MPH below design speed</t>
    </r>
  </si>
  <si>
    <r>
      <t xml:space="preserve">All curves on existing roadway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15 mph below Design Speed</t>
    </r>
  </si>
  <si>
    <t>Exiting Surface Type</t>
  </si>
  <si>
    <t>http://cmfclearinghouse.org</t>
  </si>
  <si>
    <t>Intersection Countermeasure</t>
  </si>
  <si>
    <t>CMF</t>
  </si>
  <si>
    <t>Intersection Safety Points</t>
  </si>
  <si>
    <t>0-29</t>
  </si>
  <si>
    <t>30-49</t>
  </si>
  <si>
    <t>50-69</t>
  </si>
  <si>
    <t>85-95</t>
  </si>
  <si>
    <t>Aggregate CRF for all countermeasures</t>
  </si>
  <si>
    <t>Interesection Safety Points</t>
  </si>
  <si>
    <t xml:space="preserve">   If several studies apply to your project, average the CMFs and enter below. </t>
  </si>
  <si>
    <t xml:space="preserve">  The aggregate CMF is obtained by multiplying all of the CMFs together.</t>
  </si>
  <si>
    <t xml:space="preserve">   Enter countermeasure and CMF most applicable to your project in the table below. </t>
  </si>
  <si>
    <r>
      <rPr>
        <b/>
        <sz val="11"/>
        <color indexed="8"/>
        <rFont val="Calibri"/>
        <family val="2"/>
      </rPr>
      <t>Instructions:</t>
    </r>
    <r>
      <rPr>
        <sz val="10"/>
        <rFont val="MS Sans Serif"/>
      </rPr>
      <t xml:space="preserve"> Select intersection countermeasures and research associated Crash Modification Factor (CMF) at:</t>
    </r>
  </si>
  <si>
    <t>Intersection Safety</t>
  </si>
  <si>
    <t>3. Leave empty rows at 100%</t>
  </si>
  <si>
    <r>
      <rPr>
        <b/>
        <sz val="10"/>
        <color indexed="10"/>
        <rFont val="MS Sans Serif"/>
      </rPr>
      <t xml:space="preserve"> 2. </t>
    </r>
    <r>
      <rPr>
        <sz val="10"/>
        <rFont val="MS Sans Serif"/>
      </rPr>
      <t xml:space="preserve">Input Crash Modification
 Factor, </t>
    </r>
    <r>
      <rPr>
        <b/>
        <sz val="11"/>
        <color indexed="8"/>
        <rFont val="Calibri"/>
        <family val="2"/>
      </rPr>
      <t xml:space="preserve">CMF, </t>
    </r>
    <r>
      <rPr>
        <sz val="10"/>
        <rFont val="MS Sans Serif"/>
      </rPr>
      <t>as %</t>
    </r>
  </si>
  <si>
    <t>3R CHECKLIST Guide</t>
  </si>
  <si>
    <r>
      <rPr>
        <b/>
        <sz val="10"/>
        <color indexed="10"/>
        <rFont val="MS Sans Serif"/>
      </rPr>
      <t xml:space="preserve">1. </t>
    </r>
    <r>
      <rPr>
        <sz val="10"/>
        <rFont val="MS Sans Serif"/>
      </rPr>
      <t>Insert description of Countermeasure on left.</t>
    </r>
  </si>
  <si>
    <t>Includes Drainage</t>
  </si>
  <si>
    <t>15 Max.</t>
  </si>
  <si>
    <t>1. SURFACE CONDITION (10 Points Max.)</t>
  </si>
  <si>
    <t>3. SUBSURFACE CONDITION (20 pts Max)</t>
  </si>
  <si>
    <t xml:space="preserve">2. DRAINAGE (10 pts Max)  </t>
  </si>
  <si>
    <t>3. BASE OR FOUNDATION CONDITION  (10 Points Max)</t>
  </si>
  <si>
    <t>1. SURFACE CONDITION  (4 Points Max)</t>
  </si>
  <si>
    <t>2. DRAINAGE  (10 Points Max.)</t>
  </si>
  <si>
    <t>4. TRUCK CLASS RATING  (16 Points Max.)</t>
  </si>
  <si>
    <t>Input project length to show score</t>
  </si>
  <si>
    <t>TRAFFIC VOLUME (10 Points Max.)</t>
  </si>
  <si>
    <t>ACCIDENTS (10 Points Max.)</t>
  </si>
  <si>
    <t>HORIZONTAL ALIGNMENT (5 Points max.)</t>
  </si>
  <si>
    <t xml:space="preserve">VERTICAL ALIGNMENT (5 Points Max.) </t>
  </si>
  <si>
    <t>RATING SHEET DESIGNATIONS</t>
  </si>
  <si>
    <t xml:space="preserve">MISSING LINKS </t>
  </si>
  <si>
    <t>PROJECT LENGTH</t>
  </si>
  <si>
    <t>NE Region</t>
  </si>
  <si>
    <r>
      <t>70-8</t>
    </r>
    <r>
      <rPr>
        <b/>
        <sz val="10"/>
        <color indexed="10"/>
        <rFont val="MS Sans Serif"/>
      </rPr>
      <t>4</t>
    </r>
  </si>
  <si>
    <t>CRAB
Provided</t>
  </si>
  <si>
    <t>County
Provided</t>
  </si>
  <si>
    <t>Provided</t>
  </si>
  <si>
    <t>*Cores &amp; F&amp;G Truck Class</t>
  </si>
  <si>
    <t xml:space="preserve">   (for unsurfaced roads)</t>
  </si>
  <si>
    <t>Backhoe or auger,  3 ft.</t>
  </si>
  <si>
    <t xml:space="preserve">From CRAB </t>
  </si>
  <si>
    <t>(surfaced)</t>
  </si>
  <si>
    <t>(unsurfaced)</t>
  </si>
  <si>
    <t xml:space="preserve">2. CORES </t>
  </si>
  <si>
    <t>Check One:</t>
  </si>
  <si>
    <t>Add, for gravel or unsurfaced roads only:</t>
  </si>
  <si>
    <r>
      <t xml:space="preserve">RAP </t>
    </r>
    <r>
      <rPr>
        <b/>
        <sz val="20"/>
        <color indexed="30"/>
        <rFont val="Arial"/>
        <family val="2"/>
      </rPr>
      <t>3R</t>
    </r>
    <r>
      <rPr>
        <b/>
        <sz val="20"/>
        <color indexed="62"/>
        <rFont val="Arial"/>
        <family val="2"/>
      </rPr>
      <t xml:space="preserve"> project</t>
    </r>
  </si>
  <si>
    <t>3R RATING SUMMARY:</t>
  </si>
  <si>
    <t xml:space="preserve">     Cannot gain additional points for widening beyond:</t>
  </si>
  <si>
    <t>Design Roadbed width</t>
  </si>
  <si>
    <t>reworked formula</t>
  </si>
  <si>
    <t>ROADWAY WIDTH</t>
  </si>
  <si>
    <t>Existing Roadway Width</t>
  </si>
  <si>
    <t>Proposed Roadway Width</t>
  </si>
  <si>
    <r>
      <t xml:space="preserve">A. Roadside Safety - Reduce Roadside Hazards (25 pts) </t>
    </r>
    <r>
      <rPr>
        <b/>
        <sz val="8"/>
        <rFont val="MS Sans Serif"/>
      </rPr>
      <t/>
    </r>
  </si>
  <si>
    <t>Attach Hazard Review Documentation</t>
  </si>
  <si>
    <t>(outside of shoulder 
to outside of shoulder)</t>
  </si>
  <si>
    <t>(All projects are ranked by extent of improvement)</t>
  </si>
  <si>
    <t>Roadside Safety - Reduce Roadside Hazards:</t>
  </si>
  <si>
    <t>Intersection Improvements - CMFs:</t>
  </si>
  <si>
    <r>
      <t xml:space="preserve">Mark here to assign 10 pts to </t>
    </r>
    <r>
      <rPr>
        <b/>
        <sz val="10"/>
        <color rgb="FFFF0000"/>
        <rFont val="MS Sans Serif"/>
      </rPr>
      <t>only one</t>
    </r>
    <r>
      <rPr>
        <sz val="10"/>
        <color rgb="FFFF0000"/>
        <rFont val="MS Sans Serif"/>
      </rPr>
      <t xml:space="preserve"> project this call.</t>
    </r>
  </si>
  <si>
    <t>Assign 1 - 10 Pts based on project characteristics as defined below</t>
  </si>
  <si>
    <t>Subtotal (Max)</t>
  </si>
  <si>
    <t>5' or more</t>
  </si>
  <si>
    <r>
      <t xml:space="preserve">Calc relies on </t>
    </r>
    <r>
      <rPr>
        <u/>
        <sz val="8"/>
        <rFont val="MS Sans Serif"/>
      </rPr>
      <t>Project length</t>
    </r>
    <r>
      <rPr>
        <sz val="8"/>
        <rFont val="MS Sans Serif"/>
      </rPr>
      <t xml:space="preserve">, </t>
    </r>
    <r>
      <rPr>
        <u/>
        <sz val="8"/>
        <rFont val="MS Sans Serif"/>
      </rPr>
      <t>AADT</t>
    </r>
    <r>
      <rPr>
        <sz val="8"/>
        <rFont val="MS Sans Serif"/>
      </rPr>
      <t xml:space="preserve"> and </t>
    </r>
    <r>
      <rPr>
        <u/>
        <sz val="8"/>
        <rFont val="MS Sans Serif"/>
      </rPr>
      <t>Terrain</t>
    </r>
    <r>
      <rPr>
        <sz val="8"/>
        <rFont val="MS Sans Serif"/>
      </rPr>
      <t xml:space="preserve"> inputs</t>
    </r>
    <r>
      <rPr>
        <u/>
        <sz val="8"/>
        <rFont val="MS Sans Serif"/>
      </rPr>
      <t>.</t>
    </r>
  </si>
  <si>
    <r>
      <t xml:space="preserve">Calc relies on </t>
    </r>
    <r>
      <rPr>
        <u/>
        <sz val="8"/>
        <rFont val="MS Sans Serif"/>
      </rPr>
      <t>AADT</t>
    </r>
    <r>
      <rPr>
        <sz val="8"/>
        <rFont val="MS Sans Serif"/>
      </rPr>
      <t xml:space="preserve"> and </t>
    </r>
    <r>
      <rPr>
        <u/>
        <sz val="8"/>
        <rFont val="MS Sans Serif"/>
      </rPr>
      <t>Terrain</t>
    </r>
    <r>
      <rPr>
        <sz val="8"/>
        <rFont val="MS Sans Serif"/>
      </rPr>
      <t xml:space="preserve"> inputs</t>
    </r>
    <r>
      <rPr>
        <u/>
        <sz val="8"/>
        <rFont val="MS Sans Serif"/>
      </rPr>
      <t>.</t>
    </r>
  </si>
  <si>
    <t>miles to hundredths</t>
  </si>
  <si>
    <t>Use the last five 
full years' reports</t>
  </si>
  <si>
    <t>maintenance is required, a maximum rating may be applied.</t>
  </si>
  <si>
    <t xml:space="preserve">If traffic volumes and speed are such that excessive </t>
  </si>
  <si>
    <r>
      <t xml:space="preserve">STRUCTURAL CONDITION   </t>
    </r>
    <r>
      <rPr>
        <b/>
        <sz val="10"/>
        <color theme="9" tint="-0.249977111117893"/>
        <rFont val="MS Sans Serif"/>
      </rPr>
      <t>GRAVEL or EARTH</t>
    </r>
    <r>
      <rPr>
        <sz val="10"/>
        <rFont val="MS Sans Serif"/>
      </rPr>
      <t xml:space="preserve"> (</t>
    </r>
    <r>
      <rPr>
        <b/>
        <sz val="10"/>
        <color indexed="10"/>
        <rFont val="MS Sans Serif"/>
        <family val="2"/>
      </rPr>
      <t>40</t>
    </r>
    <r>
      <rPr>
        <sz val="10"/>
        <rFont val="MS Sans Serif"/>
      </rPr>
      <t xml:space="preserve"> Points Max.)</t>
    </r>
  </si>
  <si>
    <r>
      <t xml:space="preserve">STRUCTURAL CONDITION  </t>
    </r>
    <r>
      <rPr>
        <sz val="10"/>
        <color theme="9" tint="-0.249977111117893"/>
        <rFont val="MS Sans Serif"/>
      </rPr>
      <t xml:space="preserve"> </t>
    </r>
    <r>
      <rPr>
        <b/>
        <sz val="10"/>
        <color theme="9" tint="-0.249977111117893"/>
        <rFont val="MS Sans Serif"/>
      </rPr>
      <t>ASPHALT</t>
    </r>
    <r>
      <rPr>
        <sz val="10"/>
        <rFont val="MS Sans Serif"/>
        <family val="2"/>
      </rPr>
      <t xml:space="preserve"> (</t>
    </r>
    <r>
      <rPr>
        <sz val="10"/>
        <color indexed="10"/>
        <rFont val="MS Sans Serif"/>
        <family val="2"/>
      </rPr>
      <t>40</t>
    </r>
    <r>
      <rPr>
        <sz val="10"/>
        <rFont val="MS Sans Serif"/>
        <family val="2"/>
      </rPr>
      <t xml:space="preserve"> Points Max.)</t>
    </r>
  </si>
  <si>
    <t>one project only</t>
  </si>
  <si>
    <t>MAX.</t>
  </si>
  <si>
    <t>&lt;2001</t>
  </si>
  <si>
    <t>ADT ranges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</si>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</sst>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#"/>
    <numFmt numFmtId="166" formatCode="[$-409]mmmm\ d\,\ yyyy;@"/>
    <numFmt numFmtId="167" formatCode="mm/dd/yy;@"/>
  </numFmts>
  <fonts count="115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u/>
      <sz val="12"/>
      <name val="MS Sans Serif"/>
      <family val="2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u/>
      <sz val="8"/>
      <name val="MS Sans Serif"/>
      <family val="2"/>
    </font>
    <font>
      <sz val="8.5"/>
      <name val="MS Sans Serif"/>
      <family val="2"/>
    </font>
    <font>
      <b/>
      <u/>
      <sz val="10"/>
      <name val="MS Sans Serif"/>
      <family val="2"/>
    </font>
    <font>
      <b/>
      <u/>
      <sz val="10"/>
      <name val="MS Sans Serif"/>
      <family val="2"/>
    </font>
    <font>
      <b/>
      <sz val="10"/>
      <color indexed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8"/>
      <name val="MS Sans Serif"/>
      <family val="2"/>
    </font>
    <font>
      <b/>
      <u/>
      <sz val="8"/>
      <name val="MS Sans Serif"/>
      <family val="2"/>
    </font>
    <font>
      <b/>
      <u/>
      <sz val="12"/>
      <color indexed="14"/>
      <name val="MS Sans Serif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u/>
      <sz val="8"/>
      <name val="MS Sans Serif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10"/>
      <name val="MS Sans Serif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indexed="10"/>
      <name val="MS Sans Serif"/>
      <family val="2"/>
    </font>
    <font>
      <b/>
      <u/>
      <sz val="10"/>
      <color indexed="12"/>
      <name val="MS Sans Serif"/>
      <family val="2"/>
    </font>
    <font>
      <b/>
      <u/>
      <sz val="7"/>
      <name val="MS Sans Serif"/>
      <family val="2"/>
    </font>
    <font>
      <sz val="10"/>
      <color indexed="9"/>
      <name val="MS Sans Serif"/>
      <family val="2"/>
    </font>
    <font>
      <b/>
      <sz val="10"/>
      <name val="Arial"/>
      <family val="2"/>
    </font>
    <font>
      <sz val="14"/>
      <name val="Courier New"/>
      <family val="3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8"/>
      <name val="MS Sans Serif"/>
      <family val="2"/>
    </font>
    <font>
      <sz val="8.5"/>
      <name val="MS Sans Serif"/>
      <family val="2"/>
    </font>
    <font>
      <b/>
      <sz val="12"/>
      <color indexed="14"/>
      <name val="MS Sans Serif"/>
      <family val="2"/>
    </font>
    <font>
      <b/>
      <sz val="8.5"/>
      <name val="Verdana"/>
      <family val="2"/>
    </font>
    <font>
      <b/>
      <sz val="8.5"/>
      <color indexed="14"/>
      <name val="MS Sans Serif"/>
      <family val="2"/>
    </font>
    <font>
      <sz val="8.5"/>
      <name val="Verdana"/>
      <family val="2"/>
    </font>
    <font>
      <b/>
      <sz val="8.5"/>
      <name val="MS Sans Serif"/>
      <family val="2"/>
    </font>
    <font>
      <sz val="8.5"/>
      <name val="Times New Roman"/>
      <family val="1"/>
    </font>
    <font>
      <sz val="8"/>
      <color indexed="9"/>
      <name val="MS Sans Serif"/>
      <family val="2"/>
    </font>
    <font>
      <sz val="7"/>
      <color indexed="10"/>
      <name val="MS Sans Serif"/>
      <family val="2"/>
    </font>
    <font>
      <b/>
      <sz val="18"/>
      <name val="MS Sans Serif"/>
      <family val="2"/>
    </font>
    <font>
      <sz val="10"/>
      <name val="MS Sans Serif"/>
      <family val="2"/>
    </font>
    <font>
      <b/>
      <sz val="8"/>
      <color indexed="10"/>
      <name val="MS Sans Serif"/>
      <family val="2"/>
    </font>
    <font>
      <b/>
      <u/>
      <sz val="24"/>
      <name val="MS Sans Serif"/>
      <family val="2"/>
    </font>
    <font>
      <b/>
      <sz val="8"/>
      <name val="MS Sans Serif"/>
    </font>
    <font>
      <b/>
      <sz val="10"/>
      <name val="MS Sans Serif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8"/>
      <name val="Arial"/>
      <family val="2"/>
    </font>
    <font>
      <b/>
      <u/>
      <sz val="10"/>
      <name val="MS Sans Serif"/>
    </font>
    <font>
      <b/>
      <sz val="10"/>
      <color indexed="10"/>
      <name val="MS Sans Serif"/>
    </font>
    <font>
      <u/>
      <sz val="8"/>
      <color indexed="14"/>
      <name val="Arial"/>
      <family val="2"/>
    </font>
    <font>
      <b/>
      <sz val="10"/>
      <color indexed="14"/>
      <name val="MS Sans Serif"/>
      <family val="2"/>
    </font>
    <font>
      <sz val="10"/>
      <color indexed="42"/>
      <name val="MS Sans Serif"/>
      <family val="2"/>
    </font>
    <font>
      <b/>
      <u/>
      <sz val="10"/>
      <color indexed="14"/>
      <name val="Arial"/>
      <family val="2"/>
    </font>
    <font>
      <b/>
      <u/>
      <sz val="10"/>
      <color indexed="14"/>
      <name val="MS Sans Serif"/>
      <family val="2"/>
    </font>
    <font>
      <b/>
      <sz val="11"/>
      <color indexed="8"/>
      <name val="Calibri"/>
      <family val="2"/>
    </font>
    <font>
      <u/>
      <sz val="14"/>
      <color indexed="12"/>
      <name val="MS Sans Serif"/>
      <family val="2"/>
    </font>
    <font>
      <sz val="10"/>
      <color indexed="10"/>
      <name val="MS Sans Serif"/>
    </font>
    <font>
      <b/>
      <u/>
      <sz val="10"/>
      <color indexed="12"/>
      <name val="MS Sans Serif"/>
    </font>
    <font>
      <b/>
      <u/>
      <sz val="14"/>
      <name val="MS Sans Serif"/>
      <family val="2"/>
    </font>
    <font>
      <sz val="8"/>
      <name val="MS Sans Serif"/>
    </font>
    <font>
      <b/>
      <sz val="20"/>
      <color indexed="62"/>
      <name val="Arial"/>
      <family val="2"/>
    </font>
    <font>
      <b/>
      <sz val="20"/>
      <color indexed="30"/>
      <name val="Arial"/>
      <family val="2"/>
    </font>
    <font>
      <u/>
      <sz val="8"/>
      <color indexed="12"/>
      <name val="M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MS Sans Serif"/>
    </font>
    <font>
      <b/>
      <sz val="10"/>
      <color rgb="FF00B050"/>
      <name val="MS Sans Serif"/>
    </font>
    <font>
      <b/>
      <sz val="11"/>
      <color rgb="FFFF0000"/>
      <name val="Calibri"/>
      <family val="2"/>
      <scheme val="minor"/>
    </font>
    <font>
      <sz val="10"/>
      <color rgb="FFFF0000"/>
      <name val="MS Sans Serif"/>
      <family val="2"/>
    </font>
    <font>
      <sz val="10"/>
      <color theme="0"/>
      <name val="MS Sans Serif"/>
    </font>
    <font>
      <sz val="10"/>
      <color theme="0"/>
      <name val="MS Sans Serif"/>
      <family val="2"/>
    </font>
    <font>
      <sz val="10"/>
      <color theme="0"/>
      <name val="Arial"/>
      <family val="2"/>
    </font>
    <font>
      <b/>
      <u/>
      <sz val="8"/>
      <color rgb="FFFF0000"/>
      <name val="MS Sans Serif"/>
      <family val="2"/>
    </font>
    <font>
      <b/>
      <sz val="10"/>
      <color rgb="FFFF0000"/>
      <name val="MS Sans Serif"/>
      <family val="2"/>
    </font>
    <font>
      <b/>
      <sz val="18"/>
      <color rgb="FF7030A0"/>
      <name val="MS Sans Serif"/>
      <family val="2"/>
    </font>
    <font>
      <sz val="10"/>
      <color theme="0" tint="-0.14999847407452621"/>
      <name val="MS Sans Serif"/>
      <family val="2"/>
    </font>
    <font>
      <sz val="8"/>
      <color rgb="FFFF0000"/>
      <name val="MS Sans Serif"/>
      <family val="2"/>
    </font>
    <font>
      <sz val="8"/>
      <color theme="0" tint="-0.249977111117893"/>
      <name val="MS Sans Serif"/>
      <family val="2"/>
    </font>
    <font>
      <sz val="10"/>
      <color theme="0" tint="-0.249977111117893"/>
      <name val="MS Sans Serif"/>
      <family val="2"/>
    </font>
    <font>
      <sz val="10"/>
      <color theme="0" tint="-0.249977111117893"/>
      <name val="MS Sans Serif"/>
    </font>
    <font>
      <sz val="7"/>
      <color theme="0" tint="-0.249977111117893"/>
      <name val="MS Sans Serif"/>
      <family val="2"/>
    </font>
    <font>
      <b/>
      <u/>
      <sz val="8"/>
      <color theme="0" tint="-0.249977111117893"/>
      <name val="MS Sans Serif"/>
      <family val="2"/>
    </font>
    <font>
      <sz val="10"/>
      <color theme="0" tint="-0.249977111117893"/>
      <name val="Arial"/>
      <family val="2"/>
    </font>
    <font>
      <sz val="8"/>
      <color theme="0" tint="-0.249977111117893"/>
      <name val="Arial"/>
      <family val="2"/>
    </font>
    <font>
      <u/>
      <sz val="8"/>
      <color theme="0" tint="-0.249977111117893"/>
      <name val="MS Sans Serif"/>
      <family val="2"/>
    </font>
    <font>
      <u/>
      <sz val="10"/>
      <color theme="0" tint="-0.249977111117893"/>
      <name val="MS Sans Serif"/>
      <family val="2"/>
    </font>
    <font>
      <b/>
      <sz val="20"/>
      <color rgb="FF7030A0"/>
      <name val="Arial"/>
      <family val="2"/>
    </font>
    <font>
      <b/>
      <sz val="12"/>
      <color rgb="FF7030A0"/>
      <name val="MS Sans Serif"/>
    </font>
    <font>
      <b/>
      <sz val="10"/>
      <color rgb="FFFF0000"/>
      <name val="MS Sans Serif"/>
    </font>
    <font>
      <u/>
      <sz val="10"/>
      <name val="MS Sans Serif"/>
    </font>
    <font>
      <u/>
      <sz val="8"/>
      <name val="MS Sans Serif"/>
    </font>
    <font>
      <sz val="14"/>
      <color indexed="10"/>
      <name val="MS Sans Serif"/>
      <family val="2"/>
    </font>
    <font>
      <b/>
      <sz val="8"/>
      <color rgb="FFFF0000"/>
      <name val="MS Sans Serif"/>
    </font>
    <font>
      <sz val="8"/>
      <color indexed="10"/>
      <name val="Arial"/>
      <family val="2"/>
    </font>
    <font>
      <b/>
      <sz val="10"/>
      <color theme="9" tint="-0.249977111117893"/>
      <name val="MS Sans Serif"/>
    </font>
    <font>
      <sz val="10"/>
      <color theme="9" tint="-0.249977111117893"/>
      <name val="MS Sans Serif"/>
    </font>
    <font>
      <b/>
      <sz val="10"/>
      <color rgb="FFFF0000"/>
      <name val="Arial"/>
      <family val="2"/>
    </font>
    <font>
      <b/>
      <sz val="8"/>
      <color rgb="FFFF0000"/>
      <name val="MS Sans Serif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/>
      <top style="medium">
        <color indexed="50"/>
      </top>
      <bottom/>
      <diagonal/>
    </border>
    <border>
      <left style="medium">
        <color indexed="50"/>
      </left>
      <right/>
      <top/>
      <bottom/>
      <diagonal/>
    </border>
    <border>
      <left/>
      <right style="medium">
        <color indexed="50"/>
      </right>
      <top/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50"/>
      </left>
      <right/>
      <top/>
      <bottom style="medium">
        <color indexed="50"/>
      </bottom>
      <diagonal/>
    </border>
    <border>
      <left/>
      <right/>
      <top/>
      <bottom style="medium">
        <color indexed="50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 style="medium">
        <color rgb="FF00B050"/>
      </right>
      <top/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indexed="50"/>
      </right>
      <top/>
      <bottom style="medium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0" fontId="5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2" fillId="0" borderId="0"/>
    <xf numFmtId="0" fontId="35" fillId="0" borderId="0">
      <alignment horizontal="center"/>
    </xf>
    <xf numFmtId="9" fontId="2" fillId="0" borderId="0" applyFont="0" applyFill="0" applyBorder="0" applyAlignment="0" applyProtection="0"/>
  </cellStyleXfs>
  <cellXfs count="79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/>
    <xf numFmtId="0" fontId="0" fillId="0" borderId="1" xfId="0" applyBorder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4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Protection="1"/>
    <xf numFmtId="0" fontId="12" fillId="0" borderId="0" xfId="0" applyFont="1" applyBorder="1" applyAlignment="1" applyProtection="1">
      <alignment horizontal="right"/>
    </xf>
    <xf numFmtId="0" fontId="21" fillId="0" borderId="0" xfId="0" applyFont="1" applyProtection="1"/>
    <xf numFmtId="0" fontId="21" fillId="0" borderId="0" xfId="0" applyFont="1" applyFill="1" applyProtection="1"/>
    <xf numFmtId="0" fontId="12" fillId="0" borderId="0" xfId="0" applyFont="1" applyAlignment="1" applyProtection="1">
      <alignment horizontal="left"/>
    </xf>
    <xf numFmtId="0" fontId="21" fillId="0" borderId="0" xfId="0" applyFont="1" applyFill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left"/>
    </xf>
    <xf numFmtId="0" fontId="31" fillId="0" borderId="0" xfId="0" applyFont="1" applyAlignment="1" applyProtection="1">
      <alignment horizontal="right"/>
    </xf>
    <xf numFmtId="0" fontId="29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23" fillId="0" borderId="0" xfId="0" applyFont="1" applyProtection="1"/>
    <xf numFmtId="0" fontId="11" fillId="0" borderId="0" xfId="0" applyFont="1" applyProtection="1"/>
    <xf numFmtId="0" fontId="7" fillId="0" borderId="0" xfId="0" applyFont="1" applyFill="1" applyAlignment="1" applyProtection="1">
      <alignment horizontal="center"/>
    </xf>
    <xf numFmtId="0" fontId="29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right"/>
    </xf>
    <xf numFmtId="0" fontId="23" fillId="0" borderId="0" xfId="0" applyFont="1" applyFill="1" applyAlignment="1" applyProtection="1">
      <alignment horizontal="center"/>
    </xf>
    <xf numFmtId="0" fontId="32" fillId="0" borderId="0" xfId="0" applyFont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33" fillId="0" borderId="0" xfId="0" applyFont="1" applyAlignment="1" applyProtection="1">
      <alignment horizontal="left"/>
    </xf>
    <xf numFmtId="0" fontId="0" fillId="0" borderId="4" xfId="0" applyFill="1" applyBorder="1" applyAlignment="1" applyProtection="1">
      <alignment horizontal="center"/>
    </xf>
    <xf numFmtId="0" fontId="34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2" fontId="4" fillId="0" borderId="3" xfId="0" applyNumberFormat="1" applyFont="1" applyBorder="1" applyAlignment="1" applyProtection="1">
      <alignment horizontal="center"/>
    </xf>
    <xf numFmtId="0" fontId="35" fillId="0" borderId="0" xfId="0" applyFont="1"/>
    <xf numFmtId="0" fontId="35" fillId="0" borderId="0" xfId="0" applyFont="1" applyProtection="1"/>
    <xf numFmtId="0" fontId="0" fillId="0" borderId="0" xfId="0" applyFill="1" applyBorder="1" applyAlignment="1" applyProtection="1">
      <alignment horizontal="center"/>
    </xf>
    <xf numFmtId="0" fontId="28" fillId="0" borderId="0" xfId="0" applyFont="1" applyAlignment="1" applyProtection="1">
      <alignment horizontal="left"/>
    </xf>
    <xf numFmtId="0" fontId="0" fillId="0" borderId="3" xfId="0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right"/>
    </xf>
    <xf numFmtId="0" fontId="12" fillId="0" borderId="3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9" fillId="0" borderId="0" xfId="0" applyFont="1" applyBorder="1" applyAlignment="1" applyProtection="1"/>
    <xf numFmtId="0" fontId="0" fillId="0" borderId="0" xfId="0" applyBorder="1" applyAlignment="1" applyProtection="1">
      <alignment horizontal="right"/>
    </xf>
    <xf numFmtId="0" fontId="0" fillId="0" borderId="0" xfId="0" quotePrefix="1" applyBorder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39" fillId="0" borderId="0" xfId="0" applyFont="1" applyAlignment="1" applyProtection="1">
      <alignment horizontal="left"/>
    </xf>
    <xf numFmtId="0" fontId="9" fillId="0" borderId="1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2" fontId="0" fillId="0" borderId="6" xfId="0" applyNumberFormat="1" applyBorder="1" applyAlignment="1" applyProtection="1">
      <alignment horizontal="center"/>
    </xf>
    <xf numFmtId="0" fontId="23" fillId="0" borderId="2" xfId="0" applyFont="1" applyFill="1" applyBorder="1" applyAlignment="1" applyProtection="1">
      <alignment horizontal="center"/>
    </xf>
    <xf numFmtId="0" fontId="42" fillId="0" borderId="0" xfId="0" applyFont="1"/>
    <xf numFmtId="0" fontId="44" fillId="4" borderId="0" xfId="0" applyFont="1" applyFill="1"/>
    <xf numFmtId="0" fontId="42" fillId="4" borderId="0" xfId="0" applyFont="1" applyFill="1"/>
    <xf numFmtId="0" fontId="1" fillId="0" borderId="0" xfId="0" applyFont="1"/>
    <xf numFmtId="0" fontId="29" fillId="0" borderId="0" xfId="0" applyFont="1" applyBorder="1" applyAlignment="1" applyProtection="1"/>
    <xf numFmtId="0" fontId="21" fillId="0" borderId="0" xfId="0" applyFont="1" applyBorder="1" applyAlignment="1" applyProtection="1">
      <alignment horizontal="left"/>
    </xf>
    <xf numFmtId="0" fontId="46" fillId="0" borderId="0" xfId="5" applyFont="1" applyAlignment="1">
      <alignment horizontal="center" vertical="center"/>
    </xf>
    <xf numFmtId="0" fontId="48" fillId="0" borderId="0" xfId="5" applyFont="1" applyAlignment="1">
      <alignment horizontal="center" vertical="center"/>
    </xf>
    <xf numFmtId="0" fontId="48" fillId="0" borderId="7" xfId="5" applyFont="1" applyBorder="1" applyAlignment="1">
      <alignment horizontal="center" vertical="center" wrapText="1"/>
    </xf>
    <xf numFmtId="0" fontId="48" fillId="0" borderId="8" xfId="5" applyFont="1" applyBorder="1" applyAlignment="1">
      <alignment horizontal="center" vertical="center" wrapText="1"/>
    </xf>
    <xf numFmtId="0" fontId="50" fillId="0" borderId="9" xfId="5" applyFont="1" applyBorder="1" applyAlignment="1">
      <alignment horizontal="center" vertical="center" wrapText="1"/>
    </xf>
    <xf numFmtId="0" fontId="50" fillId="0" borderId="10" xfId="5" applyFont="1" applyBorder="1" applyAlignment="1">
      <alignment horizontal="center" vertical="center" wrapText="1"/>
    </xf>
    <xf numFmtId="0" fontId="51" fillId="0" borderId="0" xfId="5" applyFont="1" applyAlignment="1">
      <alignment horizontal="left"/>
    </xf>
    <xf numFmtId="0" fontId="51" fillId="0" borderId="0" xfId="5" applyFont="1" applyAlignment="1">
      <alignment horizontal="left" vertical="center"/>
    </xf>
    <xf numFmtId="0" fontId="50" fillId="0" borderId="11" xfId="5" applyFont="1" applyBorder="1" applyAlignment="1">
      <alignment horizontal="center" vertical="center" wrapText="1"/>
    </xf>
    <xf numFmtId="0" fontId="50" fillId="0" borderId="12" xfId="5" applyFont="1" applyBorder="1" applyAlignment="1">
      <alignment horizontal="center" vertical="center" wrapText="1"/>
    </xf>
    <xf numFmtId="0" fontId="52" fillId="0" borderId="0" xfId="5" applyFont="1" applyAlignment="1">
      <alignment horizontal="center" vertical="center"/>
    </xf>
    <xf numFmtId="0" fontId="0" fillId="5" borderId="3" xfId="0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0" fontId="25" fillId="0" borderId="0" xfId="0" applyFont="1" applyBorder="1" applyAlignment="1" applyProtection="1"/>
    <xf numFmtId="0" fontId="0" fillId="0" borderId="0" xfId="0" applyBorder="1" applyProtection="1"/>
    <xf numFmtId="0" fontId="19" fillId="0" borderId="0" xfId="0" applyFont="1" applyAlignment="1" applyProtection="1">
      <alignment horizontal="left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" xfId="0" applyBorder="1" applyAlignment="1" applyProtection="1">
      <alignment horizontal="center"/>
    </xf>
    <xf numFmtId="0" fontId="0" fillId="0" borderId="13" xfId="0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21" fillId="0" borderId="0" xfId="0" applyFont="1" applyBorder="1" applyAlignment="1" applyProtection="1"/>
    <xf numFmtId="0" fontId="23" fillId="0" borderId="1" xfId="0" applyFont="1" applyBorder="1" applyAlignment="1" applyProtection="1">
      <alignment horizontal="center"/>
    </xf>
    <xf numFmtId="1" fontId="0" fillId="0" borderId="6" xfId="0" applyNumberFormat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2" fontId="0" fillId="0" borderId="3" xfId="0" applyNumberForma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left" vertical="center"/>
    </xf>
    <xf numFmtId="9" fontId="35" fillId="0" borderId="3" xfId="6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9" fontId="35" fillId="0" borderId="0" xfId="6" applyFont="1" applyFill="1" applyBorder="1" applyAlignment="1" applyProtection="1">
      <alignment horizontal="center"/>
    </xf>
    <xf numFmtId="1" fontId="0" fillId="0" borderId="2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/>
    <xf numFmtId="0" fontId="29" fillId="0" borderId="0" xfId="0" applyFont="1"/>
    <xf numFmtId="0" fontId="21" fillId="0" borderId="0" xfId="0" applyFont="1" applyAlignment="1">
      <alignment horizontal="center"/>
    </xf>
    <xf numFmtId="0" fontId="8" fillId="0" borderId="0" xfId="0" applyFont="1"/>
    <xf numFmtId="0" fontId="21" fillId="0" borderId="0" xfId="0" applyFont="1" applyFill="1" applyAlignment="1">
      <alignment horizontal="center"/>
    </xf>
    <xf numFmtId="0" fontId="21" fillId="0" borderId="0" xfId="0" applyFont="1" applyFill="1"/>
    <xf numFmtId="2" fontId="4" fillId="0" borderId="0" xfId="0" applyNumberFormat="1" applyFont="1" applyBorder="1" applyAlignment="1">
      <alignment horizontal="center"/>
    </xf>
    <xf numFmtId="0" fontId="21" fillId="0" borderId="0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54" fillId="0" borderId="0" xfId="0" applyFont="1" applyBorder="1" applyAlignment="1" applyProtection="1">
      <alignment vertical="top" wrapText="1"/>
    </xf>
    <xf numFmtId="0" fontId="33" fillId="0" borderId="0" xfId="0" applyFont="1" applyBorder="1" applyAlignment="1" applyProtection="1">
      <alignment vertical="top" wrapText="1"/>
    </xf>
    <xf numFmtId="0" fontId="22" fillId="0" borderId="0" xfId="0" applyFont="1" applyBorder="1" applyAlignment="1" applyProtection="1">
      <alignment horizontal="center"/>
    </xf>
    <xf numFmtId="0" fontId="21" fillId="0" borderId="0" xfId="0" applyFont="1" applyBorder="1" applyProtection="1"/>
    <xf numFmtId="0" fontId="29" fillId="0" borderId="0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0" xfId="0" applyBorder="1" applyProtection="1"/>
    <xf numFmtId="0" fontId="0" fillId="0" borderId="21" xfId="0" applyBorder="1" applyAlignment="1" applyProtection="1">
      <alignment horizontal="left"/>
    </xf>
    <xf numFmtId="0" fontId="37" fillId="0" borderId="0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36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22" fillId="0" borderId="2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/>
    </xf>
    <xf numFmtId="0" fontId="39" fillId="0" borderId="0" xfId="0" applyFont="1" applyBorder="1" applyAlignment="1" applyProtection="1">
      <alignment horizontal="left"/>
    </xf>
    <xf numFmtId="0" fontId="35" fillId="0" borderId="0" xfId="0" applyFont="1" applyFill="1" applyBorder="1" applyAlignment="1" applyProtection="1">
      <alignment horizontal="right"/>
    </xf>
    <xf numFmtId="0" fontId="0" fillId="0" borderId="18" xfId="0" applyBorder="1" applyProtection="1"/>
    <xf numFmtId="0" fontId="26" fillId="0" borderId="0" xfId="0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horizontal="right"/>
    </xf>
    <xf numFmtId="0" fontId="3" fillId="0" borderId="0" xfId="2" applyBorder="1" applyAlignment="1" applyProtection="1">
      <alignment horizontal="left"/>
      <protection locked="0"/>
    </xf>
    <xf numFmtId="0" fontId="3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/>
    </xf>
    <xf numFmtId="0" fontId="37" fillId="0" borderId="0" xfId="0" applyFont="1" applyBorder="1" applyAlignment="1" applyProtection="1">
      <alignment horizontal="left"/>
    </xf>
    <xf numFmtId="0" fontId="22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25" fillId="0" borderId="0" xfId="0" applyFont="1" applyBorder="1" applyAlignment="1" applyProtection="1">
      <alignment horizontal="right"/>
    </xf>
    <xf numFmtId="0" fontId="33" fillId="0" borderId="0" xfId="0" applyFont="1" applyBorder="1" applyProtection="1"/>
    <xf numFmtId="0" fontId="25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34" fillId="0" borderId="0" xfId="0" applyFont="1" applyBorder="1" applyAlignment="1" applyProtection="1">
      <alignment horizontal="right"/>
    </xf>
    <xf numFmtId="0" fontId="3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/>
    </xf>
    <xf numFmtId="0" fontId="2" fillId="5" borderId="0" xfId="0" applyFont="1" applyFill="1" applyAlignment="1" applyProtection="1">
      <alignment horizontal="left"/>
    </xf>
    <xf numFmtId="0" fontId="2" fillId="5" borderId="0" xfId="0" applyFont="1" applyFill="1" applyAlignment="1" applyProtection="1">
      <alignment horizontal="center"/>
    </xf>
    <xf numFmtId="0" fontId="2" fillId="5" borderId="0" xfId="0" applyFont="1" applyFill="1" applyAlignment="1" applyProtection="1">
      <alignment horizontal="center" vertical="top"/>
    </xf>
    <xf numFmtId="0" fontId="2" fillId="5" borderId="2" xfId="0" applyFont="1" applyFill="1" applyBorder="1" applyAlignment="1" applyProtection="1">
      <alignment horizontal="center"/>
    </xf>
    <xf numFmtId="40" fontId="0" fillId="0" borderId="6" xfId="0" applyNumberFormat="1" applyBorder="1" applyAlignment="1" applyProtection="1">
      <alignment horizontal="center"/>
    </xf>
    <xf numFmtId="40" fontId="0" fillId="0" borderId="14" xfId="0" applyNumberFormat="1" applyBorder="1" applyAlignment="1" applyProtection="1">
      <alignment horizontal="center"/>
    </xf>
    <xf numFmtId="0" fontId="60" fillId="0" borderId="0" xfId="0" applyFont="1" applyAlignment="1">
      <alignment horizontal="left"/>
    </xf>
    <xf numFmtId="0" fontId="2" fillId="3" borderId="13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22" xfId="0" applyFont="1" applyFill="1" applyBorder="1" applyAlignment="1" applyProtection="1">
      <alignment horizontal="center"/>
    </xf>
    <xf numFmtId="0" fontId="61" fillId="5" borderId="0" xfId="0" applyFont="1" applyFill="1" applyAlignment="1" applyProtection="1">
      <alignment horizontal="left"/>
    </xf>
    <xf numFmtId="0" fontId="62" fillId="5" borderId="0" xfId="0" applyFont="1" applyFill="1" applyAlignment="1" applyProtection="1">
      <alignment horizontal="left"/>
    </xf>
    <xf numFmtId="0" fontId="63" fillId="3" borderId="0" xfId="0" applyFont="1" applyFill="1" applyBorder="1" applyAlignment="1" applyProtection="1">
      <alignment horizontal="center"/>
    </xf>
    <xf numFmtId="0" fontId="2" fillId="5" borderId="0" xfId="0" applyFont="1" applyFill="1" applyAlignment="1" applyProtection="1">
      <alignment horizontal="right"/>
    </xf>
    <xf numFmtId="0" fontId="28" fillId="5" borderId="0" xfId="0" applyFont="1" applyFill="1" applyAlignment="1" applyProtection="1">
      <alignment horizontal="left"/>
    </xf>
    <xf numFmtId="0" fontId="2" fillId="3" borderId="15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23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  <protection locked="0"/>
    </xf>
    <xf numFmtId="0" fontId="57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top" wrapText="1"/>
    </xf>
    <xf numFmtId="0" fontId="60" fillId="0" borderId="0" xfId="0" applyFont="1" applyBorder="1" applyAlignment="1" applyProtection="1">
      <alignment horizontal="center"/>
    </xf>
    <xf numFmtId="0" fontId="64" fillId="0" borderId="0" xfId="0" applyFont="1" applyBorder="1" applyAlignment="1" applyProtection="1">
      <alignment horizontal="center"/>
    </xf>
    <xf numFmtId="0" fontId="55" fillId="0" borderId="0" xfId="0" applyFont="1" applyFill="1" applyBorder="1" applyAlignment="1" applyProtection="1">
      <alignment horizontal="center" vertical="center" wrapText="1"/>
    </xf>
    <xf numFmtId="0" fontId="0" fillId="7" borderId="0" xfId="0" applyFill="1" applyAlignment="1" applyProtection="1">
      <alignment horizontal="left"/>
    </xf>
    <xf numFmtId="0" fontId="0" fillId="7" borderId="0" xfId="0" applyFill="1" applyBorder="1" applyAlignment="1" applyProtection="1">
      <alignment horizontal="left"/>
    </xf>
    <xf numFmtId="0" fontId="0" fillId="7" borderId="0" xfId="0" applyFill="1" applyBorder="1" applyAlignment="1" applyProtection="1">
      <alignment horizontal="center"/>
    </xf>
    <xf numFmtId="0" fontId="0" fillId="7" borderId="0" xfId="0" applyFill="1" applyProtection="1"/>
    <xf numFmtId="0" fontId="0" fillId="0" borderId="81" xfId="0" applyFill="1" applyBorder="1" applyAlignment="1" applyProtection="1">
      <alignment horizontal="left"/>
    </xf>
    <xf numFmtId="0" fontId="0" fillId="0" borderId="82" xfId="0" applyFill="1" applyBorder="1" applyAlignment="1" applyProtection="1">
      <alignment horizontal="left"/>
    </xf>
    <xf numFmtId="1" fontId="0" fillId="8" borderId="3" xfId="0" applyNumberFormat="1" applyFill="1" applyBorder="1" applyAlignment="1" applyProtection="1">
      <alignment horizontal="center"/>
      <protection locked="0"/>
    </xf>
    <xf numFmtId="0" fontId="35" fillId="0" borderId="0" xfId="3" applyFill="1" applyBorder="1" applyAlignment="1">
      <alignment horizontal="left"/>
    </xf>
    <xf numFmtId="0" fontId="2" fillId="0" borderId="0" xfId="4" applyFill="1" applyBorder="1" applyProtection="1"/>
    <xf numFmtId="0" fontId="14" fillId="0" borderId="0" xfId="4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/>
    </xf>
    <xf numFmtId="0" fontId="34" fillId="0" borderId="0" xfId="0" applyFont="1" applyBorder="1" applyAlignment="1" applyProtection="1">
      <alignment horizontal="center"/>
    </xf>
    <xf numFmtId="0" fontId="34" fillId="0" borderId="2" xfId="0" applyFont="1" applyBorder="1" applyAlignment="1" applyProtection="1"/>
    <xf numFmtId="0" fontId="15" fillId="0" borderId="0" xfId="0" applyFont="1" applyBorder="1" applyAlignment="1" applyProtection="1">
      <alignment horizontal="left"/>
    </xf>
    <xf numFmtId="0" fontId="63" fillId="0" borderId="0" xfId="0" applyFont="1" applyBorder="1" applyAlignment="1" applyProtection="1">
      <alignment horizontal="center"/>
    </xf>
    <xf numFmtId="0" fontId="63" fillId="0" borderId="0" xfId="0" applyFont="1" applyBorder="1" applyAlignment="1" applyProtection="1">
      <alignment horizontal="left"/>
    </xf>
    <xf numFmtId="0" fontId="0" fillId="5" borderId="4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</xf>
    <xf numFmtId="9" fontId="7" fillId="0" borderId="0" xfId="6" applyFont="1" applyBorder="1" applyAlignment="1" applyProtection="1">
      <alignment horizontal="left"/>
    </xf>
    <xf numFmtId="2" fontId="0" fillId="0" borderId="0" xfId="0" applyNumberFormat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61" fillId="5" borderId="0" xfId="0" applyFont="1" applyFill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center"/>
    </xf>
    <xf numFmtId="0" fontId="67" fillId="0" borderId="0" xfId="0" applyFont="1" applyBorder="1" applyAlignment="1" applyProtection="1">
      <alignment horizontal="left"/>
    </xf>
    <xf numFmtId="0" fontId="8" fillId="5" borderId="0" xfId="0" applyFont="1" applyFill="1" applyAlignment="1" applyProtection="1">
      <alignment horizontal="left"/>
    </xf>
    <xf numFmtId="0" fontId="0" fillId="5" borderId="0" xfId="0" applyFill="1" applyAlignment="1" applyProtection="1">
      <alignment horizontal="right"/>
    </xf>
    <xf numFmtId="0" fontId="34" fillId="3" borderId="0" xfId="0" applyFont="1" applyFill="1" applyBorder="1" applyAlignment="1" applyProtection="1">
      <alignment horizontal="center"/>
    </xf>
    <xf numFmtId="0" fontId="7" fillId="5" borderId="0" xfId="0" applyFont="1" applyFill="1" applyAlignment="1" applyProtection="1">
      <alignment horizontal="left"/>
    </xf>
    <xf numFmtId="0" fontId="0" fillId="5" borderId="0" xfId="0" applyFill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0" fillId="5" borderId="0" xfId="0" applyFill="1" applyAlignment="1" applyProtection="1"/>
    <xf numFmtId="0" fontId="40" fillId="5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68" fillId="5" borderId="0" xfId="0" applyFont="1" applyFill="1" applyAlignment="1" applyProtection="1">
      <alignment horizontal="left"/>
    </xf>
    <xf numFmtId="0" fontId="2" fillId="5" borderId="0" xfId="0" applyFont="1" applyFill="1" applyBorder="1" applyAlignment="1" applyProtection="1">
      <alignment horizontal="center"/>
    </xf>
    <xf numFmtId="1" fontId="2" fillId="5" borderId="3" xfId="0" applyNumberFormat="1" applyFont="1" applyFill="1" applyBorder="1" applyAlignment="1" applyProtection="1">
      <alignment horizontal="center"/>
    </xf>
    <xf numFmtId="0" fontId="68" fillId="5" borderId="0" xfId="0" applyFont="1" applyFill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1" fontId="40" fillId="3" borderId="5" xfId="0" applyNumberFormat="1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left"/>
    </xf>
    <xf numFmtId="0" fontId="67" fillId="5" borderId="0" xfId="0" applyFont="1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/>
    </xf>
    <xf numFmtId="0" fontId="0" fillId="3" borderId="13" xfId="0" applyFill="1" applyBorder="1" applyAlignment="1" applyProtection="1">
      <alignment horizontal="left"/>
    </xf>
    <xf numFmtId="0" fontId="0" fillId="3" borderId="22" xfId="0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63" fillId="3" borderId="0" xfId="0" applyFont="1" applyFill="1" applyBorder="1" applyAlignment="1" applyProtection="1">
      <alignment horizontal="left"/>
    </xf>
    <xf numFmtId="0" fontId="67" fillId="5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left"/>
    </xf>
    <xf numFmtId="0" fontId="2" fillId="3" borderId="3" xfId="0" applyNumberFormat="1" applyFont="1" applyFill="1" applyBorder="1" applyAlignment="1" applyProtection="1">
      <alignment horizontal="center"/>
    </xf>
    <xf numFmtId="10" fontId="2" fillId="3" borderId="3" xfId="6" applyNumberFormat="1" applyFont="1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</xf>
    <xf numFmtId="0" fontId="0" fillId="3" borderId="24" xfId="0" applyFill="1" applyBorder="1" applyAlignment="1" applyProtection="1">
      <alignment horizontal="left"/>
    </xf>
    <xf numFmtId="0" fontId="0" fillId="3" borderId="22" xfId="0" applyFill="1" applyBorder="1" applyAlignment="1" applyProtection="1">
      <alignment horizontal="left"/>
    </xf>
    <xf numFmtId="0" fontId="0" fillId="3" borderId="15" xfId="0" applyFill="1" applyBorder="1" applyAlignment="1" applyProtection="1">
      <alignment horizontal="left"/>
    </xf>
    <xf numFmtId="0" fontId="0" fillId="3" borderId="2" xfId="0" applyFill="1" applyBorder="1" applyAlignment="1" applyProtection="1">
      <alignment horizontal="left"/>
    </xf>
    <xf numFmtId="0" fontId="0" fillId="3" borderId="23" xfId="0" applyFill="1" applyBorder="1" applyAlignment="1" applyProtection="1">
      <alignment horizontal="left"/>
    </xf>
    <xf numFmtId="0" fontId="2" fillId="3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right"/>
    </xf>
    <xf numFmtId="2" fontId="2" fillId="3" borderId="0" xfId="0" applyNumberFormat="1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alignment horizontal="center"/>
    </xf>
    <xf numFmtId="165" fontId="0" fillId="5" borderId="3" xfId="0" applyNumberFormat="1" applyFill="1" applyBorder="1" applyAlignment="1" applyProtection="1">
      <alignment horizontal="center"/>
      <protection locked="0"/>
    </xf>
    <xf numFmtId="0" fontId="2" fillId="8" borderId="0" xfId="0" applyFont="1" applyFill="1" applyAlignment="1" applyProtection="1">
      <alignment horizontal="center"/>
    </xf>
    <xf numFmtId="0" fontId="2" fillId="8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</xf>
    <xf numFmtId="0" fontId="40" fillId="8" borderId="0" xfId="0" applyFont="1" applyFill="1" applyAlignment="1" applyProtection="1">
      <alignment horizontal="center"/>
    </xf>
    <xf numFmtId="0" fontId="0" fillId="8" borderId="0" xfId="0" applyFill="1" applyAlignment="1" applyProtection="1">
      <alignment horizontal="left"/>
    </xf>
    <xf numFmtId="0" fontId="0" fillId="8" borderId="0" xfId="0" applyFill="1" applyAlignment="1" applyProtection="1"/>
    <xf numFmtId="0" fontId="2" fillId="8" borderId="0" xfId="0" applyFont="1" applyFill="1" applyAlignment="1" applyProtection="1">
      <alignment horizontal="center" vertical="top"/>
    </xf>
    <xf numFmtId="0" fontId="58" fillId="0" borderId="0" xfId="0" applyFont="1" applyAlignment="1"/>
    <xf numFmtId="0" fontId="19" fillId="0" borderId="25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27" fillId="0" borderId="1" xfId="0" applyFont="1" applyBorder="1" applyAlignment="1" applyProtection="1">
      <alignment vertical="center"/>
    </xf>
    <xf numFmtId="0" fontId="58" fillId="0" borderId="1" xfId="0" applyFont="1" applyBorder="1" applyAlignment="1"/>
    <xf numFmtId="0" fontId="58" fillId="0" borderId="24" xfId="0" applyFont="1" applyBorder="1" applyAlignment="1"/>
    <xf numFmtId="0" fontId="0" fillId="0" borderId="22" xfId="0" applyBorder="1" applyAlignment="1">
      <alignment horizontal="left"/>
    </xf>
    <xf numFmtId="0" fontId="4" fillId="0" borderId="13" xfId="0" applyFont="1" applyBorder="1" applyAlignment="1" applyProtection="1">
      <alignment horizontal="left"/>
    </xf>
    <xf numFmtId="0" fontId="0" fillId="0" borderId="13" xfId="0" applyBorder="1" applyAlignment="1" applyProtection="1"/>
    <xf numFmtId="0" fontId="27" fillId="0" borderId="0" xfId="0" applyFont="1" applyBorder="1" applyProtection="1"/>
    <xf numFmtId="0" fontId="21" fillId="0" borderId="0" xfId="0" applyFont="1" applyFill="1" applyBorder="1" applyProtection="1"/>
    <xf numFmtId="0" fontId="11" fillId="0" borderId="13" xfId="0" applyFont="1" applyFill="1" applyBorder="1" applyProtection="1"/>
    <xf numFmtId="0" fontId="21" fillId="0" borderId="0" xfId="0" applyFont="1" applyFill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0" fontId="60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</xf>
    <xf numFmtId="0" fontId="21" fillId="0" borderId="22" xfId="0" applyFont="1" applyBorder="1"/>
    <xf numFmtId="0" fontId="21" fillId="0" borderId="2" xfId="0" applyFont="1" applyFill="1" applyBorder="1" applyAlignment="1" applyProtection="1">
      <alignment horizontal="center"/>
    </xf>
    <xf numFmtId="0" fontId="21" fillId="0" borderId="2" xfId="0" applyFont="1" applyFill="1" applyBorder="1" applyProtection="1"/>
    <xf numFmtId="0" fontId="30" fillId="0" borderId="2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left"/>
    </xf>
    <xf numFmtId="0" fontId="21" fillId="0" borderId="23" xfId="0" applyFont="1" applyBorder="1"/>
    <xf numFmtId="0" fontId="24" fillId="0" borderId="3" xfId="0" applyFont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right"/>
    </xf>
    <xf numFmtId="0" fontId="0" fillId="6" borderId="0" xfId="0" applyFill="1" applyBorder="1" applyAlignment="1" applyProtection="1">
      <alignment horizontal="left"/>
    </xf>
    <xf numFmtId="0" fontId="0" fillId="0" borderId="84" xfId="0" applyFill="1" applyBorder="1" applyAlignment="1" applyProtection="1">
      <alignment horizontal="left"/>
    </xf>
    <xf numFmtId="0" fontId="0" fillId="0" borderId="84" xfId="0" applyBorder="1" applyAlignment="1" applyProtection="1">
      <alignment horizontal="left"/>
    </xf>
    <xf numFmtId="0" fontId="0" fillId="0" borderId="84" xfId="0" applyBorder="1" applyProtection="1"/>
    <xf numFmtId="0" fontId="0" fillId="6" borderId="85" xfId="0" applyFill="1" applyBorder="1" applyAlignment="1" applyProtection="1">
      <alignment horizontal="left"/>
    </xf>
    <xf numFmtId="0" fontId="0" fillId="6" borderId="84" xfId="0" applyFill="1" applyBorder="1" applyAlignment="1" applyProtection="1">
      <alignment horizontal="left"/>
    </xf>
    <xf numFmtId="0" fontId="0" fillId="6" borderId="86" xfId="0" applyFill="1" applyBorder="1" applyAlignment="1" applyProtection="1">
      <alignment horizontal="left"/>
    </xf>
    <xf numFmtId="0" fontId="0" fillId="6" borderId="87" xfId="0" applyFill="1" applyBorder="1" applyAlignment="1" applyProtection="1">
      <alignment horizontal="left"/>
    </xf>
    <xf numFmtId="9" fontId="80" fillId="8" borderId="26" xfId="6" applyFont="1" applyFill="1" applyBorder="1" applyAlignment="1" applyProtection="1">
      <alignment horizontal="center"/>
      <protection locked="0"/>
    </xf>
    <xf numFmtId="9" fontId="80" fillId="8" borderId="27" xfId="6" applyFont="1" applyFill="1" applyBorder="1" applyAlignment="1" applyProtection="1">
      <alignment horizontal="center"/>
      <protection locked="0"/>
    </xf>
    <xf numFmtId="0" fontId="0" fillId="0" borderId="28" xfId="0" applyFill="1" applyBorder="1" applyAlignment="1" applyProtection="1">
      <alignment horizontal="left"/>
    </xf>
    <xf numFmtId="0" fontId="0" fillId="0" borderId="29" xfId="0" applyFill="1" applyBorder="1" applyAlignment="1" applyProtection="1">
      <alignment horizontal="left"/>
    </xf>
    <xf numFmtId="0" fontId="0" fillId="0" borderId="30" xfId="0" applyFill="1" applyBorder="1" applyAlignment="1" applyProtection="1">
      <alignment horizontal="left"/>
    </xf>
    <xf numFmtId="1" fontId="0" fillId="0" borderId="1" xfId="0" applyNumberFormat="1" applyFill="1" applyBorder="1" applyAlignment="1" applyProtection="1">
      <alignment horizontal="center"/>
    </xf>
    <xf numFmtId="0" fontId="3" fillId="0" borderId="0" xfId="2" applyBorder="1" applyAlignment="1" applyProtection="1">
      <alignment horizontal="center"/>
    </xf>
    <xf numFmtId="0" fontId="3" fillId="0" borderId="0" xfId="2" applyBorder="1" applyAlignment="1" applyProtection="1">
      <alignment horizontal="left"/>
    </xf>
    <xf numFmtId="0" fontId="83" fillId="9" borderId="0" xfId="0" applyFont="1" applyFill="1" applyAlignment="1" applyProtection="1">
      <alignment horizontal="left"/>
    </xf>
    <xf numFmtId="0" fontId="0" fillId="0" borderId="80" xfId="0" applyBorder="1" applyProtection="1"/>
    <xf numFmtId="0" fontId="0" fillId="0" borderId="81" xfId="0" applyBorder="1" applyAlignment="1" applyProtection="1">
      <alignment horizontal="center"/>
    </xf>
    <xf numFmtId="0" fontId="0" fillId="0" borderId="81" xfId="0" applyBorder="1" applyProtection="1"/>
    <xf numFmtId="0" fontId="0" fillId="6" borderId="81" xfId="0" applyFill="1" applyBorder="1" applyAlignment="1" applyProtection="1">
      <alignment horizontal="left"/>
    </xf>
    <xf numFmtId="0" fontId="7" fillId="0" borderId="0" xfId="4" applyFont="1" applyFill="1" applyBorder="1" applyAlignment="1" applyProtection="1"/>
    <xf numFmtId="0" fontId="0" fillId="0" borderId="83" xfId="0" applyBorder="1" applyProtection="1"/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wrapText="1"/>
    </xf>
    <xf numFmtId="0" fontId="14" fillId="0" borderId="0" xfId="0" applyFont="1" applyBorder="1" applyAlignment="1" applyProtection="1">
      <alignment horizontal="center"/>
    </xf>
    <xf numFmtId="0" fontId="81" fillId="0" borderId="31" xfId="0" applyFont="1" applyBorder="1" applyAlignment="1" applyProtection="1">
      <alignment horizontal="center"/>
    </xf>
    <xf numFmtId="0" fontId="81" fillId="0" borderId="88" xfId="0" applyFont="1" applyBorder="1" applyProtection="1"/>
    <xf numFmtId="0" fontId="81" fillId="0" borderId="32" xfId="0" applyFont="1" applyBorder="1" applyProtection="1"/>
    <xf numFmtId="0" fontId="81" fillId="0" borderId="33" xfId="0" applyFont="1" applyBorder="1" applyProtection="1"/>
    <xf numFmtId="0" fontId="81" fillId="0" borderId="34" xfId="0" applyFont="1" applyBorder="1" applyAlignment="1" applyProtection="1">
      <alignment horizontal="center"/>
    </xf>
    <xf numFmtId="0" fontId="81" fillId="0" borderId="35" xfId="0" applyFont="1" applyFill="1" applyBorder="1" applyAlignment="1" applyProtection="1">
      <alignment horizontal="center"/>
    </xf>
    <xf numFmtId="0" fontId="81" fillId="0" borderId="36" xfId="0" applyFont="1" applyBorder="1" applyAlignment="1" applyProtection="1">
      <alignment horizontal="center"/>
    </xf>
    <xf numFmtId="9" fontId="80" fillId="0" borderId="0" xfId="6" applyFont="1" applyFill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6" borderId="0" xfId="0" applyFill="1" applyBorder="1" applyProtection="1"/>
    <xf numFmtId="0" fontId="0" fillId="0" borderId="0" xfId="0" applyBorder="1" applyAlignment="1" applyProtection="1">
      <alignment horizontal="left" vertical="top" wrapText="1"/>
    </xf>
    <xf numFmtId="9" fontId="80" fillId="0" borderId="0" xfId="6" applyFont="1" applyFill="1" applyBorder="1" applyAlignment="1" applyProtection="1">
      <alignment horizontal="left"/>
    </xf>
    <xf numFmtId="9" fontId="84" fillId="0" borderId="0" xfId="6" applyFont="1" applyFill="1" applyBorder="1" applyAlignment="1" applyProtection="1">
      <alignment horizontal="left"/>
    </xf>
    <xf numFmtId="0" fontId="81" fillId="0" borderId="89" xfId="0" applyFont="1" applyBorder="1" applyProtection="1"/>
    <xf numFmtId="0" fontId="81" fillId="0" borderId="40" xfId="0" applyFont="1" applyBorder="1" applyProtection="1"/>
    <xf numFmtId="0" fontId="81" fillId="0" borderId="41" xfId="0" applyFont="1" applyBorder="1" applyProtection="1"/>
    <xf numFmtId="9" fontId="81" fillId="0" borderId="42" xfId="6" applyFont="1" applyBorder="1" applyAlignment="1" applyProtection="1">
      <alignment horizontal="center"/>
    </xf>
    <xf numFmtId="9" fontId="80" fillId="0" borderId="0" xfId="6" applyFont="1" applyBorder="1" applyAlignment="1" applyProtection="1">
      <alignment horizontal="center"/>
    </xf>
    <xf numFmtId="0" fontId="81" fillId="0" borderId="0" xfId="0" applyFont="1" applyBorder="1" applyAlignment="1" applyProtection="1">
      <alignment horizontal="right"/>
    </xf>
    <xf numFmtId="0" fontId="0" fillId="0" borderId="43" xfId="0" applyBorder="1" applyAlignment="1" applyProtection="1">
      <alignment horizontal="center"/>
    </xf>
    <xf numFmtId="0" fontId="81" fillId="6" borderId="83" xfId="0" applyFont="1" applyFill="1" applyBorder="1" applyProtection="1"/>
    <xf numFmtId="0" fontId="0" fillId="0" borderId="90" xfId="0" applyBorder="1" applyProtection="1"/>
    <xf numFmtId="0" fontId="0" fillId="0" borderId="85" xfId="0" applyBorder="1" applyAlignment="1" applyProtection="1">
      <alignment horizontal="center"/>
    </xf>
    <xf numFmtId="0" fontId="0" fillId="0" borderId="85" xfId="0" applyBorder="1" applyProtection="1"/>
    <xf numFmtId="0" fontId="0" fillId="8" borderId="3" xfId="0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19" fillId="0" borderId="0" xfId="0" applyFont="1" applyAlignment="1">
      <alignment horizontal="left"/>
    </xf>
    <xf numFmtId="0" fontId="7" fillId="0" borderId="13" xfId="0" applyFont="1" applyBorder="1" applyAlignment="1" applyProtection="1">
      <alignment horizontal="left"/>
    </xf>
    <xf numFmtId="0" fontId="0" fillId="10" borderId="0" xfId="0" applyFill="1"/>
    <xf numFmtId="0" fontId="0" fillId="10" borderId="0" xfId="0" applyFill="1" applyAlignment="1" applyProtection="1">
      <alignment horizontal="left"/>
    </xf>
    <xf numFmtId="0" fontId="25" fillId="10" borderId="0" xfId="0" applyFont="1" applyFill="1" applyAlignment="1" applyProtection="1">
      <alignment horizontal="center"/>
    </xf>
    <xf numFmtId="0" fontId="0" fillId="10" borderId="0" xfId="0" applyFill="1" applyBorder="1" applyAlignment="1" applyProtection="1">
      <alignment horizontal="center"/>
    </xf>
    <xf numFmtId="0" fontId="26" fillId="0" borderId="18" xfId="0" applyFont="1" applyFill="1" applyBorder="1" applyAlignment="1" applyProtection="1">
      <alignment horizontal="center"/>
    </xf>
    <xf numFmtId="0" fontId="55" fillId="0" borderId="18" xfId="0" applyFont="1" applyFill="1" applyBorder="1" applyAlignment="1" applyProtection="1">
      <alignment horizontal="center" vertical="center" wrapText="1"/>
    </xf>
    <xf numFmtId="0" fontId="21" fillId="0" borderId="29" xfId="0" applyFont="1" applyBorder="1" applyAlignment="1" applyProtection="1">
      <alignment horizontal="right"/>
    </xf>
    <xf numFmtId="0" fontId="0" fillId="0" borderId="29" xfId="0" applyFill="1" applyBorder="1" applyAlignment="1" applyProtection="1">
      <alignment horizontal="center"/>
    </xf>
    <xf numFmtId="0" fontId="21" fillId="0" borderId="29" xfId="0" applyFont="1" applyBorder="1" applyAlignment="1" applyProtection="1">
      <alignment horizontal="center"/>
    </xf>
    <xf numFmtId="0" fontId="34" fillId="0" borderId="29" xfId="0" applyFont="1" applyFill="1" applyBorder="1" applyAlignment="1" applyProtection="1">
      <alignment horizontal="right"/>
    </xf>
    <xf numFmtId="1" fontId="0" fillId="0" borderId="29" xfId="0" applyNumberFormat="1" applyFill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>
      <alignment horizontal="left"/>
    </xf>
    <xf numFmtId="0" fontId="0" fillId="0" borderId="30" xfId="0" applyBorder="1" applyAlignment="1" applyProtection="1">
      <alignment horizontal="left"/>
    </xf>
    <xf numFmtId="0" fontId="82" fillId="0" borderId="18" xfId="0" applyFont="1" applyBorder="1" applyAlignment="1" applyProtection="1">
      <alignment wrapText="1"/>
    </xf>
    <xf numFmtId="0" fontId="82" fillId="0" borderId="0" xfId="0" applyFont="1" applyBorder="1" applyAlignment="1" applyProtection="1">
      <alignment wrapText="1"/>
    </xf>
    <xf numFmtId="0" fontId="0" fillId="0" borderId="0" xfId="0" applyFill="1"/>
    <xf numFmtId="0" fontId="0" fillId="10" borderId="0" xfId="0" applyFill="1" applyProtection="1"/>
    <xf numFmtId="0" fontId="0" fillId="0" borderId="82" xfId="0" applyBorder="1" applyProtection="1"/>
    <xf numFmtId="0" fontId="37" fillId="0" borderId="83" xfId="0" applyFont="1" applyBorder="1" applyAlignment="1" applyProtection="1"/>
    <xf numFmtId="0" fontId="37" fillId="0" borderId="22" xfId="0" applyFont="1" applyBorder="1" applyAlignment="1" applyProtection="1"/>
    <xf numFmtId="0" fontId="0" fillId="11" borderId="3" xfId="0" applyFill="1" applyBorder="1" applyAlignment="1" applyProtection="1">
      <alignment horizontal="center"/>
      <protection locked="0"/>
    </xf>
    <xf numFmtId="0" fontId="82" fillId="0" borderId="0" xfId="0" applyFont="1" applyBorder="1" applyProtection="1"/>
    <xf numFmtId="0" fontId="37" fillId="0" borderId="83" xfId="0" applyFont="1" applyBorder="1" applyAlignment="1" applyProtection="1">
      <alignment horizontal="left"/>
    </xf>
    <xf numFmtId="0" fontId="85" fillId="0" borderId="0" xfId="0" applyFont="1" applyBorder="1" applyAlignment="1" applyProtection="1">
      <alignment horizontal="left"/>
    </xf>
    <xf numFmtId="0" fontId="3" fillId="0" borderId="0" xfId="2" applyBorder="1" applyAlignment="1" applyProtection="1"/>
    <xf numFmtId="0" fontId="74" fillId="0" borderId="90" xfId="2" applyFont="1" applyBorder="1" applyAlignment="1" applyProtection="1">
      <alignment horizontal="left"/>
    </xf>
    <xf numFmtId="0" fontId="74" fillId="0" borderId="85" xfId="2" applyFont="1" applyBorder="1" applyAlignment="1" applyProtection="1">
      <alignment horizontal="left"/>
    </xf>
    <xf numFmtId="0" fontId="0" fillId="0" borderId="85" xfId="0" applyFill="1" applyBorder="1" applyAlignment="1" applyProtection="1">
      <alignment horizontal="center"/>
    </xf>
    <xf numFmtId="0" fontId="14" fillId="0" borderId="85" xfId="0" applyFont="1" applyBorder="1" applyAlignment="1" applyProtection="1">
      <alignment horizontal="left"/>
    </xf>
    <xf numFmtId="0" fontId="3" fillId="0" borderId="85" xfId="2" applyBorder="1" applyAlignment="1" applyProtection="1">
      <alignment horizontal="center"/>
    </xf>
    <xf numFmtId="0" fontId="3" fillId="0" borderId="85" xfId="2" applyBorder="1" applyAlignment="1" applyProtection="1"/>
    <xf numFmtId="0" fontId="0" fillId="0" borderId="91" xfId="0" applyBorder="1" applyProtection="1"/>
    <xf numFmtId="0" fontId="2" fillId="10" borderId="0" xfId="0" applyFont="1" applyFill="1" applyAlignment="1" applyProtection="1"/>
    <xf numFmtId="0" fontId="2" fillId="10" borderId="0" xfId="0" applyFont="1" applyFill="1" applyAlignment="1" applyProtection="1">
      <alignment horizontal="center"/>
    </xf>
    <xf numFmtId="0" fontId="2" fillId="10" borderId="0" xfId="0" applyFont="1" applyFill="1" applyAlignment="1" applyProtection="1">
      <alignment horizontal="center" vertical="top"/>
    </xf>
    <xf numFmtId="0" fontId="2" fillId="10" borderId="0" xfId="0" applyFont="1" applyFill="1" applyAlignment="1" applyProtection="1">
      <alignment horizontal="left"/>
    </xf>
    <xf numFmtId="0" fontId="0" fillId="10" borderId="0" xfId="0" applyFill="1" applyAlignment="1" applyProtection="1"/>
    <xf numFmtId="0" fontId="0" fillId="10" borderId="0" xfId="0" applyFill="1" applyBorder="1" applyAlignment="1" applyProtection="1">
      <alignment horizontal="left"/>
    </xf>
    <xf numFmtId="0" fontId="39" fillId="10" borderId="0" xfId="0" applyFont="1" applyFill="1" applyAlignment="1" applyProtection="1">
      <alignment horizontal="left"/>
    </xf>
    <xf numFmtId="0" fontId="39" fillId="10" borderId="0" xfId="0" applyFont="1" applyFill="1" applyBorder="1" applyAlignment="1" applyProtection="1">
      <alignment horizontal="left"/>
    </xf>
    <xf numFmtId="0" fontId="0" fillId="10" borderId="0" xfId="0" applyFill="1" applyBorder="1" applyProtection="1"/>
    <xf numFmtId="0" fontId="86" fillId="6" borderId="0" xfId="0" applyFont="1" applyFill="1" applyBorder="1" applyProtection="1"/>
    <xf numFmtId="0" fontId="87" fillId="6" borderId="0" xfId="0" applyFont="1" applyFill="1" applyBorder="1" applyAlignment="1" applyProtection="1">
      <alignment horizontal="center"/>
    </xf>
    <xf numFmtId="0" fontId="88" fillId="6" borderId="0" xfId="0" applyFont="1" applyFill="1" applyBorder="1" applyAlignment="1" applyProtection="1">
      <alignment horizontal="center"/>
    </xf>
    <xf numFmtId="0" fontId="86" fillId="6" borderId="0" xfId="0" applyFont="1" applyFill="1" applyBorder="1" applyAlignment="1" applyProtection="1">
      <alignment horizontal="left"/>
    </xf>
    <xf numFmtId="0" fontId="0" fillId="0" borderId="92" xfId="0" applyBorder="1" applyAlignment="1" applyProtection="1">
      <alignment horizontal="left"/>
    </xf>
    <xf numFmtId="0" fontId="37" fillId="0" borderId="93" xfId="0" applyFont="1" applyBorder="1" applyAlignment="1" applyProtection="1">
      <alignment horizontal="left"/>
    </xf>
    <xf numFmtId="0" fontId="21" fillId="0" borderId="93" xfId="0" applyFont="1" applyBorder="1" applyAlignment="1" applyProtection="1">
      <alignment horizontal="right"/>
    </xf>
    <xf numFmtId="0" fontId="3" fillId="0" borderId="93" xfId="2" applyBorder="1" applyAlignment="1" applyProtection="1"/>
    <xf numFmtId="0" fontId="0" fillId="0" borderId="93" xfId="0" applyFill="1" applyBorder="1" applyAlignment="1" applyProtection="1">
      <alignment horizontal="center"/>
    </xf>
    <xf numFmtId="0" fontId="0" fillId="0" borderId="93" xfId="0" applyBorder="1" applyAlignment="1" applyProtection="1">
      <alignment horizontal="left"/>
    </xf>
    <xf numFmtId="0" fontId="0" fillId="0" borderId="93" xfId="0" applyBorder="1" applyProtection="1"/>
    <xf numFmtId="0" fontId="22" fillId="0" borderId="93" xfId="0" applyFont="1" applyBorder="1" applyProtection="1"/>
    <xf numFmtId="0" fontId="0" fillId="0" borderId="94" xfId="0" applyBorder="1" applyAlignment="1" applyProtection="1">
      <alignment horizontal="left"/>
    </xf>
    <xf numFmtId="0" fontId="0" fillId="0" borderId="95" xfId="0" applyBorder="1" applyAlignment="1" applyProtection="1">
      <alignment horizontal="left"/>
    </xf>
    <xf numFmtId="0" fontId="0" fillId="0" borderId="95" xfId="0" applyBorder="1" applyProtection="1"/>
    <xf numFmtId="0" fontId="86" fillId="6" borderId="96" xfId="0" applyFont="1" applyFill="1" applyBorder="1" applyAlignment="1" applyProtection="1">
      <alignment horizontal="left"/>
    </xf>
    <xf numFmtId="0" fontId="87" fillId="6" borderId="97" xfId="0" applyFont="1" applyFill="1" applyBorder="1" applyAlignment="1" applyProtection="1">
      <alignment horizontal="left"/>
    </xf>
    <xf numFmtId="0" fontId="86" fillId="6" borderId="97" xfId="0" applyFont="1" applyFill="1" applyBorder="1" applyAlignment="1" applyProtection="1">
      <alignment horizontal="left"/>
    </xf>
    <xf numFmtId="0" fontId="87" fillId="6" borderId="97" xfId="0" applyFont="1" applyFill="1" applyBorder="1" applyAlignment="1" applyProtection="1">
      <alignment horizontal="center"/>
    </xf>
    <xf numFmtId="0" fontId="88" fillId="6" borderId="97" xfId="0" applyFont="1" applyFill="1" applyBorder="1" applyAlignment="1" applyProtection="1">
      <alignment horizontal="center"/>
    </xf>
    <xf numFmtId="0" fontId="9" fillId="10" borderId="0" xfId="0" applyFont="1" applyFill="1" applyBorder="1" applyAlignment="1" applyProtection="1">
      <alignment horizontal="center"/>
    </xf>
    <xf numFmtId="0" fontId="12" fillId="10" borderId="0" xfId="0" applyFont="1" applyFill="1" applyBorder="1" applyAlignment="1" applyProtection="1">
      <alignment horizontal="center"/>
    </xf>
    <xf numFmtId="0" fontId="33" fillId="10" borderId="0" xfId="0" applyFont="1" applyFill="1" applyAlignment="1" applyProtection="1">
      <alignment vertical="top" wrapText="1"/>
    </xf>
    <xf numFmtId="0" fontId="14" fillId="10" borderId="0" xfId="0" applyFont="1" applyFill="1" applyAlignment="1" applyProtection="1">
      <alignment horizontal="center"/>
    </xf>
    <xf numFmtId="0" fontId="14" fillId="10" borderId="0" xfId="0" applyFont="1" applyFill="1" applyAlignment="1" applyProtection="1">
      <alignment horizontal="left"/>
    </xf>
    <xf numFmtId="0" fontId="0" fillId="10" borderId="18" xfId="0" applyFill="1" applyBorder="1" applyAlignment="1" applyProtection="1">
      <alignment horizontal="left"/>
    </xf>
    <xf numFmtId="0" fontId="0" fillId="10" borderId="0" xfId="0" applyFill="1" applyBorder="1"/>
    <xf numFmtId="0" fontId="22" fillId="10" borderId="0" xfId="0" applyFont="1" applyFill="1" applyBorder="1" applyAlignment="1" applyProtection="1">
      <alignment horizontal="left" vertical="center"/>
    </xf>
    <xf numFmtId="9" fontId="53" fillId="10" borderId="0" xfId="6" quotePrefix="1" applyFont="1" applyFill="1" applyBorder="1" applyAlignment="1" applyProtection="1"/>
    <xf numFmtId="0" fontId="0" fillId="10" borderId="0" xfId="0" applyFill="1" applyAlignment="1" applyProtection="1">
      <alignment horizontal="center"/>
    </xf>
    <xf numFmtId="0" fontId="0" fillId="10" borderId="0" xfId="0" applyFill="1" applyAlignment="1" applyProtection="1">
      <alignment horizontal="right"/>
    </xf>
    <xf numFmtId="0" fontId="0" fillId="10" borderId="0" xfId="0" quotePrefix="1" applyFill="1" applyBorder="1" applyAlignment="1" applyProtection="1">
      <alignment horizontal="center"/>
    </xf>
    <xf numFmtId="9" fontId="0" fillId="10" borderId="0" xfId="0" applyNumberFormat="1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right"/>
    </xf>
    <xf numFmtId="0" fontId="0" fillId="0" borderId="96" xfId="0" applyBorder="1" applyAlignment="1" applyProtection="1">
      <alignment horizontal="left"/>
    </xf>
    <xf numFmtId="0" fontId="0" fillId="0" borderId="97" xfId="0" applyBorder="1" applyAlignment="1" applyProtection="1">
      <alignment horizontal="left"/>
    </xf>
    <xf numFmtId="0" fontId="0" fillId="0" borderId="97" xfId="0" applyBorder="1" applyAlignment="1" applyProtection="1">
      <alignment horizontal="center"/>
    </xf>
    <xf numFmtId="0" fontId="0" fillId="0" borderId="98" xfId="0" applyBorder="1" applyAlignment="1" applyProtection="1">
      <alignment horizontal="left"/>
    </xf>
    <xf numFmtId="0" fontId="82" fillId="7" borderId="0" xfId="0" applyFont="1" applyFill="1" applyAlignment="1" applyProtection="1">
      <alignment horizontal="left"/>
    </xf>
    <xf numFmtId="0" fontId="89" fillId="7" borderId="0" xfId="0" applyFont="1" applyFill="1" applyAlignment="1" applyProtection="1">
      <alignment horizontal="center"/>
    </xf>
    <xf numFmtId="0" fontId="82" fillId="7" borderId="0" xfId="0" applyFont="1" applyFill="1" applyBorder="1" applyAlignment="1" applyProtection="1">
      <alignment horizontal="center"/>
    </xf>
    <xf numFmtId="0" fontId="82" fillId="7" borderId="0" xfId="0" applyFont="1" applyFill="1" applyProtection="1"/>
    <xf numFmtId="0" fontId="85" fillId="7" borderId="0" xfId="0" applyFont="1" applyFill="1" applyAlignment="1" applyProtection="1">
      <alignment horizontal="left"/>
    </xf>
    <xf numFmtId="0" fontId="82" fillId="7" borderId="0" xfId="0" applyFont="1" applyFill="1" applyBorder="1" applyAlignment="1" applyProtection="1">
      <alignment horizontal="left"/>
    </xf>
    <xf numFmtId="0" fontId="82" fillId="7" borderId="0" xfId="0" applyFont="1" applyFill="1" applyAlignment="1" applyProtection="1">
      <alignment horizontal="center"/>
    </xf>
    <xf numFmtId="0" fontId="20" fillId="0" borderId="0" xfId="0" applyFont="1" applyFill="1" applyBorder="1" applyAlignment="1" applyProtection="1"/>
    <xf numFmtId="0" fontId="90" fillId="0" borderId="0" xfId="0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166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Border="1" applyAlignment="1" applyProtection="1"/>
    <xf numFmtId="0" fontId="91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left"/>
    </xf>
    <xf numFmtId="0" fontId="75" fillId="0" borderId="0" xfId="0" applyFont="1" applyBorder="1" applyAlignment="1" applyProtection="1">
      <alignment horizontal="center"/>
    </xf>
    <xf numFmtId="2" fontId="23" fillId="0" borderId="0" xfId="0" applyNumberFormat="1" applyFont="1" applyBorder="1" applyAlignment="1" applyProtection="1">
      <alignment horizontal="center"/>
    </xf>
    <xf numFmtId="0" fontId="92" fillId="7" borderId="0" xfId="0" applyFont="1" applyFill="1" applyAlignment="1" applyProtection="1">
      <alignment horizontal="left"/>
    </xf>
    <xf numFmtId="0" fontId="11" fillId="7" borderId="0" xfId="0" applyFont="1" applyFill="1" applyBorder="1" applyAlignment="1" applyProtection="1">
      <alignment horizontal="center"/>
    </xf>
    <xf numFmtId="0" fontId="18" fillId="7" borderId="0" xfId="0" applyFont="1" applyFill="1" applyBorder="1" applyAlignment="1" applyProtection="1">
      <alignment horizontal="center"/>
    </xf>
    <xf numFmtId="0" fontId="21" fillId="7" borderId="0" xfId="0" applyFont="1" applyFill="1" applyProtection="1"/>
    <xf numFmtId="2" fontId="0" fillId="7" borderId="0" xfId="0" applyNumberFormat="1" applyFill="1" applyBorder="1" applyAlignment="1" applyProtection="1">
      <alignment horizontal="center"/>
    </xf>
    <xf numFmtId="0" fontId="0" fillId="0" borderId="44" xfId="0" applyBorder="1" applyAlignment="1" applyProtection="1">
      <alignment horizontal="left"/>
    </xf>
    <xf numFmtId="0" fontId="0" fillId="0" borderId="44" xfId="0" applyBorder="1" applyAlignment="1" applyProtection="1"/>
    <xf numFmtId="0" fontId="5" fillId="0" borderId="44" xfId="0" applyFont="1" applyBorder="1" applyAlignment="1" applyProtection="1">
      <alignment horizontal="left"/>
    </xf>
    <xf numFmtId="0" fontId="0" fillId="0" borderId="44" xfId="0" applyBorder="1" applyProtection="1"/>
    <xf numFmtId="0" fontId="75" fillId="0" borderId="44" xfId="0" applyFont="1" applyBorder="1" applyAlignment="1" applyProtection="1">
      <alignment horizontal="center"/>
    </xf>
    <xf numFmtId="0" fontId="21" fillId="0" borderId="44" xfId="0" applyFont="1" applyBorder="1" applyAlignment="1" applyProtection="1">
      <alignment horizontal="right"/>
    </xf>
    <xf numFmtId="0" fontId="11" fillId="0" borderId="44" xfId="0" applyFont="1" applyBorder="1" applyAlignment="1" applyProtection="1">
      <alignment horizontal="right"/>
    </xf>
    <xf numFmtId="0" fontId="4" fillId="0" borderId="44" xfId="0" applyFont="1" applyBorder="1" applyAlignment="1" applyProtection="1">
      <alignment horizontal="center"/>
    </xf>
    <xf numFmtId="2" fontId="4" fillId="0" borderId="44" xfId="0" applyNumberFormat="1" applyFont="1" applyBorder="1" applyAlignment="1" applyProtection="1">
      <alignment horizontal="center"/>
    </xf>
    <xf numFmtId="0" fontId="19" fillId="0" borderId="44" xfId="0" applyFont="1" applyBorder="1" applyAlignment="1" applyProtection="1"/>
    <xf numFmtId="0" fontId="11" fillId="0" borderId="44" xfId="0" applyFont="1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0" fillId="0" borderId="92" xfId="0" applyFill="1" applyBorder="1" applyAlignment="1" applyProtection="1">
      <alignment horizontal="left"/>
    </xf>
    <xf numFmtId="0" fontId="0" fillId="0" borderId="93" xfId="0" applyFill="1" applyBorder="1" applyAlignment="1" applyProtection="1">
      <alignment horizontal="left"/>
    </xf>
    <xf numFmtId="0" fontId="0" fillId="0" borderId="99" xfId="0" applyFill="1" applyBorder="1" applyAlignment="1" applyProtection="1">
      <alignment horizontal="left"/>
    </xf>
    <xf numFmtId="0" fontId="91" fillId="0" borderId="95" xfId="0" applyFont="1" applyBorder="1" applyAlignment="1" applyProtection="1">
      <alignment vertical="top" wrapText="1"/>
    </xf>
    <xf numFmtId="0" fontId="21" fillId="0" borderId="94" xfId="0" applyFont="1" applyBorder="1" applyAlignment="1" applyProtection="1">
      <alignment horizontal="center"/>
    </xf>
    <xf numFmtId="0" fontId="0" fillId="0" borderId="94" xfId="0" applyBorder="1" applyProtection="1"/>
    <xf numFmtId="0" fontId="35" fillId="0" borderId="94" xfId="0" applyFont="1" applyBorder="1" applyProtection="1"/>
    <xf numFmtId="2" fontId="9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/>
    </xf>
    <xf numFmtId="0" fontId="60" fillId="0" borderId="0" xfId="0" applyFont="1" applyFill="1" applyBorder="1" applyAlignment="1" applyProtection="1">
      <alignment horizontal="center"/>
    </xf>
    <xf numFmtId="0" fontId="76" fillId="0" borderId="0" xfId="0" applyFont="1" applyBorder="1" applyAlignment="1" applyProtection="1">
      <alignment horizontal="left" vertical="top"/>
    </xf>
    <xf numFmtId="0" fontId="0" fillId="10" borderId="0" xfId="0" applyFill="1" applyAlignment="1" applyProtection="1">
      <alignment horizontal="left"/>
      <protection locked="0"/>
    </xf>
    <xf numFmtId="0" fontId="0" fillId="10" borderId="0" xfId="0" applyFill="1" applyAlignment="1" applyProtection="1">
      <protection locked="0"/>
    </xf>
    <xf numFmtId="0" fontId="0" fillId="10" borderId="0" xfId="0" applyFill="1" applyAlignment="1">
      <alignment horizontal="left"/>
    </xf>
    <xf numFmtId="0" fontId="9" fillId="10" borderId="0" xfId="0" applyFont="1" applyFill="1" applyAlignment="1">
      <alignment horizontal="center"/>
    </xf>
    <xf numFmtId="0" fontId="13" fillId="10" borderId="0" xfId="0" applyFont="1" applyFill="1" applyAlignment="1">
      <alignment horizontal="left"/>
    </xf>
    <xf numFmtId="0" fontId="2" fillId="10" borderId="0" xfId="0" applyFont="1" applyFill="1" applyAlignment="1">
      <alignment horizontal="center"/>
    </xf>
    <xf numFmtId="0" fontId="2" fillId="10" borderId="0" xfId="0" applyFont="1" applyFill="1" applyAlignment="1" applyProtection="1">
      <alignment horizontal="left" vertical="top"/>
    </xf>
    <xf numFmtId="0" fontId="0" fillId="10" borderId="0" xfId="0" applyFill="1" applyAlignment="1">
      <alignment horizontal="center"/>
    </xf>
    <xf numFmtId="0" fontId="7" fillId="10" borderId="0" xfId="0" applyFont="1" applyFill="1" applyAlignment="1">
      <alignment horizontal="left"/>
    </xf>
    <xf numFmtId="0" fontId="4" fillId="10" borderId="0" xfId="0" applyFont="1" applyFill="1" applyAlignment="1">
      <alignment horizontal="centerContinuous"/>
    </xf>
    <xf numFmtId="0" fontId="11" fillId="10" borderId="0" xfId="0" applyFont="1" applyFill="1" applyAlignment="1">
      <alignment horizontal="centerContinuous"/>
    </xf>
    <xf numFmtId="0" fontId="14" fillId="10" borderId="0" xfId="0" applyFont="1" applyFill="1" applyAlignment="1">
      <alignment horizontal="left"/>
    </xf>
    <xf numFmtId="0" fontId="0" fillId="10" borderId="0" xfId="0" applyFill="1" applyBorder="1" applyAlignment="1">
      <alignment horizontal="left"/>
    </xf>
    <xf numFmtId="0" fontId="19" fillId="10" borderId="0" xfId="0" applyFont="1" applyFill="1" applyBorder="1" applyAlignment="1">
      <alignment horizontal="left"/>
    </xf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right"/>
    </xf>
    <xf numFmtId="0" fontId="7" fillId="10" borderId="0" xfId="0" applyFont="1" applyFill="1" applyBorder="1" applyAlignment="1">
      <alignment horizontal="center"/>
    </xf>
    <xf numFmtId="38" fontId="16" fillId="10" borderId="0" xfId="1" applyNumberFormat="1" applyFont="1" applyFill="1" applyBorder="1" applyAlignment="1">
      <alignment horizontal="center"/>
    </xf>
    <xf numFmtId="0" fontId="2" fillId="12" borderId="0" xfId="0" applyFont="1" applyFill="1" applyAlignment="1" applyProtection="1">
      <alignment horizontal="center"/>
      <protection locked="0"/>
    </xf>
    <xf numFmtId="0" fontId="19" fillId="12" borderId="0" xfId="0" applyFont="1" applyFill="1" applyAlignment="1">
      <alignment horizontal="left"/>
    </xf>
    <xf numFmtId="0" fontId="40" fillId="12" borderId="0" xfId="0" applyFont="1" applyFill="1" applyAlignment="1" applyProtection="1">
      <alignment horizontal="left"/>
    </xf>
    <xf numFmtId="0" fontId="2" fillId="12" borderId="0" xfId="0" applyFont="1" applyFill="1" applyAlignment="1" applyProtection="1">
      <alignment horizontal="left"/>
    </xf>
    <xf numFmtId="0" fontId="2" fillId="12" borderId="0" xfId="0" applyFont="1" applyFill="1" applyAlignment="1" applyProtection="1">
      <alignment horizontal="center"/>
    </xf>
    <xf numFmtId="0" fontId="2" fillId="12" borderId="3" xfId="0" applyFont="1" applyFill="1" applyBorder="1" applyAlignment="1" applyProtection="1">
      <alignment horizontal="center"/>
    </xf>
    <xf numFmtId="0" fontId="2" fillId="12" borderId="0" xfId="0" applyFont="1" applyFill="1" applyAlignment="1" applyProtection="1">
      <alignment horizontal="left" vertical="top"/>
    </xf>
    <xf numFmtId="0" fontId="2" fillId="12" borderId="0" xfId="0" applyFont="1" applyFill="1" applyAlignment="1" applyProtection="1">
      <alignment horizontal="center" vertical="top"/>
    </xf>
    <xf numFmtId="0" fontId="2" fillId="12" borderId="2" xfId="0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/>
    <xf numFmtId="0" fontId="0" fillId="12" borderId="0" xfId="0" applyFont="1" applyFill="1" applyAlignment="1" applyProtection="1">
      <alignment horizontal="center"/>
    </xf>
    <xf numFmtId="2" fontId="2" fillId="12" borderId="1" xfId="0" applyNumberFormat="1" applyFont="1" applyFill="1" applyBorder="1" applyAlignment="1" applyProtection="1">
      <alignment horizontal="center"/>
    </xf>
    <xf numFmtId="2" fontId="2" fillId="12" borderId="0" xfId="0" applyNumberFormat="1" applyFont="1" applyFill="1" applyAlignment="1" applyProtection="1">
      <alignment horizontal="center"/>
    </xf>
    <xf numFmtId="0" fontId="2" fillId="12" borderId="1" xfId="0" applyFont="1" applyFill="1" applyBorder="1" applyAlignment="1" applyProtection="1">
      <alignment horizontal="center"/>
    </xf>
    <xf numFmtId="0" fontId="2" fillId="12" borderId="25" xfId="0" applyFont="1" applyFill="1" applyBorder="1" applyAlignment="1" applyProtection="1">
      <alignment horizontal="center"/>
    </xf>
    <xf numFmtId="0" fontId="2" fillId="12" borderId="45" xfId="0" applyFont="1" applyFill="1" applyBorder="1" applyAlignment="1" applyProtection="1">
      <alignment horizontal="center"/>
    </xf>
    <xf numFmtId="2" fontId="2" fillId="12" borderId="0" xfId="0" applyNumberFormat="1" applyFont="1" applyFill="1" applyAlignment="1" applyProtection="1">
      <alignment horizontal="center" vertical="top"/>
    </xf>
    <xf numFmtId="0" fontId="2" fillId="12" borderId="4" xfId="0" applyFont="1" applyFill="1" applyBorder="1" applyAlignment="1" applyProtection="1">
      <alignment horizontal="center"/>
    </xf>
    <xf numFmtId="0" fontId="2" fillId="12" borderId="16" xfId="0" applyFont="1" applyFill="1" applyBorder="1" applyAlignment="1" applyProtection="1">
      <alignment horizontal="center"/>
    </xf>
    <xf numFmtId="0" fontId="2" fillId="12" borderId="46" xfId="0" applyFont="1" applyFill="1" applyBorder="1" applyAlignment="1" applyProtection="1">
      <alignment horizontal="center"/>
    </xf>
    <xf numFmtId="0" fontId="2" fillId="12" borderId="2" xfId="0" quotePrefix="1" applyFont="1" applyFill="1" applyBorder="1" applyAlignment="1" applyProtection="1">
      <alignment horizontal="center" vertical="top"/>
    </xf>
    <xf numFmtId="0" fontId="2" fillId="12" borderId="0" xfId="0" quotePrefix="1" applyFont="1" applyFill="1" applyAlignment="1" applyProtection="1">
      <alignment horizontal="right"/>
    </xf>
    <xf numFmtId="2" fontId="40" fillId="12" borderId="0" xfId="0" applyNumberFormat="1" applyFont="1" applyFill="1" applyAlignment="1" applyProtection="1">
      <alignment horizontal="center" vertical="top"/>
    </xf>
    <xf numFmtId="0" fontId="0" fillId="12" borderId="0" xfId="0" applyFill="1" applyAlignment="1">
      <alignment horizontal="left"/>
    </xf>
    <xf numFmtId="0" fontId="0" fillId="12" borderId="0" xfId="0" applyFill="1" applyAlignment="1"/>
    <xf numFmtId="38" fontId="16" fillId="12" borderId="3" xfId="1" applyNumberFormat="1" applyFont="1" applyFill="1" applyBorder="1" applyAlignment="1">
      <alignment horizontal="center"/>
    </xf>
    <xf numFmtId="0" fontId="0" fillId="12" borderId="0" xfId="0" applyFill="1" applyAlignment="1">
      <alignment horizontal="right"/>
    </xf>
    <xf numFmtId="0" fontId="14" fillId="12" borderId="47" xfId="0" applyFont="1" applyFill="1" applyBorder="1" applyAlignment="1">
      <alignment horizontal="left"/>
    </xf>
    <xf numFmtId="0" fontId="14" fillId="12" borderId="48" xfId="0" applyFont="1" applyFill="1" applyBorder="1" applyAlignment="1">
      <alignment horizontal="center"/>
    </xf>
    <xf numFmtId="0" fontId="14" fillId="12" borderId="49" xfId="0" applyFont="1" applyFill="1" applyBorder="1" applyAlignment="1">
      <alignment horizontal="center"/>
    </xf>
    <xf numFmtId="0" fontId="14" fillId="12" borderId="50" xfId="0" applyFont="1" applyFill="1" applyBorder="1" applyAlignment="1">
      <alignment horizontal="left"/>
    </xf>
    <xf numFmtId="0" fontId="14" fillId="12" borderId="51" xfId="0" applyFont="1" applyFill="1" applyBorder="1" applyAlignment="1">
      <alignment horizontal="center"/>
    </xf>
    <xf numFmtId="0" fontId="14" fillId="12" borderId="52" xfId="0" applyFont="1" applyFill="1" applyBorder="1" applyAlignment="1">
      <alignment horizontal="center"/>
    </xf>
    <xf numFmtId="0" fontId="14" fillId="12" borderId="51" xfId="0" applyFont="1" applyFill="1" applyBorder="1" applyAlignment="1">
      <alignment horizontal="left"/>
    </xf>
    <xf numFmtId="0" fontId="14" fillId="12" borderId="52" xfId="0" applyFont="1" applyFill="1" applyBorder="1" applyAlignment="1">
      <alignment horizontal="left"/>
    </xf>
    <xf numFmtId="0" fontId="14" fillId="12" borderId="53" xfId="0" applyFont="1" applyFill="1" applyBorder="1" applyAlignment="1"/>
    <xf numFmtId="1" fontId="14" fillId="12" borderId="54" xfId="0" quotePrefix="1" applyNumberFormat="1" applyFont="1" applyFill="1" applyBorder="1" applyAlignment="1">
      <alignment horizontal="center"/>
    </xf>
    <xf numFmtId="1" fontId="14" fillId="12" borderId="23" xfId="0" applyNumberFormat="1" applyFont="1" applyFill="1" applyBorder="1" applyAlignment="1">
      <alignment horizontal="center"/>
    </xf>
    <xf numFmtId="16" fontId="0" fillId="12" borderId="0" xfId="0" applyNumberFormat="1" applyFill="1" applyAlignment="1">
      <alignment horizontal="center"/>
    </xf>
    <xf numFmtId="0" fontId="0" fillId="12" borderId="0" xfId="0" applyFill="1" applyAlignment="1">
      <alignment horizontal="center"/>
    </xf>
    <xf numFmtId="38" fontId="16" fillId="12" borderId="5" xfId="1" applyNumberFormat="1" applyFont="1" applyFill="1" applyBorder="1" applyAlignment="1">
      <alignment horizontal="center"/>
    </xf>
    <xf numFmtId="0" fontId="8" fillId="10" borderId="0" xfId="0" applyFont="1" applyFill="1" applyAlignment="1" applyProtection="1">
      <alignment horizontal="left"/>
      <protection locked="0"/>
    </xf>
    <xf numFmtId="0" fontId="39" fillId="6" borderId="0" xfId="0" applyFont="1" applyFill="1" applyBorder="1" applyAlignment="1" applyProtection="1">
      <alignment horizontal="left"/>
    </xf>
    <xf numFmtId="0" fontId="86" fillId="6" borderId="0" xfId="0" applyFont="1" applyFill="1" applyBorder="1"/>
    <xf numFmtId="0" fontId="0" fillId="0" borderId="94" xfId="0" applyBorder="1" applyAlignment="1" applyProtection="1"/>
    <xf numFmtId="0" fontId="4" fillId="0" borderId="94" xfId="0" applyFont="1" applyBorder="1" applyAlignment="1" applyProtection="1">
      <alignment horizontal="left"/>
    </xf>
    <xf numFmtId="0" fontId="39" fillId="0" borderId="94" xfId="0" applyFont="1" applyBorder="1" applyAlignment="1" applyProtection="1">
      <alignment horizontal="left"/>
    </xf>
    <xf numFmtId="0" fontId="87" fillId="6" borderId="94" xfId="0" applyFont="1" applyFill="1" applyBorder="1" applyAlignment="1" applyProtection="1">
      <alignment horizontal="left"/>
    </xf>
    <xf numFmtId="0" fontId="93" fillId="0" borderId="0" xfId="2" applyFont="1" applyBorder="1" applyAlignment="1" applyProtection="1">
      <alignment horizontal="center"/>
      <protection locked="0"/>
    </xf>
    <xf numFmtId="0" fontId="73" fillId="0" borderId="13" xfId="0" applyFont="1" applyBorder="1" applyAlignment="1" applyProtection="1">
      <alignment horizontal="center"/>
    </xf>
    <xf numFmtId="0" fontId="0" fillId="10" borderId="94" xfId="0" applyFill="1" applyBorder="1"/>
    <xf numFmtId="0" fontId="3" fillId="10" borderId="94" xfId="2" applyFill="1" applyBorder="1" applyAlignment="1" applyProtection="1">
      <alignment horizontal="center"/>
    </xf>
    <xf numFmtId="0" fontId="0" fillId="10" borderId="94" xfId="0" applyFill="1" applyBorder="1" applyAlignment="1" applyProtection="1">
      <alignment horizontal="left"/>
    </xf>
    <xf numFmtId="0" fontId="0" fillId="10" borderId="94" xfId="0" applyFill="1" applyBorder="1" applyProtection="1"/>
    <xf numFmtId="0" fontId="39" fillId="10" borderId="94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65" fillId="0" borderId="0" xfId="0" applyFont="1" applyBorder="1" applyAlignment="1" applyProtection="1"/>
    <xf numFmtId="0" fontId="0" fillId="10" borderId="0" xfId="0" applyFill="1" applyAlignment="1"/>
    <xf numFmtId="0" fontId="0" fillId="10" borderId="0" xfId="0" applyFill="1" applyAlignment="1">
      <alignment horizontal="right"/>
    </xf>
    <xf numFmtId="0" fontId="45" fillId="10" borderId="0" xfId="0" applyFont="1" applyFill="1" applyAlignment="1">
      <alignment horizontal="right"/>
    </xf>
    <xf numFmtId="0" fontId="21" fillId="10" borderId="0" xfId="0" applyFont="1" applyFill="1"/>
    <xf numFmtId="0" fontId="29" fillId="10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8" fillId="10" borderId="0" xfId="0" applyFont="1" applyFill="1" applyAlignment="1">
      <alignment horizontal="left"/>
    </xf>
    <xf numFmtId="0" fontId="0" fillId="0" borderId="17" xfId="0" applyBorder="1" applyProtection="1"/>
    <xf numFmtId="0" fontId="37" fillId="0" borderId="19" xfId="0" applyFont="1" applyBorder="1" applyAlignment="1" applyProtection="1"/>
    <xf numFmtId="0" fontId="0" fillId="0" borderId="19" xfId="0" applyFill="1" applyBorder="1"/>
    <xf numFmtId="0" fontId="0" fillId="0" borderId="19" xfId="0" applyBorder="1" applyProtection="1"/>
    <xf numFmtId="0" fontId="0" fillId="0" borderId="28" xfId="0" applyBorder="1" applyProtection="1"/>
    <xf numFmtId="0" fontId="0" fillId="0" borderId="15" xfId="0" applyFill="1" applyBorder="1" applyAlignment="1" applyProtection="1">
      <alignment horizontal="center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14" fillId="10" borderId="0" xfId="0" applyFont="1" applyFill="1" applyBorder="1" applyAlignment="1" applyProtection="1">
      <alignment horizontal="left"/>
    </xf>
    <xf numFmtId="0" fontId="94" fillId="10" borderId="0" xfId="0" applyFont="1" applyFill="1" applyBorder="1" applyAlignment="1" applyProtection="1">
      <alignment vertical="top" wrapText="1"/>
    </xf>
    <xf numFmtId="9" fontId="95" fillId="10" borderId="0" xfId="6" applyFont="1" applyFill="1" applyBorder="1" applyAlignment="1" applyProtection="1">
      <alignment horizontal="center"/>
    </xf>
    <xf numFmtId="0" fontId="96" fillId="10" borderId="83" xfId="0" applyFont="1" applyFill="1" applyBorder="1" applyAlignment="1" applyProtection="1">
      <alignment horizontal="left"/>
    </xf>
    <xf numFmtId="0" fontId="96" fillId="10" borderId="0" xfId="0" applyFont="1" applyFill="1" applyBorder="1" applyAlignment="1" applyProtection="1">
      <alignment horizontal="left"/>
    </xf>
    <xf numFmtId="0" fontId="97" fillId="10" borderId="83" xfId="0" applyFont="1" applyFill="1" applyBorder="1" applyAlignment="1" applyProtection="1">
      <alignment vertical="top" wrapText="1"/>
    </xf>
    <xf numFmtId="0" fontId="96" fillId="10" borderId="83" xfId="0" applyFont="1" applyFill="1" applyBorder="1"/>
    <xf numFmtId="0" fontId="94" fillId="10" borderId="83" xfId="0" applyFont="1" applyFill="1" applyBorder="1" applyAlignment="1" applyProtection="1">
      <alignment vertical="top" wrapText="1"/>
    </xf>
    <xf numFmtId="0" fontId="98" fillId="10" borderId="83" xfId="0" applyFont="1" applyFill="1" applyBorder="1" applyAlignment="1" applyProtection="1"/>
    <xf numFmtId="0" fontId="98" fillId="10" borderId="0" xfId="0" applyFont="1" applyFill="1" applyBorder="1" applyAlignment="1" applyProtection="1">
      <alignment horizontal="center"/>
    </xf>
    <xf numFmtId="0" fontId="99" fillId="10" borderId="83" xfId="4" applyFont="1" applyFill="1" applyBorder="1" applyProtection="1"/>
    <xf numFmtId="0" fontId="96" fillId="10" borderId="83" xfId="0" applyFont="1" applyFill="1" applyBorder="1" applyAlignment="1" applyProtection="1">
      <alignment horizontal="center"/>
    </xf>
    <xf numFmtId="0" fontId="100" fillId="10" borderId="83" xfId="4" applyFont="1" applyFill="1" applyBorder="1" applyAlignment="1" applyProtection="1">
      <alignment horizontal="center"/>
    </xf>
    <xf numFmtId="0" fontId="94" fillId="10" borderId="83" xfId="0" applyFont="1" applyFill="1" applyBorder="1" applyAlignment="1" applyProtection="1">
      <alignment horizontal="left"/>
    </xf>
    <xf numFmtId="0" fontId="101" fillId="10" borderId="83" xfId="0" applyFont="1" applyFill="1" applyBorder="1" applyAlignment="1" applyProtection="1">
      <alignment horizontal="left"/>
    </xf>
    <xf numFmtId="9" fontId="95" fillId="10" borderId="83" xfId="6" applyFont="1" applyFill="1" applyBorder="1" applyAlignment="1" applyProtection="1">
      <alignment horizontal="center"/>
    </xf>
    <xf numFmtId="9" fontId="102" fillId="10" borderId="83" xfId="6" applyFont="1" applyFill="1" applyBorder="1" applyAlignment="1" applyProtection="1">
      <alignment horizontal="left"/>
    </xf>
    <xf numFmtId="0" fontId="96" fillId="10" borderId="0" xfId="0" applyFont="1" applyFill="1" applyBorder="1" applyProtection="1"/>
    <xf numFmtId="0" fontId="61" fillId="12" borderId="0" xfId="0" applyFont="1" applyFill="1" applyAlignment="1" applyProtection="1">
      <alignment horizontal="left"/>
    </xf>
    <xf numFmtId="0" fontId="0" fillId="12" borderId="0" xfId="0" applyFill="1" applyProtection="1"/>
    <xf numFmtId="0" fontId="62" fillId="12" borderId="0" xfId="0" applyFont="1" applyFill="1" applyAlignment="1" applyProtection="1">
      <alignment horizontal="left"/>
    </xf>
    <xf numFmtId="0" fontId="2" fillId="12" borderId="0" xfId="0" applyFont="1" applyFill="1" applyAlignment="1" applyProtection="1">
      <alignment horizontal="right"/>
    </xf>
    <xf numFmtId="0" fontId="28" fillId="12" borderId="0" xfId="0" applyFont="1" applyFill="1" applyAlignment="1" applyProtection="1">
      <alignment horizontal="left"/>
    </xf>
    <xf numFmtId="0" fontId="2" fillId="12" borderId="0" xfId="0" applyFont="1" applyFill="1" applyAlignment="1" applyProtection="1">
      <alignment horizontal="centerContinuous"/>
    </xf>
    <xf numFmtId="0" fontId="2" fillId="12" borderId="0" xfId="0" applyFont="1" applyFill="1" applyBorder="1" applyAlignment="1" applyProtection="1">
      <alignment horizontal="left"/>
    </xf>
    <xf numFmtId="0" fontId="2" fillId="12" borderId="0" xfId="0" applyFont="1" applyFill="1" applyBorder="1" applyAlignment="1" applyProtection="1">
      <alignment horizontal="center"/>
    </xf>
    <xf numFmtId="0" fontId="2" fillId="12" borderId="0" xfId="0" applyFont="1" applyFill="1" applyBorder="1" applyAlignment="1" applyProtection="1">
      <alignment horizontal="left" vertical="top"/>
    </xf>
    <xf numFmtId="9" fontId="39" fillId="0" borderId="0" xfId="6" applyFont="1" applyBorder="1" applyAlignment="1" applyProtection="1">
      <alignment horizontal="center"/>
    </xf>
    <xf numFmtId="9" fontId="8" fillId="6" borderId="0" xfId="6" applyFont="1" applyFill="1" applyBorder="1" applyAlignment="1" applyProtection="1">
      <alignment horizontal="left"/>
    </xf>
    <xf numFmtId="0" fontId="0" fillId="12" borderId="0" xfId="0" applyFill="1" applyBorder="1" applyAlignment="1" applyProtection="1">
      <alignment horizontal="left"/>
    </xf>
    <xf numFmtId="0" fontId="17" fillId="12" borderId="0" xfId="0" applyFont="1" applyFill="1" applyBorder="1" applyAlignment="1" applyProtection="1">
      <alignment horizontal="left"/>
    </xf>
    <xf numFmtId="0" fontId="0" fillId="12" borderId="0" xfId="0" applyFill="1" applyBorder="1" applyProtection="1"/>
    <xf numFmtId="0" fontId="0" fillId="12" borderId="0" xfId="0" applyFill="1" applyBorder="1" applyAlignment="1" applyProtection="1">
      <alignment horizontal="center"/>
    </xf>
    <xf numFmtId="0" fontId="11" fillId="12" borderId="0" xfId="0" applyFont="1" applyFill="1" applyBorder="1" applyAlignment="1" applyProtection="1">
      <alignment horizontal="left"/>
    </xf>
    <xf numFmtId="0" fontId="19" fillId="12" borderId="0" xfId="0" applyFont="1" applyFill="1" applyBorder="1" applyAlignment="1" applyProtection="1"/>
    <xf numFmtId="0" fontId="11" fillId="12" borderId="0" xfId="0" applyFont="1" applyFill="1" applyBorder="1" applyAlignment="1" applyProtection="1">
      <alignment horizontal="center"/>
    </xf>
    <xf numFmtId="0" fontId="0" fillId="12" borderId="0" xfId="0" applyFill="1" applyBorder="1" applyAlignment="1" applyProtection="1">
      <alignment horizontal="right"/>
    </xf>
    <xf numFmtId="0" fontId="18" fillId="12" borderId="0" xfId="0" applyFont="1" applyFill="1" applyBorder="1" applyAlignment="1" applyProtection="1">
      <alignment horizontal="left"/>
    </xf>
    <xf numFmtId="0" fontId="18" fillId="12" borderId="0" xfId="0" applyFont="1" applyFill="1" applyBorder="1" applyAlignment="1" applyProtection="1">
      <alignment horizontal="center"/>
    </xf>
    <xf numFmtId="0" fontId="11" fillId="12" borderId="0" xfId="0" applyFont="1" applyFill="1" applyBorder="1" applyAlignment="1" applyProtection="1">
      <alignment horizontal="right"/>
    </xf>
    <xf numFmtId="0" fontId="46" fillId="12" borderId="0" xfId="0" applyFont="1" applyFill="1" applyBorder="1" applyAlignment="1" applyProtection="1">
      <alignment horizontal="left"/>
    </xf>
    <xf numFmtId="0" fontId="0" fillId="12" borderId="0" xfId="0" applyFill="1" applyBorder="1" applyAlignment="1" applyProtection="1"/>
    <xf numFmtId="0" fontId="0" fillId="12" borderId="0" xfId="0" quotePrefix="1" applyFill="1" applyBorder="1" applyAlignment="1" applyProtection="1">
      <alignment horizontal="center"/>
    </xf>
    <xf numFmtId="9" fontId="0" fillId="12" borderId="0" xfId="0" applyNumberFormat="1" applyFill="1" applyBorder="1" applyAlignment="1" applyProtection="1">
      <alignment horizontal="center"/>
    </xf>
    <xf numFmtId="0" fontId="4" fillId="0" borderId="19" xfId="0" applyFont="1" applyBorder="1" applyAlignment="1" applyProtection="1"/>
    <xf numFmtId="0" fontId="0" fillId="0" borderId="19" xfId="0" applyBorder="1" applyAlignment="1" applyProtection="1">
      <alignment horizontal="right"/>
    </xf>
    <xf numFmtId="164" fontId="0" fillId="0" borderId="3" xfId="0" applyNumberFormat="1" applyBorder="1" applyAlignment="1" applyProtection="1">
      <alignment horizontal="center"/>
    </xf>
    <xf numFmtId="0" fontId="76" fillId="0" borderId="0" xfId="0" applyFont="1" applyBorder="1" applyAlignment="1" applyProtection="1">
      <alignment horizontal="left"/>
    </xf>
    <xf numFmtId="0" fontId="0" fillId="0" borderId="0" xfId="0" applyFill="1" applyBorder="1"/>
    <xf numFmtId="0" fontId="76" fillId="0" borderId="0" xfId="0" applyFont="1" applyBorder="1" applyAlignment="1" applyProtection="1">
      <alignment vertical="center" wrapText="1"/>
    </xf>
    <xf numFmtId="0" fontId="0" fillId="0" borderId="0" xfId="0" applyFill="1" applyAlignment="1">
      <alignment horizontal="center"/>
    </xf>
    <xf numFmtId="1" fontId="11" fillId="0" borderId="100" xfId="0" applyNumberFormat="1" applyFont="1" applyBorder="1" applyAlignment="1">
      <alignment horizontal="center" vertical="center"/>
    </xf>
    <xf numFmtId="2" fontId="11" fillId="0" borderId="100" xfId="0" applyNumberFormat="1" applyFont="1" applyBorder="1" applyAlignment="1">
      <alignment horizontal="center" vertical="center"/>
    </xf>
    <xf numFmtId="0" fontId="0" fillId="12" borderId="0" xfId="0" applyFill="1" applyAlignment="1">
      <alignment horizontal="right" vertical="center"/>
    </xf>
    <xf numFmtId="0" fontId="7" fillId="12" borderId="0" xfId="0" applyFont="1" applyFill="1" applyAlignment="1">
      <alignment horizontal="left"/>
    </xf>
    <xf numFmtId="0" fontId="0" fillId="12" borderId="0" xfId="0" applyFill="1" applyBorder="1" applyAlignment="1">
      <alignment horizontal="left"/>
    </xf>
    <xf numFmtId="0" fontId="0" fillId="12" borderId="0" xfId="0" applyFill="1" applyBorder="1" applyAlignment="1">
      <alignment horizontal="center"/>
    </xf>
    <xf numFmtId="0" fontId="12" fillId="12" borderId="3" xfId="3" applyFont="1" applyFill="1" applyBorder="1" applyAlignment="1">
      <alignment horizontal="center"/>
    </xf>
    <xf numFmtId="0" fontId="8" fillId="12" borderId="0" xfId="3" applyFont="1" applyFill="1" applyAlignment="1">
      <alignment horizontal="left"/>
    </xf>
    <xf numFmtId="0" fontId="35" fillId="12" borderId="0" xfId="3" applyFill="1" applyAlignment="1">
      <alignment horizontal="left"/>
    </xf>
    <xf numFmtId="0" fontId="35" fillId="12" borderId="0" xfId="3" applyFill="1" applyAlignment="1">
      <alignment horizontal="center"/>
    </xf>
    <xf numFmtId="1" fontId="11" fillId="12" borderId="5" xfId="0" applyNumberFormat="1" applyFont="1" applyFill="1" applyBorder="1" applyAlignment="1">
      <alignment horizontal="center" vertical="center"/>
    </xf>
    <xf numFmtId="0" fontId="0" fillId="12" borderId="3" xfId="0" quotePrefix="1" applyFill="1" applyBorder="1" applyAlignment="1">
      <alignment horizontal="center"/>
    </xf>
    <xf numFmtId="0" fontId="0" fillId="12" borderId="0" xfId="0" applyFill="1" applyBorder="1" applyAlignment="1">
      <alignment horizontal="right"/>
    </xf>
    <xf numFmtId="0" fontId="0" fillId="12" borderId="0" xfId="0" applyFill="1" applyAlignment="1" applyProtection="1">
      <alignment horizontal="left"/>
    </xf>
    <xf numFmtId="0" fontId="76" fillId="12" borderId="2" xfId="0" applyFont="1" applyFill="1" applyBorder="1" applyAlignment="1">
      <alignment horizontal="center"/>
    </xf>
    <xf numFmtId="0" fontId="40" fillId="12" borderId="3" xfId="0" applyFont="1" applyFill="1" applyBorder="1" applyAlignment="1">
      <alignment horizontal="center"/>
    </xf>
    <xf numFmtId="0" fontId="40" fillId="12" borderId="0" xfId="0" applyFont="1" applyFill="1" applyBorder="1" applyAlignment="1" applyProtection="1">
      <alignment horizontal="center"/>
    </xf>
    <xf numFmtId="0" fontId="0" fillId="12" borderId="0" xfId="0" applyFill="1"/>
    <xf numFmtId="0" fontId="10" fillId="12" borderId="0" xfId="0" applyFont="1" applyFill="1" applyAlignment="1">
      <alignment horizontal="left"/>
    </xf>
    <xf numFmtId="0" fontId="0" fillId="12" borderId="3" xfId="0" applyFill="1" applyBorder="1" applyAlignment="1">
      <alignment horizontal="center"/>
    </xf>
    <xf numFmtId="0" fontId="4" fillId="0" borderId="0" xfId="0" applyFont="1" applyBorder="1" applyAlignment="1" applyProtection="1"/>
    <xf numFmtId="0" fontId="79" fillId="0" borderId="0" xfId="2" applyFont="1" applyFill="1" applyBorder="1" applyAlignment="1" applyProtection="1"/>
    <xf numFmtId="0" fontId="106" fillId="0" borderId="0" xfId="0" applyFont="1" applyAlignment="1" applyProtection="1">
      <alignment horizontal="right"/>
    </xf>
    <xf numFmtId="0" fontId="106" fillId="0" borderId="0" xfId="0" applyFont="1" applyAlignment="1" applyProtection="1">
      <alignment horizontal="center"/>
    </xf>
    <xf numFmtId="0" fontId="24" fillId="0" borderId="0" xfId="0" applyFont="1" applyBorder="1" applyAlignment="1" applyProtection="1">
      <alignment horizontal="center" vertical="center" wrapText="1"/>
    </xf>
    <xf numFmtId="0" fontId="76" fillId="0" borderId="0" xfId="0" applyFont="1" applyBorder="1" applyAlignment="1" applyProtection="1">
      <alignment wrapText="1"/>
    </xf>
    <xf numFmtId="0" fontId="2" fillId="0" borderId="0" xfId="4" applyBorder="1" applyProtection="1"/>
    <xf numFmtId="0" fontId="0" fillId="0" borderId="17" xfId="0" applyFill="1" applyBorder="1" applyAlignment="1" applyProtection="1">
      <alignment horizontal="left"/>
    </xf>
    <xf numFmtId="0" fontId="0" fillId="0" borderId="19" xfId="0" applyFill="1" applyBorder="1" applyAlignment="1" applyProtection="1">
      <alignment horizontal="left"/>
    </xf>
    <xf numFmtId="0" fontId="108" fillId="0" borderId="22" xfId="0" applyFont="1" applyBorder="1" applyAlignment="1" applyProtection="1">
      <alignment horizontal="center" vertical="top"/>
    </xf>
    <xf numFmtId="0" fontId="0" fillId="0" borderId="19" xfId="0" applyFill="1" applyBorder="1" applyAlignment="1" applyProtection="1">
      <alignment horizontal="center"/>
    </xf>
    <xf numFmtId="0" fontId="76" fillId="0" borderId="0" xfId="0" applyFont="1" applyBorder="1" applyAlignment="1" applyProtection="1">
      <alignment horizontal="right"/>
    </xf>
    <xf numFmtId="167" fontId="8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10" fillId="0" borderId="0" xfId="0" applyFont="1" applyBorder="1" applyAlignment="1" applyProtection="1">
      <alignment horizontal="left" vertical="top"/>
    </xf>
    <xf numFmtId="0" fontId="76" fillId="0" borderId="0" xfId="0" applyFont="1" applyBorder="1" applyProtection="1"/>
    <xf numFmtId="0" fontId="34" fillId="0" borderId="0" xfId="0" applyFont="1" applyBorder="1" applyAlignment="1" applyProtection="1">
      <alignment horizontal="lef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113" fillId="12" borderId="0" xfId="0" applyFont="1" applyFill="1" applyAlignment="1" applyProtection="1">
      <alignment horizontal="left"/>
    </xf>
    <xf numFmtId="0" fontId="24" fillId="0" borderId="0" xfId="0" applyFont="1" applyBorder="1" applyAlignment="1" applyProtection="1">
      <alignment wrapText="1"/>
    </xf>
    <xf numFmtId="0" fontId="60" fillId="0" borderId="44" xfId="0" applyFont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0" fillId="13" borderId="0" xfId="0" applyFill="1" applyAlignment="1">
      <alignment horizontal="center"/>
    </xf>
    <xf numFmtId="0" fontId="0" fillId="13" borderId="0" xfId="0" applyFill="1"/>
    <xf numFmtId="0" fontId="0" fillId="13" borderId="0" xfId="0" applyFill="1" applyAlignment="1">
      <alignment horizontal="left"/>
    </xf>
    <xf numFmtId="0" fontId="74" fillId="0" borderId="0" xfId="2" applyFont="1" applyBorder="1" applyAlignment="1" applyProtection="1">
      <alignment horizontal="left"/>
      <protection locked="0"/>
    </xf>
    <xf numFmtId="0" fontId="0" fillId="0" borderId="93" xfId="0" applyFill="1" applyBorder="1" applyAlignment="1" applyProtection="1">
      <alignment horizontal="center"/>
      <protection locked="0"/>
    </xf>
    <xf numFmtId="0" fontId="90" fillId="0" borderId="0" xfId="0" applyFont="1" applyBorder="1" applyAlignment="1" applyProtection="1">
      <alignment horizontal="left"/>
    </xf>
    <xf numFmtId="0" fontId="20" fillId="8" borderId="74" xfId="0" applyFont="1" applyFill="1" applyBorder="1" applyAlignment="1" applyProtection="1">
      <alignment horizontal="left"/>
      <protection locked="0"/>
    </xf>
    <xf numFmtId="0" fontId="20" fillId="8" borderId="75" xfId="0" applyFont="1" applyFill="1" applyBorder="1" applyAlignment="1" applyProtection="1">
      <alignment horizontal="left"/>
      <protection locked="0"/>
    </xf>
    <xf numFmtId="0" fontId="82" fillId="0" borderId="0" xfId="0" applyFont="1" applyBorder="1" applyAlignment="1" applyProtection="1">
      <alignment horizontal="center" vertical="center" wrapText="1"/>
    </xf>
    <xf numFmtId="0" fontId="114" fillId="0" borderId="0" xfId="0" applyFont="1" applyBorder="1" applyAlignment="1" applyProtection="1">
      <alignment horizontal="left" wrapText="1"/>
    </xf>
    <xf numFmtId="0" fontId="103" fillId="0" borderId="0" xfId="0" applyFont="1" applyBorder="1" applyAlignment="1" applyProtection="1">
      <alignment horizontal="center" vertical="top"/>
    </xf>
    <xf numFmtId="0" fontId="103" fillId="0" borderId="95" xfId="0" applyFont="1" applyBorder="1" applyAlignment="1" applyProtection="1">
      <alignment horizontal="center" vertical="top"/>
    </xf>
    <xf numFmtId="0" fontId="8" fillId="8" borderId="76" xfId="0" applyFont="1" applyFill="1" applyBorder="1" applyAlignment="1" applyProtection="1">
      <alignment horizontal="left"/>
      <protection locked="0"/>
    </xf>
    <xf numFmtId="0" fontId="8" fillId="8" borderId="77" xfId="0" applyFont="1" applyFill="1" applyBorder="1" applyAlignment="1" applyProtection="1">
      <alignment horizontal="left"/>
      <protection locked="0"/>
    </xf>
    <xf numFmtId="0" fontId="8" fillId="8" borderId="78" xfId="0" applyFont="1" applyFill="1" applyBorder="1" applyAlignment="1" applyProtection="1">
      <alignment horizontal="left"/>
      <protection locked="0"/>
    </xf>
    <xf numFmtId="0" fontId="103" fillId="0" borderId="0" xfId="0" applyFont="1" applyBorder="1" applyAlignment="1" applyProtection="1">
      <alignment horizontal="center" vertical="center"/>
    </xf>
    <xf numFmtId="0" fontId="103" fillId="0" borderId="95" xfId="0" applyFont="1" applyBorder="1" applyAlignment="1" applyProtection="1">
      <alignment horizontal="center" vertical="center"/>
    </xf>
    <xf numFmtId="0" fontId="75" fillId="0" borderId="0" xfId="0" applyFont="1" applyBorder="1" applyAlignment="1" applyProtection="1">
      <alignment horizontal="center"/>
    </xf>
    <xf numFmtId="0" fontId="82" fillId="0" borderId="13" xfId="0" applyFont="1" applyBorder="1" applyAlignment="1" applyProtection="1">
      <alignment horizontal="center" vertical="center"/>
    </xf>
    <xf numFmtId="0" fontId="20" fillId="0" borderId="45" xfId="0" quotePrefix="1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center" vertical="center"/>
    </xf>
    <xf numFmtId="0" fontId="59" fillId="0" borderId="44" xfId="0" applyFont="1" applyBorder="1" applyAlignment="1" applyProtection="1">
      <alignment horizontal="center" wrapText="1"/>
    </xf>
    <xf numFmtId="0" fontId="59" fillId="0" borderId="0" xfId="0" applyFont="1" applyBorder="1" applyAlignment="1" applyProtection="1">
      <alignment horizontal="center"/>
    </xf>
    <xf numFmtId="0" fontId="2" fillId="12" borderId="1" xfId="0" applyFont="1" applyFill="1" applyBorder="1" applyAlignment="1" applyProtection="1">
      <alignment horizontal="center"/>
    </xf>
    <xf numFmtId="0" fontId="109" fillId="0" borderId="0" xfId="0" applyFont="1" applyBorder="1" applyAlignment="1" applyProtection="1">
      <alignment horizontal="center" wrapText="1"/>
    </xf>
    <xf numFmtId="0" fontId="109" fillId="0" borderId="84" xfId="0" applyFont="1" applyBorder="1" applyAlignment="1" applyProtection="1">
      <alignment horizontal="center" wrapText="1"/>
    </xf>
    <xf numFmtId="0" fontId="2" fillId="8" borderId="25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24" xfId="0" applyFont="1" applyFill="1" applyBorder="1" applyAlignment="1" applyProtection="1">
      <alignment horizontal="left" vertical="top" wrapText="1"/>
      <protection locked="0"/>
    </xf>
    <xf numFmtId="0" fontId="2" fillId="8" borderId="13" xfId="0" applyFont="1" applyFill="1" applyBorder="1" applyAlignment="1" applyProtection="1">
      <alignment horizontal="left" vertical="top" wrapText="1"/>
      <protection locked="0"/>
    </xf>
    <xf numFmtId="0" fontId="2" fillId="8" borderId="0" xfId="0" applyFont="1" applyFill="1" applyBorder="1" applyAlignment="1" applyProtection="1">
      <alignment horizontal="left" vertical="top" wrapText="1"/>
      <protection locked="0"/>
    </xf>
    <xf numFmtId="0" fontId="2" fillId="8" borderId="22" xfId="0" applyFont="1" applyFill="1" applyBorder="1" applyAlignment="1" applyProtection="1">
      <alignment horizontal="left" vertical="top" wrapText="1"/>
      <protection locked="0"/>
    </xf>
    <xf numFmtId="0" fontId="2" fillId="8" borderId="15" xfId="0" applyFont="1" applyFill="1" applyBorder="1" applyAlignment="1" applyProtection="1">
      <alignment horizontal="left" vertical="top" wrapText="1"/>
      <protection locked="0"/>
    </xf>
    <xf numFmtId="0" fontId="2" fillId="8" borderId="2" xfId="0" applyFont="1" applyFill="1" applyBorder="1" applyAlignment="1" applyProtection="1">
      <alignment horizontal="left" vertical="top" wrapText="1"/>
      <protection locked="0"/>
    </xf>
    <xf numFmtId="0" fontId="2" fillId="8" borderId="23" xfId="0" applyFont="1" applyFill="1" applyBorder="1" applyAlignment="1" applyProtection="1">
      <alignment horizontal="left" vertical="top" wrapText="1"/>
      <protection locked="0"/>
    </xf>
    <xf numFmtId="0" fontId="0" fillId="10" borderId="0" xfId="0" applyFill="1" applyAlignment="1" applyProtection="1">
      <alignment horizontal="center"/>
      <protection locked="0"/>
    </xf>
    <xf numFmtId="0" fontId="8" fillId="10" borderId="0" xfId="0" applyFont="1" applyFill="1" applyAlignment="1" applyProtection="1">
      <alignment horizontal="center"/>
      <protection locked="0"/>
    </xf>
    <xf numFmtId="0" fontId="65" fillId="0" borderId="2" xfId="0" applyFont="1" applyBorder="1" applyAlignment="1" applyProtection="1">
      <alignment horizontal="center"/>
    </xf>
    <xf numFmtId="0" fontId="0" fillId="5" borderId="46" xfId="0" applyFill="1" applyBorder="1" applyAlignment="1" applyProtection="1">
      <alignment horizontal="center"/>
      <protection locked="0"/>
    </xf>
    <xf numFmtId="0" fontId="0" fillId="5" borderId="56" xfId="0" applyFill="1" applyBorder="1" applyAlignment="1" applyProtection="1">
      <alignment horizontal="center"/>
      <protection locked="0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center"/>
    </xf>
    <xf numFmtId="0" fontId="60" fillId="0" borderId="13" xfId="0" applyFont="1" applyBorder="1" applyAlignment="1" applyProtection="1">
      <alignment horizontal="left" wrapText="1"/>
    </xf>
    <xf numFmtId="0" fontId="60" fillId="0" borderId="0" xfId="0" applyFont="1" applyBorder="1" applyAlignment="1" applyProtection="1">
      <alignment horizontal="left" wrapText="1"/>
    </xf>
    <xf numFmtId="0" fontId="0" fillId="0" borderId="0" xfId="0" applyAlignment="1">
      <alignment horizontal="center" vertical="top" wrapText="1"/>
    </xf>
    <xf numFmtId="0" fontId="7" fillId="0" borderId="0" xfId="0" applyFont="1" applyFill="1" applyBorder="1" applyAlignment="1" applyProtection="1">
      <alignment horizontal="center" textRotation="90"/>
    </xf>
    <xf numFmtId="0" fontId="76" fillId="0" borderId="0" xfId="0" applyFont="1" applyBorder="1" applyAlignment="1" applyProtection="1">
      <alignment horizontal="center" wrapText="1"/>
    </xf>
    <xf numFmtId="0" fontId="69" fillId="3" borderId="25" xfId="0" applyFont="1" applyFill="1" applyBorder="1" applyAlignment="1" applyProtection="1">
      <alignment horizontal="center"/>
    </xf>
    <xf numFmtId="0" fontId="70" fillId="0" borderId="1" xfId="0" applyFont="1" applyBorder="1" applyAlignment="1" applyProtection="1">
      <alignment horizontal="center"/>
    </xf>
    <xf numFmtId="0" fontId="70" fillId="0" borderId="24" xfId="0" applyFont="1" applyBorder="1" applyAlignment="1" applyProtection="1">
      <alignment horizontal="center"/>
    </xf>
    <xf numFmtId="0" fontId="70" fillId="0" borderId="13" xfId="0" applyFont="1" applyBorder="1" applyAlignment="1" applyProtection="1">
      <alignment horizontal="center"/>
    </xf>
    <xf numFmtId="0" fontId="70" fillId="0" borderId="0" xfId="0" applyFont="1" applyBorder="1" applyAlignment="1" applyProtection="1">
      <alignment horizontal="center"/>
    </xf>
    <xf numFmtId="0" fontId="70" fillId="0" borderId="22" xfId="0" applyFont="1" applyBorder="1" applyAlignment="1" applyProtection="1">
      <alignment horizontal="center"/>
    </xf>
    <xf numFmtId="0" fontId="11" fillId="12" borderId="0" xfId="0" applyFont="1" applyFill="1" applyBorder="1" applyAlignment="1">
      <alignment horizontal="center"/>
    </xf>
    <xf numFmtId="0" fontId="74" fillId="0" borderId="0" xfId="2" applyFont="1" applyFill="1" applyBorder="1" applyAlignment="1" applyProtection="1">
      <alignment horizontal="right"/>
      <protection locked="0"/>
    </xf>
    <xf numFmtId="0" fontId="7" fillId="0" borderId="19" xfId="0" applyFont="1" applyFill="1" applyBorder="1" applyAlignment="1" applyProtection="1">
      <alignment horizontal="center" textRotation="90"/>
    </xf>
    <xf numFmtId="0" fontId="74" fillId="0" borderId="81" xfId="2" applyFont="1" applyBorder="1" applyAlignment="1" applyProtection="1">
      <alignment horizontal="center"/>
      <protection locked="0"/>
    </xf>
    <xf numFmtId="0" fontId="76" fillId="0" borderId="0" xfId="0" applyFont="1" applyBorder="1" applyAlignment="1" applyProtection="1">
      <alignment horizontal="center"/>
    </xf>
    <xf numFmtId="0" fontId="35" fillId="12" borderId="0" xfId="3" applyFill="1" applyAlignment="1">
      <alignment horizontal="center"/>
    </xf>
    <xf numFmtId="0" fontId="19" fillId="12" borderId="0" xfId="0" applyFont="1" applyFill="1" applyBorder="1" applyAlignment="1" applyProtection="1">
      <alignment horizontal="center"/>
      <protection locked="0"/>
    </xf>
    <xf numFmtId="0" fontId="36" fillId="0" borderId="0" xfId="0" applyFont="1" applyBorder="1" applyAlignment="1" applyProtection="1">
      <alignment horizontal="center"/>
    </xf>
    <xf numFmtId="0" fontId="34" fillId="0" borderId="0" xfId="4" applyFont="1" applyFill="1" applyBorder="1" applyAlignment="1" applyProtection="1">
      <alignment horizontal="center"/>
    </xf>
    <xf numFmtId="0" fontId="33" fillId="0" borderId="22" xfId="0" applyFont="1" applyBorder="1" applyAlignment="1" applyProtection="1">
      <alignment horizontal="center" vertical="center" wrapText="1"/>
    </xf>
    <xf numFmtId="0" fontId="82" fillId="0" borderId="0" xfId="0" applyFont="1" applyBorder="1" applyAlignment="1" applyProtection="1">
      <alignment horizontal="center"/>
    </xf>
    <xf numFmtId="0" fontId="0" fillId="8" borderId="101" xfId="0" applyFill="1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56" xfId="0" applyBorder="1" applyAlignment="1" applyProtection="1">
      <alignment horizontal="left" vertical="top"/>
      <protection locked="0"/>
    </xf>
    <xf numFmtId="0" fontId="0" fillId="6" borderId="58" xfId="0" applyFill="1" applyBorder="1" applyAlignment="1" applyProtection="1">
      <alignment horizontal="center"/>
    </xf>
    <xf numFmtId="0" fontId="0" fillId="6" borderId="16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 wrapText="1"/>
    </xf>
    <xf numFmtId="0" fontId="82" fillId="7" borderId="0" xfId="0" applyFont="1" applyFill="1" applyAlignment="1" applyProtection="1">
      <alignment horizontal="center"/>
      <protection locked="0"/>
    </xf>
    <xf numFmtId="0" fontId="72" fillId="0" borderId="83" xfId="2" applyFont="1" applyBorder="1" applyAlignment="1" applyProtection="1">
      <alignment horizontal="center" vertical="center"/>
      <protection locked="0"/>
    </xf>
    <xf numFmtId="0" fontId="72" fillId="0" borderId="0" xfId="2" applyFont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104" fillId="9" borderId="0" xfId="0" applyFont="1" applyFill="1" applyAlignment="1" applyProtection="1">
      <alignment horizontal="center" vertical="center" wrapText="1"/>
    </xf>
    <xf numFmtId="0" fontId="104" fillId="9" borderId="85" xfId="0" applyFont="1" applyFill="1" applyBorder="1" applyAlignment="1" applyProtection="1">
      <alignment horizontal="center" vertical="center" wrapText="1"/>
    </xf>
    <xf numFmtId="0" fontId="0" fillId="6" borderId="59" xfId="0" applyFill="1" applyBorder="1" applyAlignment="1" applyProtection="1">
      <alignment horizontal="center"/>
    </xf>
    <xf numFmtId="0" fontId="0" fillId="6" borderId="40" xfId="0" applyFill="1" applyBorder="1" applyAlignment="1" applyProtection="1">
      <alignment horizontal="center"/>
    </xf>
    <xf numFmtId="0" fontId="81" fillId="6" borderId="31" xfId="0" applyFont="1" applyFill="1" applyBorder="1" applyAlignment="1" applyProtection="1">
      <alignment horizontal="center" wrapText="1"/>
    </xf>
    <xf numFmtId="0" fontId="81" fillId="6" borderId="60" xfId="0" applyFont="1" applyFill="1" applyBorder="1" applyAlignment="1" applyProtection="1">
      <alignment horizontal="center" wrapText="1"/>
    </xf>
    <xf numFmtId="0" fontId="81" fillId="6" borderId="36" xfId="0" applyFont="1" applyFill="1" applyBorder="1" applyAlignment="1" applyProtection="1">
      <alignment horizontal="center" wrapText="1"/>
    </xf>
    <xf numFmtId="0" fontId="81" fillId="6" borderId="61" xfId="0" applyFont="1" applyFill="1" applyBorder="1" applyAlignment="1" applyProtection="1">
      <alignment horizontal="center" wrapText="1"/>
    </xf>
    <xf numFmtId="0" fontId="0" fillId="6" borderId="57" xfId="0" applyFill="1" applyBorder="1" applyAlignment="1" applyProtection="1">
      <alignment horizontal="center"/>
    </xf>
    <xf numFmtId="0" fontId="0" fillId="6" borderId="32" xfId="0" applyFill="1" applyBorder="1" applyAlignment="1" applyProtection="1">
      <alignment horizontal="center"/>
    </xf>
    <xf numFmtId="0" fontId="0" fillId="8" borderId="16" xfId="0" applyFill="1" applyBorder="1" applyAlignment="1" applyProtection="1">
      <alignment horizontal="left" vertical="top"/>
      <protection locked="0"/>
    </xf>
    <xf numFmtId="0" fontId="0" fillId="8" borderId="56" xfId="0" applyFill="1" applyBorder="1" applyAlignment="1" applyProtection="1">
      <alignment horizontal="left" vertical="top"/>
      <protection locked="0"/>
    </xf>
    <xf numFmtId="0" fontId="49" fillId="0" borderId="0" xfId="5" applyFont="1" applyAlignment="1">
      <alignment horizontal="center" vertical="center"/>
    </xf>
    <xf numFmtId="0" fontId="47" fillId="0" borderId="0" xfId="5" applyFont="1" applyAlignment="1">
      <alignment horizontal="center" vertical="center"/>
    </xf>
    <xf numFmtId="0" fontId="48" fillId="0" borderId="71" xfId="5" applyFont="1" applyBorder="1" applyAlignment="1">
      <alignment horizontal="center" vertical="center" wrapText="1"/>
    </xf>
    <xf numFmtId="0" fontId="48" fillId="0" borderId="72" xfId="5" applyFont="1" applyBorder="1" applyAlignment="1">
      <alignment horizontal="center" vertical="center" wrapText="1"/>
    </xf>
    <xf numFmtId="0" fontId="48" fillId="0" borderId="73" xfId="5" applyFont="1" applyBorder="1" applyAlignment="1">
      <alignment horizontal="center" vertical="center" wrapText="1"/>
    </xf>
    <xf numFmtId="0" fontId="50" fillId="0" borderId="65" xfId="5" applyFont="1" applyBorder="1" applyAlignment="1">
      <alignment horizontal="center" vertical="center" wrapText="1"/>
    </xf>
    <xf numFmtId="0" fontId="50" fillId="0" borderId="67" xfId="5" applyFont="1" applyBorder="1" applyAlignment="1">
      <alignment horizontal="center" vertical="center" wrapText="1"/>
    </xf>
    <xf numFmtId="0" fontId="50" fillId="0" borderId="62" xfId="5" applyFont="1" applyBorder="1" applyAlignment="1">
      <alignment horizontal="center" vertical="center" wrapText="1"/>
    </xf>
    <xf numFmtId="0" fontId="50" fillId="0" borderId="63" xfId="5" applyFont="1" applyBorder="1" applyAlignment="1">
      <alignment horizontal="center" vertical="center" wrapText="1"/>
    </xf>
    <xf numFmtId="0" fontId="50" fillId="0" borderId="64" xfId="5" applyFont="1" applyBorder="1" applyAlignment="1">
      <alignment horizontal="center" vertical="center" wrapText="1"/>
    </xf>
    <xf numFmtId="0" fontId="50" fillId="0" borderId="66" xfId="5" applyFont="1" applyBorder="1" applyAlignment="1">
      <alignment horizontal="center" vertical="center" wrapText="1"/>
    </xf>
    <xf numFmtId="0" fontId="50" fillId="0" borderId="68" xfId="5" applyFont="1" applyBorder="1" applyAlignment="1">
      <alignment horizontal="center" vertical="center" wrapText="1"/>
    </xf>
    <xf numFmtId="0" fontId="50" fillId="0" borderId="69" xfId="5" applyFont="1" applyBorder="1" applyAlignment="1">
      <alignment horizontal="center" vertical="center" wrapText="1"/>
    </xf>
    <xf numFmtId="0" fontId="50" fillId="0" borderId="70" xfId="5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5" borderId="2" xfId="0" applyFont="1" applyFill="1" applyBorder="1" applyAlignment="1">
      <alignment horizontal="left"/>
    </xf>
    <xf numFmtId="0" fontId="42" fillId="0" borderId="1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5" borderId="16" xfId="0" applyFont="1" applyFill="1" applyBorder="1" applyAlignment="1">
      <alignment horizontal="center"/>
    </xf>
    <xf numFmtId="0" fontId="42" fillId="5" borderId="2" xfId="0" applyFont="1" applyFill="1" applyBorder="1" applyAlignment="1">
      <alignment horizontal="center"/>
    </xf>
    <xf numFmtId="0" fontId="42" fillId="5" borderId="2" xfId="0" applyFont="1" applyFill="1" applyBorder="1" applyAlignment="1"/>
    <xf numFmtId="0" fontId="108" fillId="0" borderId="0" xfId="0" applyFont="1" applyFill="1" applyBorder="1" applyAlignment="1" applyProtection="1">
      <alignment horizontal="center" vertical="top"/>
    </xf>
    <xf numFmtId="9" fontId="33" fillId="0" borderId="0" xfId="6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55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2" fontId="0" fillId="8" borderId="79" xfId="0" applyNumberFormat="1" applyFill="1" applyBorder="1" applyAlignment="1" applyProtection="1">
      <alignment horizontal="center"/>
      <protection locked="0"/>
    </xf>
  </cellXfs>
  <cellStyles count="7">
    <cellStyle name="Comma" xfId="1" builtinId="3"/>
    <cellStyle name="Hyperlink" xfId="2" builtinId="8"/>
    <cellStyle name="Normal" xfId="0" builtinId="0"/>
    <cellStyle name="Normal_SWRWKSHT" xfId="3" xr:uid="{00000000-0005-0000-0000-000003000000}"/>
    <cellStyle name="Normal_SWRWKSHT - 3R" xfId="4" xr:uid="{00000000-0005-0000-0000-000004000000}"/>
    <cellStyle name="Normal_USCS - SE" xfId="5" xr:uid="{00000000-0005-0000-0000-000005000000}"/>
    <cellStyle name="Percent" xfId="6" builtinId="5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strike val="0"/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418170</xdr:colOff>
      <xdr:row>22</xdr:row>
      <xdr:rowOff>65049</xdr:rowOff>
    </xdr:from>
    <xdr:to>
      <xdr:col>8</xdr:col>
      <xdr:colOff>199561</xdr:colOff>
      <xdr:row>22</xdr:row>
      <xdr:rowOff>67139</xdr:rowOff>
    </xdr:to>
    <xdr:sp macro="" textlink="">
      <xdr:nvSpPr>
        <xdr:cNvPr id="15278" name="Line 1">
          <a:extLst>
            <a:ext uri="{FF2B5EF4-FFF2-40B4-BE49-F238E27FC236}">
              <a16:creationId xmlns:a16="http://schemas.microsoft.com/office/drawing/2014/main" id="{00000000-0008-0000-0000-0000AE3B0000}"/>
            </a:ext>
          </a:extLst>
        </xdr:cNvPr>
        <xdr:cNvSpPr>
          <a:spLocks noChangeShapeType="1"/>
        </xdr:cNvSpPr>
      </xdr:nvSpPr>
      <xdr:spPr bwMode="auto">
        <a:xfrm>
          <a:off x="4153829" y="3586976"/>
          <a:ext cx="422586" cy="209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285750</xdr:colOff>
      <xdr:row>31</xdr:row>
      <xdr:rowOff>133350</xdr:rowOff>
    </xdr:from>
    <xdr:to>
      <xdr:col>9</xdr:col>
      <xdr:colOff>419100</xdr:colOff>
      <xdr:row>31</xdr:row>
      <xdr:rowOff>142875</xdr:rowOff>
    </xdr:to>
    <xdr:sp macro="" textlink="">
      <xdr:nvSpPr>
        <xdr:cNvPr id="15279" name="Line 10">
          <a:extLst>
            <a:ext uri="{FF2B5EF4-FFF2-40B4-BE49-F238E27FC236}">
              <a16:creationId xmlns:a16="http://schemas.microsoft.com/office/drawing/2014/main" id="{00000000-0008-0000-0000-0000AF3B0000}"/>
            </a:ext>
          </a:extLst>
        </xdr:cNvPr>
        <xdr:cNvSpPr>
          <a:spLocks noChangeShapeType="1"/>
        </xdr:cNvSpPr>
      </xdr:nvSpPr>
      <xdr:spPr bwMode="auto">
        <a:xfrm flipV="1">
          <a:off x="3914775" y="5200650"/>
          <a:ext cx="13716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28</xdr:row>
      <xdr:rowOff>28575</xdr:rowOff>
    </xdr:from>
    <xdr:to>
      <xdr:col>5</xdr:col>
      <xdr:colOff>0</xdr:colOff>
      <xdr:row>30</xdr:row>
      <xdr:rowOff>142875</xdr:rowOff>
    </xdr:to>
    <xdr:sp macro="" textlink="">
      <xdr:nvSpPr>
        <xdr:cNvPr id="15281" name="Left Brace 1">
          <a:extLst>
            <a:ext uri="{FF2B5EF4-FFF2-40B4-BE49-F238E27FC236}">
              <a16:creationId xmlns:a16="http://schemas.microsoft.com/office/drawing/2014/main" id="{00000000-0008-0000-0000-0000B13B0000}"/>
            </a:ext>
          </a:extLst>
        </xdr:cNvPr>
        <xdr:cNvSpPr>
          <a:spLocks/>
        </xdr:cNvSpPr>
      </xdr:nvSpPr>
      <xdr:spPr bwMode="auto">
        <a:xfrm>
          <a:off x="2114550" y="4610100"/>
          <a:ext cx="285750" cy="438150"/>
        </a:xfrm>
        <a:prstGeom prst="leftBrace">
          <a:avLst>
            <a:gd name="adj1" fmla="val 8029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314325</xdr:colOff>
      <xdr:row>31</xdr:row>
      <xdr:rowOff>9525</xdr:rowOff>
    </xdr:from>
    <xdr:to>
      <xdr:col>5</xdr:col>
      <xdr:colOff>0</xdr:colOff>
      <xdr:row>32</xdr:row>
      <xdr:rowOff>142875</xdr:rowOff>
    </xdr:to>
    <xdr:sp macro="" textlink="">
      <xdr:nvSpPr>
        <xdr:cNvPr id="15282" name="Left Brace 2">
          <a:extLst>
            <a:ext uri="{FF2B5EF4-FFF2-40B4-BE49-F238E27FC236}">
              <a16:creationId xmlns:a16="http://schemas.microsoft.com/office/drawing/2014/main" id="{00000000-0008-0000-0000-0000B23B0000}"/>
            </a:ext>
          </a:extLst>
        </xdr:cNvPr>
        <xdr:cNvSpPr>
          <a:spLocks/>
        </xdr:cNvSpPr>
      </xdr:nvSpPr>
      <xdr:spPr bwMode="auto">
        <a:xfrm>
          <a:off x="2095500" y="5076825"/>
          <a:ext cx="304800" cy="295275"/>
        </a:xfrm>
        <a:prstGeom prst="leftBrace">
          <a:avLst>
            <a:gd name="adj1" fmla="val 8333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352425</xdr:colOff>
      <xdr:row>30</xdr:row>
      <xdr:rowOff>85725</xdr:rowOff>
    </xdr:from>
    <xdr:to>
      <xdr:col>9</xdr:col>
      <xdr:colOff>419100</xdr:colOff>
      <xdr:row>31</xdr:row>
      <xdr:rowOff>142875</xdr:rowOff>
    </xdr:to>
    <xdr:cxnSp macro="">
      <xdr:nvCxnSpPr>
        <xdr:cNvPr id="15283" name="Elbow Connector 10">
          <a:extLst>
            <a:ext uri="{FF2B5EF4-FFF2-40B4-BE49-F238E27FC236}">
              <a16:creationId xmlns:a16="http://schemas.microsoft.com/office/drawing/2014/main" id="{00000000-0008-0000-0000-0000B33B0000}"/>
            </a:ext>
          </a:extLst>
        </xdr:cNvPr>
        <xdr:cNvCxnSpPr>
          <a:cxnSpLocks noChangeShapeType="1"/>
        </xdr:cNvCxnSpPr>
      </xdr:nvCxnSpPr>
      <xdr:spPr bwMode="auto">
        <a:xfrm flipV="1">
          <a:off x="4600575" y="4991100"/>
          <a:ext cx="685800" cy="21907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prstDash val="dash"/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40</xdr:row>
      <xdr:rowOff>66675</xdr:rowOff>
    </xdr:from>
    <xdr:to>
      <xdr:col>13</xdr:col>
      <xdr:colOff>381000</xdr:colOff>
      <xdr:row>40</xdr:row>
      <xdr:rowOff>66675</xdr:rowOff>
    </xdr:to>
    <xdr:sp macro="" textlink="">
      <xdr:nvSpPr>
        <xdr:cNvPr id="18577" name="Line 8">
          <a:extLst>
            <a:ext uri="{FF2B5EF4-FFF2-40B4-BE49-F238E27FC236}">
              <a16:creationId xmlns:a16="http://schemas.microsoft.com/office/drawing/2014/main" id="{00000000-0008-0000-0100-000091480000}"/>
            </a:ext>
          </a:extLst>
        </xdr:cNvPr>
        <xdr:cNvSpPr>
          <a:spLocks noChangeShapeType="1"/>
        </xdr:cNvSpPr>
      </xdr:nvSpPr>
      <xdr:spPr bwMode="auto">
        <a:xfrm flipH="1">
          <a:off x="7058025" y="66103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53</xdr:row>
      <xdr:rowOff>76200</xdr:rowOff>
    </xdr:from>
    <xdr:to>
      <xdr:col>9</xdr:col>
      <xdr:colOff>514350</xdr:colOff>
      <xdr:row>53</xdr:row>
      <xdr:rowOff>76200</xdr:rowOff>
    </xdr:to>
    <xdr:sp macro="" textlink="">
      <xdr:nvSpPr>
        <xdr:cNvPr id="18578" name="Line 46">
          <a:extLst>
            <a:ext uri="{FF2B5EF4-FFF2-40B4-BE49-F238E27FC236}">
              <a16:creationId xmlns:a16="http://schemas.microsoft.com/office/drawing/2014/main" id="{00000000-0008-0000-0100-000092480000}"/>
            </a:ext>
          </a:extLst>
        </xdr:cNvPr>
        <xdr:cNvSpPr>
          <a:spLocks noChangeShapeType="1"/>
        </xdr:cNvSpPr>
      </xdr:nvSpPr>
      <xdr:spPr bwMode="auto">
        <a:xfrm flipH="1">
          <a:off x="5019675" y="846772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485775</xdr:colOff>
      <xdr:row>59</xdr:row>
      <xdr:rowOff>66675</xdr:rowOff>
    </xdr:from>
    <xdr:to>
      <xdr:col>10</xdr:col>
      <xdr:colOff>38100</xdr:colOff>
      <xdr:row>60</xdr:row>
      <xdr:rowOff>9525</xdr:rowOff>
    </xdr:to>
    <xdr:sp macro="" textlink="">
      <xdr:nvSpPr>
        <xdr:cNvPr id="18579" name="Arc 51">
          <a:extLst>
            <a:ext uri="{FF2B5EF4-FFF2-40B4-BE49-F238E27FC236}">
              <a16:creationId xmlns:a16="http://schemas.microsoft.com/office/drawing/2014/main" id="{00000000-0008-0000-0100-000093480000}"/>
            </a:ext>
          </a:extLst>
        </xdr:cNvPr>
        <xdr:cNvSpPr>
          <a:spLocks/>
        </xdr:cNvSpPr>
      </xdr:nvSpPr>
      <xdr:spPr bwMode="auto">
        <a:xfrm>
          <a:off x="4886325" y="9315450"/>
          <a:ext cx="581025" cy="85725"/>
        </a:xfrm>
        <a:custGeom>
          <a:avLst/>
          <a:gdLst>
            <a:gd name="T0" fmla="*/ 0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60</xdr:row>
      <xdr:rowOff>9525</xdr:rowOff>
    </xdr:from>
    <xdr:to>
      <xdr:col>10</xdr:col>
      <xdr:colOff>219075</xdr:colOff>
      <xdr:row>60</xdr:row>
      <xdr:rowOff>123825</xdr:rowOff>
    </xdr:to>
    <xdr:sp macro="" textlink="">
      <xdr:nvSpPr>
        <xdr:cNvPr id="18580" name="Line 52">
          <a:extLst>
            <a:ext uri="{FF2B5EF4-FFF2-40B4-BE49-F238E27FC236}">
              <a16:creationId xmlns:a16="http://schemas.microsoft.com/office/drawing/2014/main" id="{00000000-0008-0000-0100-000094480000}"/>
            </a:ext>
          </a:extLst>
        </xdr:cNvPr>
        <xdr:cNvSpPr>
          <a:spLocks noChangeShapeType="1"/>
        </xdr:cNvSpPr>
      </xdr:nvSpPr>
      <xdr:spPr bwMode="auto">
        <a:xfrm>
          <a:off x="5476875" y="9401175"/>
          <a:ext cx="1714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53</xdr:row>
      <xdr:rowOff>66675</xdr:rowOff>
    </xdr:from>
    <xdr:to>
      <xdr:col>10</xdr:col>
      <xdr:colOff>0</xdr:colOff>
      <xdr:row>55</xdr:row>
      <xdr:rowOff>47625</xdr:rowOff>
    </xdr:to>
    <xdr:sp macro="" textlink="">
      <xdr:nvSpPr>
        <xdr:cNvPr id="18581" name="Line 243">
          <a:extLst>
            <a:ext uri="{FF2B5EF4-FFF2-40B4-BE49-F238E27FC236}">
              <a16:creationId xmlns:a16="http://schemas.microsoft.com/office/drawing/2014/main" id="{00000000-0008-0000-0100-000095480000}"/>
            </a:ext>
          </a:extLst>
        </xdr:cNvPr>
        <xdr:cNvSpPr>
          <a:spLocks noChangeShapeType="1"/>
        </xdr:cNvSpPr>
      </xdr:nvSpPr>
      <xdr:spPr bwMode="auto">
        <a:xfrm flipH="1">
          <a:off x="5019675" y="8458200"/>
          <a:ext cx="409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40</xdr:row>
      <xdr:rowOff>66675</xdr:rowOff>
    </xdr:from>
    <xdr:to>
      <xdr:col>13</xdr:col>
      <xdr:colOff>381000</xdr:colOff>
      <xdr:row>40</xdr:row>
      <xdr:rowOff>66675</xdr:rowOff>
    </xdr:to>
    <xdr:sp macro="" textlink="">
      <xdr:nvSpPr>
        <xdr:cNvPr id="18582" name="Line 22">
          <a:extLst>
            <a:ext uri="{FF2B5EF4-FFF2-40B4-BE49-F238E27FC236}">
              <a16:creationId xmlns:a16="http://schemas.microsoft.com/office/drawing/2014/main" id="{00000000-0008-0000-0100-000096480000}"/>
            </a:ext>
          </a:extLst>
        </xdr:cNvPr>
        <xdr:cNvSpPr>
          <a:spLocks noChangeShapeType="1"/>
        </xdr:cNvSpPr>
      </xdr:nvSpPr>
      <xdr:spPr bwMode="auto">
        <a:xfrm flipH="1">
          <a:off x="7058025" y="66103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75</xdr:row>
      <xdr:rowOff>0</xdr:rowOff>
    </xdr:from>
    <xdr:to>
      <xdr:col>3</xdr:col>
      <xdr:colOff>304800</xdr:colOff>
      <xdr:row>84</xdr:row>
      <xdr:rowOff>0</xdr:rowOff>
    </xdr:to>
    <xdr:sp macro="" textlink="">
      <xdr:nvSpPr>
        <xdr:cNvPr id="20321" name="Line 1">
          <a:extLst>
            <a:ext uri="{FF2B5EF4-FFF2-40B4-BE49-F238E27FC236}">
              <a16:creationId xmlns:a16="http://schemas.microsoft.com/office/drawing/2014/main" id="{00000000-0008-0000-0300-0000614F0000}"/>
            </a:ext>
          </a:extLst>
        </xdr:cNvPr>
        <xdr:cNvSpPr>
          <a:spLocks noChangeShapeType="1"/>
        </xdr:cNvSpPr>
      </xdr:nvSpPr>
      <xdr:spPr bwMode="auto">
        <a:xfrm flipH="1" flipV="1">
          <a:off x="2133600" y="11420475"/>
          <a:ext cx="0" cy="1285875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43</xdr:row>
      <xdr:rowOff>9525</xdr:rowOff>
    </xdr:from>
    <xdr:to>
      <xdr:col>3</xdr:col>
      <xdr:colOff>304800</xdr:colOff>
      <xdr:row>59</xdr:row>
      <xdr:rowOff>9525</xdr:rowOff>
    </xdr:to>
    <xdr:sp macro="" textlink="">
      <xdr:nvSpPr>
        <xdr:cNvPr id="20322" name="Line 2">
          <a:extLst>
            <a:ext uri="{FF2B5EF4-FFF2-40B4-BE49-F238E27FC236}">
              <a16:creationId xmlns:a16="http://schemas.microsoft.com/office/drawing/2014/main" id="{00000000-0008-0000-0300-0000624F0000}"/>
            </a:ext>
          </a:extLst>
        </xdr:cNvPr>
        <xdr:cNvSpPr>
          <a:spLocks noChangeShapeType="1"/>
        </xdr:cNvSpPr>
      </xdr:nvSpPr>
      <xdr:spPr bwMode="auto">
        <a:xfrm>
          <a:off x="2133600" y="6858000"/>
          <a:ext cx="0" cy="22860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43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0323" name="Line 3">
          <a:extLst>
            <a:ext uri="{FF2B5EF4-FFF2-40B4-BE49-F238E27FC236}">
              <a16:creationId xmlns:a16="http://schemas.microsoft.com/office/drawing/2014/main" id="{00000000-0008-0000-0300-0000634F0000}"/>
            </a:ext>
          </a:extLst>
        </xdr:cNvPr>
        <xdr:cNvSpPr>
          <a:spLocks noChangeShapeType="1"/>
        </xdr:cNvSpPr>
      </xdr:nvSpPr>
      <xdr:spPr bwMode="auto">
        <a:xfrm flipH="1" flipV="1">
          <a:off x="2133600" y="6848475"/>
          <a:ext cx="0" cy="22860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75</xdr:row>
      <xdr:rowOff>9525</xdr:rowOff>
    </xdr:from>
    <xdr:to>
      <xdr:col>3</xdr:col>
      <xdr:colOff>304800</xdr:colOff>
      <xdr:row>84</xdr:row>
      <xdr:rowOff>0</xdr:rowOff>
    </xdr:to>
    <xdr:sp macro="" textlink="">
      <xdr:nvSpPr>
        <xdr:cNvPr id="20324" name="Line 4">
          <a:extLst>
            <a:ext uri="{FF2B5EF4-FFF2-40B4-BE49-F238E27FC236}">
              <a16:creationId xmlns:a16="http://schemas.microsoft.com/office/drawing/2014/main" id="{00000000-0008-0000-0300-0000644F0000}"/>
            </a:ext>
          </a:extLst>
        </xdr:cNvPr>
        <xdr:cNvSpPr>
          <a:spLocks noChangeShapeType="1"/>
        </xdr:cNvSpPr>
      </xdr:nvSpPr>
      <xdr:spPr bwMode="auto">
        <a:xfrm>
          <a:off x="2133600" y="11430000"/>
          <a:ext cx="0" cy="127635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131</xdr:row>
      <xdr:rowOff>0</xdr:rowOff>
    </xdr:from>
    <xdr:to>
      <xdr:col>6</xdr:col>
      <xdr:colOff>266700</xdr:colOff>
      <xdr:row>131</xdr:row>
      <xdr:rowOff>0</xdr:rowOff>
    </xdr:to>
    <xdr:sp macro="" textlink="">
      <xdr:nvSpPr>
        <xdr:cNvPr id="20325" name="Line 23">
          <a:extLst>
            <a:ext uri="{FF2B5EF4-FFF2-40B4-BE49-F238E27FC236}">
              <a16:creationId xmlns:a16="http://schemas.microsoft.com/office/drawing/2014/main" id="{00000000-0008-0000-0300-0000654F0000}"/>
            </a:ext>
          </a:extLst>
        </xdr:cNvPr>
        <xdr:cNvSpPr>
          <a:spLocks noChangeShapeType="1"/>
        </xdr:cNvSpPr>
      </xdr:nvSpPr>
      <xdr:spPr bwMode="auto">
        <a:xfrm flipV="1">
          <a:off x="3924300" y="1956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131</xdr:row>
      <xdr:rowOff>0</xdr:rowOff>
    </xdr:from>
    <xdr:to>
      <xdr:col>8</xdr:col>
      <xdr:colOff>304800</xdr:colOff>
      <xdr:row>131</xdr:row>
      <xdr:rowOff>0</xdr:rowOff>
    </xdr:to>
    <xdr:sp macro="" textlink="">
      <xdr:nvSpPr>
        <xdr:cNvPr id="20326" name="Line 24">
          <a:extLst>
            <a:ext uri="{FF2B5EF4-FFF2-40B4-BE49-F238E27FC236}">
              <a16:creationId xmlns:a16="http://schemas.microsoft.com/office/drawing/2014/main" id="{00000000-0008-0000-0300-0000664F0000}"/>
            </a:ext>
          </a:extLst>
        </xdr:cNvPr>
        <xdr:cNvSpPr>
          <a:spLocks noChangeShapeType="1"/>
        </xdr:cNvSpPr>
      </xdr:nvSpPr>
      <xdr:spPr bwMode="auto">
        <a:xfrm flipV="1">
          <a:off x="5181600" y="1956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131</xdr:row>
      <xdr:rowOff>0</xdr:rowOff>
    </xdr:from>
    <xdr:to>
      <xdr:col>10</xdr:col>
      <xdr:colOff>304800</xdr:colOff>
      <xdr:row>131</xdr:row>
      <xdr:rowOff>0</xdr:rowOff>
    </xdr:to>
    <xdr:sp macro="" textlink="">
      <xdr:nvSpPr>
        <xdr:cNvPr id="20327" name="Line 25">
          <a:extLst>
            <a:ext uri="{FF2B5EF4-FFF2-40B4-BE49-F238E27FC236}">
              <a16:creationId xmlns:a16="http://schemas.microsoft.com/office/drawing/2014/main" id="{00000000-0008-0000-0300-0000674F0000}"/>
            </a:ext>
          </a:extLst>
        </xdr:cNvPr>
        <xdr:cNvSpPr>
          <a:spLocks noChangeShapeType="1"/>
        </xdr:cNvSpPr>
      </xdr:nvSpPr>
      <xdr:spPr bwMode="auto">
        <a:xfrm flipV="1">
          <a:off x="6400800" y="1956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131</xdr:row>
      <xdr:rowOff>0</xdr:rowOff>
    </xdr:from>
    <xdr:to>
      <xdr:col>10</xdr:col>
      <xdr:colOff>304800</xdr:colOff>
      <xdr:row>131</xdr:row>
      <xdr:rowOff>0</xdr:rowOff>
    </xdr:to>
    <xdr:sp macro="" textlink="">
      <xdr:nvSpPr>
        <xdr:cNvPr id="20328" name="Line 26">
          <a:extLst>
            <a:ext uri="{FF2B5EF4-FFF2-40B4-BE49-F238E27FC236}">
              <a16:creationId xmlns:a16="http://schemas.microsoft.com/office/drawing/2014/main" id="{00000000-0008-0000-0300-0000684F0000}"/>
            </a:ext>
          </a:extLst>
        </xdr:cNvPr>
        <xdr:cNvSpPr>
          <a:spLocks noChangeShapeType="1"/>
        </xdr:cNvSpPr>
      </xdr:nvSpPr>
      <xdr:spPr bwMode="auto">
        <a:xfrm>
          <a:off x="6400800" y="1956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131</xdr:row>
      <xdr:rowOff>0</xdr:rowOff>
    </xdr:from>
    <xdr:to>
      <xdr:col>10</xdr:col>
      <xdr:colOff>304800</xdr:colOff>
      <xdr:row>131</xdr:row>
      <xdr:rowOff>0</xdr:rowOff>
    </xdr:to>
    <xdr:sp macro="" textlink="">
      <xdr:nvSpPr>
        <xdr:cNvPr id="20329" name="Line 27">
          <a:extLst>
            <a:ext uri="{FF2B5EF4-FFF2-40B4-BE49-F238E27FC236}">
              <a16:creationId xmlns:a16="http://schemas.microsoft.com/office/drawing/2014/main" id="{00000000-0008-0000-0300-0000694F0000}"/>
            </a:ext>
          </a:extLst>
        </xdr:cNvPr>
        <xdr:cNvSpPr>
          <a:spLocks noChangeShapeType="1"/>
        </xdr:cNvSpPr>
      </xdr:nvSpPr>
      <xdr:spPr bwMode="auto">
        <a:xfrm flipV="1">
          <a:off x="6400800" y="1956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131</xdr:row>
      <xdr:rowOff>0</xdr:rowOff>
    </xdr:from>
    <xdr:to>
      <xdr:col>8</xdr:col>
      <xdr:colOff>304800</xdr:colOff>
      <xdr:row>131</xdr:row>
      <xdr:rowOff>0</xdr:rowOff>
    </xdr:to>
    <xdr:sp macro="" textlink="">
      <xdr:nvSpPr>
        <xdr:cNvPr id="20330" name="Line 28">
          <a:extLst>
            <a:ext uri="{FF2B5EF4-FFF2-40B4-BE49-F238E27FC236}">
              <a16:creationId xmlns:a16="http://schemas.microsoft.com/office/drawing/2014/main" id="{00000000-0008-0000-0300-00006A4F0000}"/>
            </a:ext>
          </a:extLst>
        </xdr:cNvPr>
        <xdr:cNvSpPr>
          <a:spLocks noChangeShapeType="1"/>
        </xdr:cNvSpPr>
      </xdr:nvSpPr>
      <xdr:spPr bwMode="auto">
        <a:xfrm>
          <a:off x="5181600" y="1956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131</xdr:row>
      <xdr:rowOff>0</xdr:rowOff>
    </xdr:from>
    <xdr:to>
      <xdr:col>8</xdr:col>
      <xdr:colOff>304800</xdr:colOff>
      <xdr:row>131</xdr:row>
      <xdr:rowOff>0</xdr:rowOff>
    </xdr:to>
    <xdr:sp macro="" textlink="">
      <xdr:nvSpPr>
        <xdr:cNvPr id="20331" name="Line 29">
          <a:extLst>
            <a:ext uri="{FF2B5EF4-FFF2-40B4-BE49-F238E27FC236}">
              <a16:creationId xmlns:a16="http://schemas.microsoft.com/office/drawing/2014/main" id="{00000000-0008-0000-0300-00006B4F0000}"/>
            </a:ext>
          </a:extLst>
        </xdr:cNvPr>
        <xdr:cNvSpPr>
          <a:spLocks noChangeShapeType="1"/>
        </xdr:cNvSpPr>
      </xdr:nvSpPr>
      <xdr:spPr bwMode="auto">
        <a:xfrm flipV="1">
          <a:off x="5181600" y="1956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131</xdr:row>
      <xdr:rowOff>0</xdr:rowOff>
    </xdr:from>
    <xdr:to>
      <xdr:col>6</xdr:col>
      <xdr:colOff>304800</xdr:colOff>
      <xdr:row>131</xdr:row>
      <xdr:rowOff>0</xdr:rowOff>
    </xdr:to>
    <xdr:sp macro="" textlink="">
      <xdr:nvSpPr>
        <xdr:cNvPr id="20332" name="Line 30">
          <a:extLst>
            <a:ext uri="{FF2B5EF4-FFF2-40B4-BE49-F238E27FC236}">
              <a16:creationId xmlns:a16="http://schemas.microsoft.com/office/drawing/2014/main" id="{00000000-0008-0000-0300-00006C4F0000}"/>
            </a:ext>
          </a:extLst>
        </xdr:cNvPr>
        <xdr:cNvSpPr>
          <a:spLocks noChangeShapeType="1"/>
        </xdr:cNvSpPr>
      </xdr:nvSpPr>
      <xdr:spPr bwMode="auto">
        <a:xfrm>
          <a:off x="3962400" y="1956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131</xdr:row>
      <xdr:rowOff>0</xdr:rowOff>
    </xdr:from>
    <xdr:to>
      <xdr:col>6</xdr:col>
      <xdr:colOff>304800</xdr:colOff>
      <xdr:row>131</xdr:row>
      <xdr:rowOff>0</xdr:rowOff>
    </xdr:to>
    <xdr:sp macro="" textlink="">
      <xdr:nvSpPr>
        <xdr:cNvPr id="20333" name="Line 31">
          <a:extLst>
            <a:ext uri="{FF2B5EF4-FFF2-40B4-BE49-F238E27FC236}">
              <a16:creationId xmlns:a16="http://schemas.microsoft.com/office/drawing/2014/main" id="{00000000-0008-0000-0300-00006D4F0000}"/>
            </a:ext>
          </a:extLst>
        </xdr:cNvPr>
        <xdr:cNvSpPr>
          <a:spLocks noChangeShapeType="1"/>
        </xdr:cNvSpPr>
      </xdr:nvSpPr>
      <xdr:spPr bwMode="auto">
        <a:xfrm flipV="1">
          <a:off x="3962400" y="1956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135</xdr:row>
      <xdr:rowOff>0</xdr:rowOff>
    </xdr:from>
    <xdr:to>
      <xdr:col>6</xdr:col>
      <xdr:colOff>266700</xdr:colOff>
      <xdr:row>135</xdr:row>
      <xdr:rowOff>0</xdr:rowOff>
    </xdr:to>
    <xdr:sp macro="" textlink="">
      <xdr:nvSpPr>
        <xdr:cNvPr id="20334" name="Line 35">
          <a:extLst>
            <a:ext uri="{FF2B5EF4-FFF2-40B4-BE49-F238E27FC236}">
              <a16:creationId xmlns:a16="http://schemas.microsoft.com/office/drawing/2014/main" id="{00000000-0008-0000-0300-00006E4F0000}"/>
            </a:ext>
          </a:extLst>
        </xdr:cNvPr>
        <xdr:cNvSpPr>
          <a:spLocks noChangeShapeType="1"/>
        </xdr:cNvSpPr>
      </xdr:nvSpPr>
      <xdr:spPr bwMode="auto">
        <a:xfrm flipV="1">
          <a:off x="3924300" y="2013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135</xdr:row>
      <xdr:rowOff>0</xdr:rowOff>
    </xdr:from>
    <xdr:to>
      <xdr:col>8</xdr:col>
      <xdr:colOff>304800</xdr:colOff>
      <xdr:row>135</xdr:row>
      <xdr:rowOff>0</xdr:rowOff>
    </xdr:to>
    <xdr:sp macro="" textlink="">
      <xdr:nvSpPr>
        <xdr:cNvPr id="20335" name="Line 36">
          <a:extLst>
            <a:ext uri="{FF2B5EF4-FFF2-40B4-BE49-F238E27FC236}">
              <a16:creationId xmlns:a16="http://schemas.microsoft.com/office/drawing/2014/main" id="{00000000-0008-0000-0300-00006F4F0000}"/>
            </a:ext>
          </a:extLst>
        </xdr:cNvPr>
        <xdr:cNvSpPr>
          <a:spLocks noChangeShapeType="1"/>
        </xdr:cNvSpPr>
      </xdr:nvSpPr>
      <xdr:spPr bwMode="auto">
        <a:xfrm flipV="1">
          <a:off x="5181600" y="2013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135</xdr:row>
      <xdr:rowOff>0</xdr:rowOff>
    </xdr:from>
    <xdr:to>
      <xdr:col>10</xdr:col>
      <xdr:colOff>304800</xdr:colOff>
      <xdr:row>135</xdr:row>
      <xdr:rowOff>0</xdr:rowOff>
    </xdr:to>
    <xdr:sp macro="" textlink="">
      <xdr:nvSpPr>
        <xdr:cNvPr id="20336" name="Line 37">
          <a:extLst>
            <a:ext uri="{FF2B5EF4-FFF2-40B4-BE49-F238E27FC236}">
              <a16:creationId xmlns:a16="http://schemas.microsoft.com/office/drawing/2014/main" id="{00000000-0008-0000-0300-0000704F0000}"/>
            </a:ext>
          </a:extLst>
        </xdr:cNvPr>
        <xdr:cNvSpPr>
          <a:spLocks noChangeShapeType="1"/>
        </xdr:cNvSpPr>
      </xdr:nvSpPr>
      <xdr:spPr bwMode="auto">
        <a:xfrm flipV="1">
          <a:off x="6400800" y="2013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135</xdr:row>
      <xdr:rowOff>0</xdr:rowOff>
    </xdr:from>
    <xdr:to>
      <xdr:col>10</xdr:col>
      <xdr:colOff>304800</xdr:colOff>
      <xdr:row>135</xdr:row>
      <xdr:rowOff>0</xdr:rowOff>
    </xdr:to>
    <xdr:sp macro="" textlink="">
      <xdr:nvSpPr>
        <xdr:cNvPr id="20337" name="Line 38">
          <a:extLst>
            <a:ext uri="{FF2B5EF4-FFF2-40B4-BE49-F238E27FC236}">
              <a16:creationId xmlns:a16="http://schemas.microsoft.com/office/drawing/2014/main" id="{00000000-0008-0000-0300-0000714F0000}"/>
            </a:ext>
          </a:extLst>
        </xdr:cNvPr>
        <xdr:cNvSpPr>
          <a:spLocks noChangeShapeType="1"/>
        </xdr:cNvSpPr>
      </xdr:nvSpPr>
      <xdr:spPr bwMode="auto">
        <a:xfrm>
          <a:off x="6400800" y="2013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135</xdr:row>
      <xdr:rowOff>0</xdr:rowOff>
    </xdr:from>
    <xdr:to>
      <xdr:col>10</xdr:col>
      <xdr:colOff>304800</xdr:colOff>
      <xdr:row>135</xdr:row>
      <xdr:rowOff>0</xdr:rowOff>
    </xdr:to>
    <xdr:sp macro="" textlink="">
      <xdr:nvSpPr>
        <xdr:cNvPr id="20338" name="Line 39">
          <a:extLst>
            <a:ext uri="{FF2B5EF4-FFF2-40B4-BE49-F238E27FC236}">
              <a16:creationId xmlns:a16="http://schemas.microsoft.com/office/drawing/2014/main" id="{00000000-0008-0000-0300-0000724F0000}"/>
            </a:ext>
          </a:extLst>
        </xdr:cNvPr>
        <xdr:cNvSpPr>
          <a:spLocks noChangeShapeType="1"/>
        </xdr:cNvSpPr>
      </xdr:nvSpPr>
      <xdr:spPr bwMode="auto">
        <a:xfrm flipV="1">
          <a:off x="6400800" y="2013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135</xdr:row>
      <xdr:rowOff>0</xdr:rowOff>
    </xdr:from>
    <xdr:to>
      <xdr:col>8</xdr:col>
      <xdr:colOff>304800</xdr:colOff>
      <xdr:row>135</xdr:row>
      <xdr:rowOff>0</xdr:rowOff>
    </xdr:to>
    <xdr:sp macro="" textlink="">
      <xdr:nvSpPr>
        <xdr:cNvPr id="20339" name="Line 40">
          <a:extLst>
            <a:ext uri="{FF2B5EF4-FFF2-40B4-BE49-F238E27FC236}">
              <a16:creationId xmlns:a16="http://schemas.microsoft.com/office/drawing/2014/main" id="{00000000-0008-0000-0300-0000734F0000}"/>
            </a:ext>
          </a:extLst>
        </xdr:cNvPr>
        <xdr:cNvSpPr>
          <a:spLocks noChangeShapeType="1"/>
        </xdr:cNvSpPr>
      </xdr:nvSpPr>
      <xdr:spPr bwMode="auto">
        <a:xfrm>
          <a:off x="5181600" y="2013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135</xdr:row>
      <xdr:rowOff>0</xdr:rowOff>
    </xdr:from>
    <xdr:to>
      <xdr:col>8</xdr:col>
      <xdr:colOff>304800</xdr:colOff>
      <xdr:row>135</xdr:row>
      <xdr:rowOff>0</xdr:rowOff>
    </xdr:to>
    <xdr:sp macro="" textlink="">
      <xdr:nvSpPr>
        <xdr:cNvPr id="20340" name="Line 41">
          <a:extLst>
            <a:ext uri="{FF2B5EF4-FFF2-40B4-BE49-F238E27FC236}">
              <a16:creationId xmlns:a16="http://schemas.microsoft.com/office/drawing/2014/main" id="{00000000-0008-0000-0300-0000744F0000}"/>
            </a:ext>
          </a:extLst>
        </xdr:cNvPr>
        <xdr:cNvSpPr>
          <a:spLocks noChangeShapeType="1"/>
        </xdr:cNvSpPr>
      </xdr:nvSpPr>
      <xdr:spPr bwMode="auto">
        <a:xfrm flipV="1">
          <a:off x="5181600" y="2013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135</xdr:row>
      <xdr:rowOff>0</xdr:rowOff>
    </xdr:from>
    <xdr:to>
      <xdr:col>6</xdr:col>
      <xdr:colOff>304800</xdr:colOff>
      <xdr:row>135</xdr:row>
      <xdr:rowOff>0</xdr:rowOff>
    </xdr:to>
    <xdr:sp macro="" textlink="">
      <xdr:nvSpPr>
        <xdr:cNvPr id="20341" name="Line 42">
          <a:extLst>
            <a:ext uri="{FF2B5EF4-FFF2-40B4-BE49-F238E27FC236}">
              <a16:creationId xmlns:a16="http://schemas.microsoft.com/office/drawing/2014/main" id="{00000000-0008-0000-0300-0000754F0000}"/>
            </a:ext>
          </a:extLst>
        </xdr:cNvPr>
        <xdr:cNvSpPr>
          <a:spLocks noChangeShapeType="1"/>
        </xdr:cNvSpPr>
      </xdr:nvSpPr>
      <xdr:spPr bwMode="auto">
        <a:xfrm>
          <a:off x="3962400" y="2013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135</xdr:row>
      <xdr:rowOff>0</xdr:rowOff>
    </xdr:from>
    <xdr:to>
      <xdr:col>6</xdr:col>
      <xdr:colOff>304800</xdr:colOff>
      <xdr:row>135</xdr:row>
      <xdr:rowOff>0</xdr:rowOff>
    </xdr:to>
    <xdr:sp macro="" textlink="">
      <xdr:nvSpPr>
        <xdr:cNvPr id="20342" name="Line 43">
          <a:extLst>
            <a:ext uri="{FF2B5EF4-FFF2-40B4-BE49-F238E27FC236}">
              <a16:creationId xmlns:a16="http://schemas.microsoft.com/office/drawing/2014/main" id="{00000000-0008-0000-0300-0000764F0000}"/>
            </a:ext>
          </a:extLst>
        </xdr:cNvPr>
        <xdr:cNvSpPr>
          <a:spLocks noChangeShapeType="1"/>
        </xdr:cNvSpPr>
      </xdr:nvSpPr>
      <xdr:spPr bwMode="auto">
        <a:xfrm flipV="1">
          <a:off x="3962400" y="2013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141</xdr:row>
      <xdr:rowOff>0</xdr:rowOff>
    </xdr:from>
    <xdr:to>
      <xdr:col>6</xdr:col>
      <xdr:colOff>266700</xdr:colOff>
      <xdr:row>141</xdr:row>
      <xdr:rowOff>0</xdr:rowOff>
    </xdr:to>
    <xdr:sp macro="" textlink="">
      <xdr:nvSpPr>
        <xdr:cNvPr id="20343" name="Line 45">
          <a:extLst>
            <a:ext uri="{FF2B5EF4-FFF2-40B4-BE49-F238E27FC236}">
              <a16:creationId xmlns:a16="http://schemas.microsoft.com/office/drawing/2014/main" id="{00000000-0008-0000-0300-0000774F0000}"/>
            </a:ext>
          </a:extLst>
        </xdr:cNvPr>
        <xdr:cNvSpPr>
          <a:spLocks noChangeShapeType="1"/>
        </xdr:cNvSpPr>
      </xdr:nvSpPr>
      <xdr:spPr bwMode="auto">
        <a:xfrm flipV="1">
          <a:off x="39243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141</xdr:row>
      <xdr:rowOff>0</xdr:rowOff>
    </xdr:from>
    <xdr:to>
      <xdr:col>8</xdr:col>
      <xdr:colOff>304800</xdr:colOff>
      <xdr:row>141</xdr:row>
      <xdr:rowOff>0</xdr:rowOff>
    </xdr:to>
    <xdr:sp macro="" textlink="">
      <xdr:nvSpPr>
        <xdr:cNvPr id="20344" name="Line 46">
          <a:extLst>
            <a:ext uri="{FF2B5EF4-FFF2-40B4-BE49-F238E27FC236}">
              <a16:creationId xmlns:a16="http://schemas.microsoft.com/office/drawing/2014/main" id="{00000000-0008-0000-0300-0000784F0000}"/>
            </a:ext>
          </a:extLst>
        </xdr:cNvPr>
        <xdr:cNvSpPr>
          <a:spLocks noChangeShapeType="1"/>
        </xdr:cNvSpPr>
      </xdr:nvSpPr>
      <xdr:spPr bwMode="auto">
        <a:xfrm flipV="1">
          <a:off x="51816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141</xdr:row>
      <xdr:rowOff>0</xdr:rowOff>
    </xdr:from>
    <xdr:to>
      <xdr:col>10</xdr:col>
      <xdr:colOff>304800</xdr:colOff>
      <xdr:row>141</xdr:row>
      <xdr:rowOff>0</xdr:rowOff>
    </xdr:to>
    <xdr:sp macro="" textlink="">
      <xdr:nvSpPr>
        <xdr:cNvPr id="20345" name="Line 47">
          <a:extLst>
            <a:ext uri="{FF2B5EF4-FFF2-40B4-BE49-F238E27FC236}">
              <a16:creationId xmlns:a16="http://schemas.microsoft.com/office/drawing/2014/main" id="{00000000-0008-0000-0300-0000794F0000}"/>
            </a:ext>
          </a:extLst>
        </xdr:cNvPr>
        <xdr:cNvSpPr>
          <a:spLocks noChangeShapeType="1"/>
        </xdr:cNvSpPr>
      </xdr:nvSpPr>
      <xdr:spPr bwMode="auto">
        <a:xfrm flipV="1">
          <a:off x="64008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141</xdr:row>
      <xdr:rowOff>0</xdr:rowOff>
    </xdr:from>
    <xdr:to>
      <xdr:col>10</xdr:col>
      <xdr:colOff>304800</xdr:colOff>
      <xdr:row>141</xdr:row>
      <xdr:rowOff>0</xdr:rowOff>
    </xdr:to>
    <xdr:sp macro="" textlink="">
      <xdr:nvSpPr>
        <xdr:cNvPr id="20346" name="Line 48">
          <a:extLst>
            <a:ext uri="{FF2B5EF4-FFF2-40B4-BE49-F238E27FC236}">
              <a16:creationId xmlns:a16="http://schemas.microsoft.com/office/drawing/2014/main" id="{00000000-0008-0000-0300-00007A4F0000}"/>
            </a:ext>
          </a:extLst>
        </xdr:cNvPr>
        <xdr:cNvSpPr>
          <a:spLocks noChangeShapeType="1"/>
        </xdr:cNvSpPr>
      </xdr:nvSpPr>
      <xdr:spPr bwMode="auto">
        <a:xfrm>
          <a:off x="64008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141</xdr:row>
      <xdr:rowOff>0</xdr:rowOff>
    </xdr:from>
    <xdr:to>
      <xdr:col>10</xdr:col>
      <xdr:colOff>304800</xdr:colOff>
      <xdr:row>141</xdr:row>
      <xdr:rowOff>0</xdr:rowOff>
    </xdr:to>
    <xdr:sp macro="" textlink="">
      <xdr:nvSpPr>
        <xdr:cNvPr id="20347" name="Line 49">
          <a:extLst>
            <a:ext uri="{FF2B5EF4-FFF2-40B4-BE49-F238E27FC236}">
              <a16:creationId xmlns:a16="http://schemas.microsoft.com/office/drawing/2014/main" id="{00000000-0008-0000-0300-00007B4F0000}"/>
            </a:ext>
          </a:extLst>
        </xdr:cNvPr>
        <xdr:cNvSpPr>
          <a:spLocks noChangeShapeType="1"/>
        </xdr:cNvSpPr>
      </xdr:nvSpPr>
      <xdr:spPr bwMode="auto">
        <a:xfrm flipV="1">
          <a:off x="64008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141</xdr:row>
      <xdr:rowOff>0</xdr:rowOff>
    </xdr:from>
    <xdr:to>
      <xdr:col>8</xdr:col>
      <xdr:colOff>304800</xdr:colOff>
      <xdr:row>141</xdr:row>
      <xdr:rowOff>0</xdr:rowOff>
    </xdr:to>
    <xdr:sp macro="" textlink="">
      <xdr:nvSpPr>
        <xdr:cNvPr id="20348" name="Line 50">
          <a:extLst>
            <a:ext uri="{FF2B5EF4-FFF2-40B4-BE49-F238E27FC236}">
              <a16:creationId xmlns:a16="http://schemas.microsoft.com/office/drawing/2014/main" id="{00000000-0008-0000-0300-00007C4F0000}"/>
            </a:ext>
          </a:extLst>
        </xdr:cNvPr>
        <xdr:cNvSpPr>
          <a:spLocks noChangeShapeType="1"/>
        </xdr:cNvSpPr>
      </xdr:nvSpPr>
      <xdr:spPr bwMode="auto">
        <a:xfrm>
          <a:off x="51816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141</xdr:row>
      <xdr:rowOff>0</xdr:rowOff>
    </xdr:from>
    <xdr:to>
      <xdr:col>8</xdr:col>
      <xdr:colOff>304800</xdr:colOff>
      <xdr:row>141</xdr:row>
      <xdr:rowOff>0</xdr:rowOff>
    </xdr:to>
    <xdr:sp macro="" textlink="">
      <xdr:nvSpPr>
        <xdr:cNvPr id="20349" name="Line 51">
          <a:extLst>
            <a:ext uri="{FF2B5EF4-FFF2-40B4-BE49-F238E27FC236}">
              <a16:creationId xmlns:a16="http://schemas.microsoft.com/office/drawing/2014/main" id="{00000000-0008-0000-0300-00007D4F0000}"/>
            </a:ext>
          </a:extLst>
        </xdr:cNvPr>
        <xdr:cNvSpPr>
          <a:spLocks noChangeShapeType="1"/>
        </xdr:cNvSpPr>
      </xdr:nvSpPr>
      <xdr:spPr bwMode="auto">
        <a:xfrm flipV="1">
          <a:off x="51816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141</xdr:row>
      <xdr:rowOff>0</xdr:rowOff>
    </xdr:from>
    <xdr:to>
      <xdr:col>6</xdr:col>
      <xdr:colOff>304800</xdr:colOff>
      <xdr:row>141</xdr:row>
      <xdr:rowOff>0</xdr:rowOff>
    </xdr:to>
    <xdr:sp macro="" textlink="">
      <xdr:nvSpPr>
        <xdr:cNvPr id="20350" name="Line 52">
          <a:extLst>
            <a:ext uri="{FF2B5EF4-FFF2-40B4-BE49-F238E27FC236}">
              <a16:creationId xmlns:a16="http://schemas.microsoft.com/office/drawing/2014/main" id="{00000000-0008-0000-0300-00007E4F0000}"/>
            </a:ext>
          </a:extLst>
        </xdr:cNvPr>
        <xdr:cNvSpPr>
          <a:spLocks noChangeShapeType="1"/>
        </xdr:cNvSpPr>
      </xdr:nvSpPr>
      <xdr:spPr bwMode="auto">
        <a:xfrm>
          <a:off x="39624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141</xdr:row>
      <xdr:rowOff>0</xdr:rowOff>
    </xdr:from>
    <xdr:to>
      <xdr:col>6</xdr:col>
      <xdr:colOff>304800</xdr:colOff>
      <xdr:row>141</xdr:row>
      <xdr:rowOff>0</xdr:rowOff>
    </xdr:to>
    <xdr:sp macro="" textlink="">
      <xdr:nvSpPr>
        <xdr:cNvPr id="20351" name="Line 53">
          <a:extLst>
            <a:ext uri="{FF2B5EF4-FFF2-40B4-BE49-F238E27FC236}">
              <a16:creationId xmlns:a16="http://schemas.microsoft.com/office/drawing/2014/main" id="{00000000-0008-0000-0300-00007F4F0000}"/>
            </a:ext>
          </a:extLst>
        </xdr:cNvPr>
        <xdr:cNvSpPr>
          <a:spLocks noChangeShapeType="1"/>
        </xdr:cNvSpPr>
      </xdr:nvSpPr>
      <xdr:spPr bwMode="auto">
        <a:xfrm flipV="1">
          <a:off x="39624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105</xdr:row>
      <xdr:rowOff>9525</xdr:rowOff>
    </xdr:from>
    <xdr:to>
      <xdr:col>3</xdr:col>
      <xdr:colOff>304800</xdr:colOff>
      <xdr:row>111</xdr:row>
      <xdr:rowOff>123825</xdr:rowOff>
    </xdr:to>
    <xdr:sp macro="" textlink="">
      <xdr:nvSpPr>
        <xdr:cNvPr id="20352" name="Line 54">
          <a:extLst>
            <a:ext uri="{FF2B5EF4-FFF2-40B4-BE49-F238E27FC236}">
              <a16:creationId xmlns:a16="http://schemas.microsoft.com/office/drawing/2014/main" id="{00000000-0008-0000-0300-0000804F0000}"/>
            </a:ext>
          </a:extLst>
        </xdr:cNvPr>
        <xdr:cNvSpPr>
          <a:spLocks noChangeShapeType="1"/>
        </xdr:cNvSpPr>
      </xdr:nvSpPr>
      <xdr:spPr bwMode="auto">
        <a:xfrm>
          <a:off x="2133600" y="15716250"/>
          <a:ext cx="0" cy="97155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105</xdr:row>
      <xdr:rowOff>0</xdr:rowOff>
    </xdr:from>
    <xdr:to>
      <xdr:col>3</xdr:col>
      <xdr:colOff>304800</xdr:colOff>
      <xdr:row>112</xdr:row>
      <xdr:rowOff>0</xdr:rowOff>
    </xdr:to>
    <xdr:sp macro="" textlink="">
      <xdr:nvSpPr>
        <xdr:cNvPr id="20353" name="Line 55">
          <a:extLst>
            <a:ext uri="{FF2B5EF4-FFF2-40B4-BE49-F238E27FC236}">
              <a16:creationId xmlns:a16="http://schemas.microsoft.com/office/drawing/2014/main" id="{00000000-0008-0000-0300-0000814F0000}"/>
            </a:ext>
          </a:extLst>
        </xdr:cNvPr>
        <xdr:cNvSpPr>
          <a:spLocks noChangeShapeType="1"/>
        </xdr:cNvSpPr>
      </xdr:nvSpPr>
      <xdr:spPr bwMode="auto">
        <a:xfrm flipH="1" flipV="1">
          <a:off x="2133600" y="15706725"/>
          <a:ext cx="0" cy="1000125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141</xdr:row>
      <xdr:rowOff>0</xdr:rowOff>
    </xdr:from>
    <xdr:to>
      <xdr:col>9</xdr:col>
      <xdr:colOff>304800</xdr:colOff>
      <xdr:row>141</xdr:row>
      <xdr:rowOff>0</xdr:rowOff>
    </xdr:to>
    <xdr:sp macro="" textlink="">
      <xdr:nvSpPr>
        <xdr:cNvPr id="20354" name="Line 56">
          <a:extLst>
            <a:ext uri="{FF2B5EF4-FFF2-40B4-BE49-F238E27FC236}">
              <a16:creationId xmlns:a16="http://schemas.microsoft.com/office/drawing/2014/main" id="{00000000-0008-0000-0300-0000824F0000}"/>
            </a:ext>
          </a:extLst>
        </xdr:cNvPr>
        <xdr:cNvSpPr>
          <a:spLocks noChangeShapeType="1"/>
        </xdr:cNvSpPr>
      </xdr:nvSpPr>
      <xdr:spPr bwMode="auto">
        <a:xfrm flipV="1">
          <a:off x="57912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141</xdr:row>
      <xdr:rowOff>0</xdr:rowOff>
    </xdr:from>
    <xdr:to>
      <xdr:col>9</xdr:col>
      <xdr:colOff>304800</xdr:colOff>
      <xdr:row>141</xdr:row>
      <xdr:rowOff>0</xdr:rowOff>
    </xdr:to>
    <xdr:sp macro="" textlink="">
      <xdr:nvSpPr>
        <xdr:cNvPr id="20355" name="Line 57">
          <a:extLst>
            <a:ext uri="{FF2B5EF4-FFF2-40B4-BE49-F238E27FC236}">
              <a16:creationId xmlns:a16="http://schemas.microsoft.com/office/drawing/2014/main" id="{00000000-0008-0000-0300-0000834F0000}"/>
            </a:ext>
          </a:extLst>
        </xdr:cNvPr>
        <xdr:cNvSpPr>
          <a:spLocks noChangeShapeType="1"/>
        </xdr:cNvSpPr>
      </xdr:nvSpPr>
      <xdr:spPr bwMode="auto">
        <a:xfrm>
          <a:off x="57912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141</xdr:row>
      <xdr:rowOff>0</xdr:rowOff>
    </xdr:from>
    <xdr:to>
      <xdr:col>9</xdr:col>
      <xdr:colOff>304800</xdr:colOff>
      <xdr:row>141</xdr:row>
      <xdr:rowOff>0</xdr:rowOff>
    </xdr:to>
    <xdr:sp macro="" textlink="">
      <xdr:nvSpPr>
        <xdr:cNvPr id="20356" name="Line 58">
          <a:extLst>
            <a:ext uri="{FF2B5EF4-FFF2-40B4-BE49-F238E27FC236}">
              <a16:creationId xmlns:a16="http://schemas.microsoft.com/office/drawing/2014/main" id="{00000000-0008-0000-0300-0000844F0000}"/>
            </a:ext>
          </a:extLst>
        </xdr:cNvPr>
        <xdr:cNvSpPr>
          <a:spLocks noChangeShapeType="1"/>
        </xdr:cNvSpPr>
      </xdr:nvSpPr>
      <xdr:spPr bwMode="auto">
        <a:xfrm flipV="1">
          <a:off x="5791200" y="2099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65</xdr:row>
      <xdr:rowOff>19050</xdr:rowOff>
    </xdr:from>
    <xdr:to>
      <xdr:col>6</xdr:col>
      <xdr:colOff>428625</xdr:colOff>
      <xdr:row>65</xdr:row>
      <xdr:rowOff>19050</xdr:rowOff>
    </xdr:to>
    <xdr:sp macro="" textlink="">
      <xdr:nvSpPr>
        <xdr:cNvPr id="20553" name="Line 170">
          <a:extLst>
            <a:ext uri="{FF2B5EF4-FFF2-40B4-BE49-F238E27FC236}">
              <a16:creationId xmlns:a16="http://schemas.microsoft.com/office/drawing/2014/main" id="{00000000-0008-0000-0400-000049500000}"/>
            </a:ext>
          </a:extLst>
        </xdr:cNvPr>
        <xdr:cNvSpPr>
          <a:spLocks noChangeShapeType="1"/>
        </xdr:cNvSpPr>
      </xdr:nvSpPr>
      <xdr:spPr bwMode="auto">
        <a:xfrm flipH="1">
          <a:off x="2790825" y="1044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438150</xdr:colOff>
      <xdr:row>65</xdr:row>
      <xdr:rowOff>104775</xdr:rowOff>
    </xdr:from>
    <xdr:to>
      <xdr:col>6</xdr:col>
      <xdr:colOff>428625</xdr:colOff>
      <xdr:row>65</xdr:row>
      <xdr:rowOff>104775</xdr:rowOff>
    </xdr:to>
    <xdr:sp macro="" textlink="">
      <xdr:nvSpPr>
        <xdr:cNvPr id="20554" name="Line 173">
          <a:extLst>
            <a:ext uri="{FF2B5EF4-FFF2-40B4-BE49-F238E27FC236}">
              <a16:creationId xmlns:a16="http://schemas.microsoft.com/office/drawing/2014/main" id="{00000000-0008-0000-0400-00004A500000}"/>
            </a:ext>
          </a:extLst>
        </xdr:cNvPr>
        <xdr:cNvSpPr>
          <a:spLocks noChangeShapeType="1"/>
        </xdr:cNvSpPr>
      </xdr:nvSpPr>
      <xdr:spPr bwMode="auto">
        <a:xfrm>
          <a:off x="2790825" y="1053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92</xdr:row>
      <xdr:rowOff>0</xdr:rowOff>
    </xdr:from>
    <xdr:to>
      <xdr:col>15</xdr:col>
      <xdr:colOff>295275</xdr:colOff>
      <xdr:row>94</xdr:row>
      <xdr:rowOff>0</xdr:rowOff>
    </xdr:to>
    <xdr:cxnSp macro="">
      <xdr:nvCxnSpPr>
        <xdr:cNvPr id="20555" name="AutoShape 163">
          <a:extLst>
            <a:ext uri="{FF2B5EF4-FFF2-40B4-BE49-F238E27FC236}">
              <a16:creationId xmlns:a16="http://schemas.microsoft.com/office/drawing/2014/main" id="{00000000-0008-0000-0400-00004B500000}"/>
            </a:ext>
          </a:extLst>
        </xdr:cNvPr>
        <xdr:cNvCxnSpPr>
          <a:cxnSpLocks noChangeShapeType="1"/>
        </xdr:cNvCxnSpPr>
      </xdr:nvCxnSpPr>
      <xdr:spPr bwMode="auto">
        <a:xfrm rot="5400000">
          <a:off x="6519863" y="14854237"/>
          <a:ext cx="323850" cy="257175"/>
        </a:xfrm>
        <a:prstGeom prst="curvedConnector3">
          <a:avLst>
            <a:gd name="adj1" fmla="val 50000"/>
          </a:avLst>
        </a:prstGeom>
        <a:noFill/>
        <a:ln w="9525">
          <a:solidFill>
            <a:srgbClr val="FF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66675</xdr:colOff>
      <xdr:row>92</xdr:row>
      <xdr:rowOff>9525</xdr:rowOff>
    </xdr:from>
    <xdr:to>
      <xdr:col>15</xdr:col>
      <xdr:colOff>295275</xdr:colOff>
      <xdr:row>98</xdr:row>
      <xdr:rowOff>114300</xdr:rowOff>
    </xdr:to>
    <xdr:cxnSp macro="">
      <xdr:nvCxnSpPr>
        <xdr:cNvPr id="20556" name="AutoShape 164">
          <a:extLst>
            <a:ext uri="{FF2B5EF4-FFF2-40B4-BE49-F238E27FC236}">
              <a16:creationId xmlns:a16="http://schemas.microsoft.com/office/drawing/2014/main" id="{00000000-0008-0000-0400-00004C500000}"/>
            </a:ext>
          </a:extLst>
        </xdr:cNvPr>
        <xdr:cNvCxnSpPr>
          <a:cxnSpLocks noChangeShapeType="1"/>
        </xdr:cNvCxnSpPr>
      </xdr:nvCxnSpPr>
      <xdr:spPr bwMode="auto">
        <a:xfrm rot="5400000">
          <a:off x="6157912" y="15254288"/>
          <a:ext cx="1076325" cy="228600"/>
        </a:xfrm>
        <a:prstGeom prst="curvedConnector3">
          <a:avLst>
            <a:gd name="adj1" fmla="val 49472"/>
          </a:avLst>
        </a:prstGeom>
        <a:noFill/>
        <a:ln w="9525">
          <a:solidFill>
            <a:srgbClr val="FF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342900</xdr:colOff>
      <xdr:row>13</xdr:row>
      <xdr:rowOff>28575</xdr:rowOff>
    </xdr:from>
    <xdr:to>
      <xdr:col>17</xdr:col>
      <xdr:colOff>342900</xdr:colOff>
      <xdr:row>15</xdr:row>
      <xdr:rowOff>104775</xdr:rowOff>
    </xdr:to>
    <xdr:sp macro="" textlink="">
      <xdr:nvSpPr>
        <xdr:cNvPr id="20557" name="Line 32">
          <a:extLst>
            <a:ext uri="{FF2B5EF4-FFF2-40B4-BE49-F238E27FC236}">
              <a16:creationId xmlns:a16="http://schemas.microsoft.com/office/drawing/2014/main" id="{00000000-0008-0000-0400-00004D500000}"/>
            </a:ext>
          </a:extLst>
        </xdr:cNvPr>
        <xdr:cNvSpPr>
          <a:spLocks noChangeShapeType="1"/>
        </xdr:cNvSpPr>
      </xdr:nvSpPr>
      <xdr:spPr bwMode="auto">
        <a:xfrm flipH="1">
          <a:off x="7467600" y="217170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304800</xdr:colOff>
      <xdr:row>26</xdr:row>
      <xdr:rowOff>76200</xdr:rowOff>
    </xdr:from>
    <xdr:to>
      <xdr:col>20</xdr:col>
      <xdr:colOff>552450</xdr:colOff>
      <xdr:row>26</xdr:row>
      <xdr:rowOff>76200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 bwMode="auto">
        <a:xfrm flipH="1">
          <a:off x="10229850" y="4343400"/>
          <a:ext cx="24765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20</xdr:col>
      <xdr:colOff>295275</xdr:colOff>
      <xdr:row>27</xdr:row>
      <xdr:rowOff>76200</xdr:rowOff>
    </xdr:from>
    <xdr:to>
      <xdr:col>20</xdr:col>
      <xdr:colOff>542925</xdr:colOff>
      <xdr:row>27</xdr:row>
      <xdr:rowOff>76200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 bwMode="auto">
        <a:xfrm flipH="1">
          <a:off x="10220325" y="4505325"/>
          <a:ext cx="24765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20</xdr:col>
      <xdr:colOff>304800</xdr:colOff>
      <xdr:row>28</xdr:row>
      <xdr:rowOff>95250</xdr:rowOff>
    </xdr:from>
    <xdr:to>
      <xdr:col>20</xdr:col>
      <xdr:colOff>552450</xdr:colOff>
      <xdr:row>28</xdr:row>
      <xdr:rowOff>95250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 bwMode="auto">
        <a:xfrm flipH="1">
          <a:off x="10229850" y="4686300"/>
          <a:ext cx="24765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20</xdr:col>
      <xdr:colOff>295275</xdr:colOff>
      <xdr:row>24</xdr:row>
      <xdr:rowOff>104775</xdr:rowOff>
    </xdr:from>
    <xdr:to>
      <xdr:col>20</xdr:col>
      <xdr:colOff>542925</xdr:colOff>
      <xdr:row>24</xdr:row>
      <xdr:rowOff>104775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 bwMode="auto">
        <a:xfrm flipH="1">
          <a:off x="10220325" y="4048125"/>
          <a:ext cx="24765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11</xdr:row>
      <xdr:rowOff>28575</xdr:rowOff>
    </xdr:from>
    <xdr:to>
      <xdr:col>7</xdr:col>
      <xdr:colOff>209550</xdr:colOff>
      <xdr:row>12</xdr:row>
      <xdr:rowOff>104775</xdr:rowOff>
    </xdr:to>
    <xdr:sp macro="" textlink="">
      <xdr:nvSpPr>
        <xdr:cNvPr id="21694" name="Line 4">
          <a:extLst>
            <a:ext uri="{FF2B5EF4-FFF2-40B4-BE49-F238E27FC236}">
              <a16:creationId xmlns:a16="http://schemas.microsoft.com/office/drawing/2014/main" id="{00000000-0008-0000-0500-0000BE540000}"/>
            </a:ext>
          </a:extLst>
        </xdr:cNvPr>
        <xdr:cNvSpPr>
          <a:spLocks noChangeShapeType="1"/>
        </xdr:cNvSpPr>
      </xdr:nvSpPr>
      <xdr:spPr bwMode="auto">
        <a:xfrm flipH="1">
          <a:off x="3629025" y="1819275"/>
          <a:ext cx="180975" cy="238125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11</xdr:row>
      <xdr:rowOff>28575</xdr:rowOff>
    </xdr:from>
    <xdr:to>
      <xdr:col>8</xdr:col>
      <xdr:colOff>200025</xdr:colOff>
      <xdr:row>11</xdr:row>
      <xdr:rowOff>28575</xdr:rowOff>
    </xdr:to>
    <xdr:sp macro="" textlink="">
      <xdr:nvSpPr>
        <xdr:cNvPr id="21695" name="Line 5">
          <a:extLst>
            <a:ext uri="{FF2B5EF4-FFF2-40B4-BE49-F238E27FC236}">
              <a16:creationId xmlns:a16="http://schemas.microsoft.com/office/drawing/2014/main" id="{00000000-0008-0000-0500-0000BF540000}"/>
            </a:ext>
          </a:extLst>
        </xdr:cNvPr>
        <xdr:cNvSpPr>
          <a:spLocks noChangeShapeType="1"/>
        </xdr:cNvSpPr>
      </xdr:nvSpPr>
      <xdr:spPr bwMode="auto">
        <a:xfrm>
          <a:off x="3829050" y="181927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200025</xdr:colOff>
      <xdr:row>11</xdr:row>
      <xdr:rowOff>28575</xdr:rowOff>
    </xdr:from>
    <xdr:to>
      <xdr:col>8</xdr:col>
      <xdr:colOff>419100</xdr:colOff>
      <xdr:row>12</xdr:row>
      <xdr:rowOff>114300</xdr:rowOff>
    </xdr:to>
    <xdr:sp macro="" textlink="">
      <xdr:nvSpPr>
        <xdr:cNvPr id="21696" name="Line 6">
          <a:extLst>
            <a:ext uri="{FF2B5EF4-FFF2-40B4-BE49-F238E27FC236}">
              <a16:creationId xmlns:a16="http://schemas.microsoft.com/office/drawing/2014/main" id="{00000000-0008-0000-0500-0000C0540000}"/>
            </a:ext>
          </a:extLst>
        </xdr:cNvPr>
        <xdr:cNvSpPr>
          <a:spLocks noChangeShapeType="1"/>
        </xdr:cNvSpPr>
      </xdr:nvSpPr>
      <xdr:spPr bwMode="auto">
        <a:xfrm>
          <a:off x="4314825" y="1819275"/>
          <a:ext cx="219075" cy="247650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409575</xdr:colOff>
      <xdr:row>11</xdr:row>
      <xdr:rowOff>28575</xdr:rowOff>
    </xdr:from>
    <xdr:to>
      <xdr:col>7</xdr:col>
      <xdr:colOff>200025</xdr:colOff>
      <xdr:row>12</xdr:row>
      <xdr:rowOff>104775</xdr:rowOff>
    </xdr:to>
    <xdr:sp macro="" textlink="">
      <xdr:nvSpPr>
        <xdr:cNvPr id="21697" name="Line 7">
          <a:extLst>
            <a:ext uri="{FF2B5EF4-FFF2-40B4-BE49-F238E27FC236}">
              <a16:creationId xmlns:a16="http://schemas.microsoft.com/office/drawing/2014/main" id="{00000000-0008-0000-0500-0000C1540000}"/>
            </a:ext>
          </a:extLst>
        </xdr:cNvPr>
        <xdr:cNvSpPr>
          <a:spLocks noChangeShapeType="1"/>
        </xdr:cNvSpPr>
      </xdr:nvSpPr>
      <xdr:spPr bwMode="auto">
        <a:xfrm flipH="1">
          <a:off x="3495675" y="1819275"/>
          <a:ext cx="3048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200025</xdr:colOff>
      <xdr:row>11</xdr:row>
      <xdr:rowOff>28575</xdr:rowOff>
    </xdr:from>
    <xdr:to>
      <xdr:col>9</xdr:col>
      <xdr:colOff>47625</xdr:colOff>
      <xdr:row>12</xdr:row>
      <xdr:rowOff>114300</xdr:rowOff>
    </xdr:to>
    <xdr:sp macro="" textlink="">
      <xdr:nvSpPr>
        <xdr:cNvPr id="21698" name="Line 8">
          <a:extLst>
            <a:ext uri="{FF2B5EF4-FFF2-40B4-BE49-F238E27FC236}">
              <a16:creationId xmlns:a16="http://schemas.microsoft.com/office/drawing/2014/main" id="{00000000-0008-0000-0500-0000C2540000}"/>
            </a:ext>
          </a:extLst>
        </xdr:cNvPr>
        <xdr:cNvSpPr>
          <a:spLocks noChangeShapeType="1"/>
        </xdr:cNvSpPr>
      </xdr:nvSpPr>
      <xdr:spPr bwMode="auto">
        <a:xfrm>
          <a:off x="4314825" y="1819275"/>
          <a:ext cx="3619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12</xdr:row>
      <xdr:rowOff>114300</xdr:rowOff>
    </xdr:from>
    <xdr:to>
      <xdr:col>9</xdr:col>
      <xdr:colOff>38100</xdr:colOff>
      <xdr:row>12</xdr:row>
      <xdr:rowOff>114300</xdr:rowOff>
    </xdr:to>
    <xdr:sp macro="" textlink="">
      <xdr:nvSpPr>
        <xdr:cNvPr id="21699" name="Line 9">
          <a:extLst>
            <a:ext uri="{FF2B5EF4-FFF2-40B4-BE49-F238E27FC236}">
              <a16:creationId xmlns:a16="http://schemas.microsoft.com/office/drawing/2014/main" id="{00000000-0008-0000-0500-0000C3540000}"/>
            </a:ext>
          </a:extLst>
        </xdr:cNvPr>
        <xdr:cNvSpPr>
          <a:spLocks noChangeShapeType="1"/>
        </xdr:cNvSpPr>
      </xdr:nvSpPr>
      <xdr:spPr bwMode="auto">
        <a:xfrm>
          <a:off x="3476625" y="2066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171450</xdr:colOff>
      <xdr:row>10</xdr:row>
      <xdr:rowOff>9525</xdr:rowOff>
    </xdr:from>
    <xdr:to>
      <xdr:col>8</xdr:col>
      <xdr:colOff>219075</xdr:colOff>
      <xdr:row>11</xdr:row>
      <xdr:rowOff>28575</xdr:rowOff>
    </xdr:to>
    <xdr:sp macro="" textlink="">
      <xdr:nvSpPr>
        <xdr:cNvPr id="21700" name="AutoShape 11">
          <a:extLst>
            <a:ext uri="{FF2B5EF4-FFF2-40B4-BE49-F238E27FC236}">
              <a16:creationId xmlns:a16="http://schemas.microsoft.com/office/drawing/2014/main" id="{00000000-0008-0000-0500-0000C4540000}"/>
            </a:ext>
          </a:extLst>
        </xdr:cNvPr>
        <xdr:cNvSpPr>
          <a:spLocks noChangeArrowheads="1"/>
        </xdr:cNvSpPr>
      </xdr:nvSpPr>
      <xdr:spPr bwMode="auto">
        <a:xfrm>
          <a:off x="4286250" y="1638300"/>
          <a:ext cx="47625" cy="180975"/>
        </a:xfrm>
        <a:prstGeom prst="leftArrowCallout">
          <a:avLst>
            <a:gd name="adj1" fmla="val 95000"/>
            <a:gd name="adj2" fmla="val 90004"/>
            <a:gd name="adj3" fmla="val 16667"/>
            <a:gd name="adj4" fmla="val 6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405514</xdr:colOff>
      <xdr:row>23</xdr:row>
      <xdr:rowOff>90797</xdr:rowOff>
    </xdr:from>
    <xdr:to>
      <xdr:col>3</xdr:col>
      <xdr:colOff>289809</xdr:colOff>
      <xdr:row>27</xdr:row>
      <xdr:rowOff>147326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 rot="12307765">
          <a:off x="1434214" y="3824597"/>
          <a:ext cx="398645" cy="704229"/>
        </a:xfrm>
        <a:prstGeom prst="arc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13</xdr:row>
      <xdr:rowOff>66675</xdr:rowOff>
    </xdr:from>
    <xdr:to>
      <xdr:col>7</xdr:col>
      <xdr:colOff>247650</xdr:colOff>
      <xdr:row>14</xdr:row>
      <xdr:rowOff>114300</xdr:rowOff>
    </xdr:to>
    <xdr:cxnSp macro="">
      <xdr:nvCxnSpPr>
        <xdr:cNvPr id="22579" name="Straight Arrow Connector 2">
          <a:extLst>
            <a:ext uri="{FF2B5EF4-FFF2-40B4-BE49-F238E27FC236}">
              <a16:creationId xmlns:a16="http://schemas.microsoft.com/office/drawing/2014/main" id="{00000000-0008-0000-0600-000033580000}"/>
            </a:ext>
          </a:extLst>
        </xdr:cNvPr>
        <xdr:cNvCxnSpPr>
          <a:cxnSpLocks noChangeShapeType="1"/>
        </xdr:cNvCxnSpPr>
      </xdr:nvCxnSpPr>
      <xdr:spPr bwMode="auto">
        <a:xfrm>
          <a:off x="4514850" y="2171700"/>
          <a:ext cx="0" cy="2095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85725</xdr:colOff>
      <xdr:row>16</xdr:row>
      <xdr:rowOff>19050</xdr:rowOff>
    </xdr:from>
    <xdr:to>
      <xdr:col>8</xdr:col>
      <xdr:colOff>533400</xdr:colOff>
      <xdr:row>25</xdr:row>
      <xdr:rowOff>0</xdr:rowOff>
    </xdr:to>
    <xdr:sp macro="" textlink="">
      <xdr:nvSpPr>
        <xdr:cNvPr id="22580" name="Right Brace 1">
          <a:extLst>
            <a:ext uri="{FF2B5EF4-FFF2-40B4-BE49-F238E27FC236}">
              <a16:creationId xmlns:a16="http://schemas.microsoft.com/office/drawing/2014/main" id="{00000000-0008-0000-0600-000034580000}"/>
            </a:ext>
          </a:extLst>
        </xdr:cNvPr>
        <xdr:cNvSpPr>
          <a:spLocks/>
        </xdr:cNvSpPr>
      </xdr:nvSpPr>
      <xdr:spPr bwMode="auto">
        <a:xfrm>
          <a:off x="4962525" y="2609850"/>
          <a:ext cx="447675" cy="1438275"/>
        </a:xfrm>
        <a:prstGeom prst="rightBrace">
          <a:avLst>
            <a:gd name="adj1" fmla="val 8419"/>
            <a:gd name="adj2" fmla="val 83065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38100</xdr:rowOff>
    </xdr:from>
    <xdr:to>
      <xdr:col>5</xdr:col>
      <xdr:colOff>600075</xdr:colOff>
      <xdr:row>6</xdr:row>
      <xdr:rowOff>400050</xdr:rowOff>
    </xdr:to>
    <xdr:sp macro="" textlink="">
      <xdr:nvSpPr>
        <xdr:cNvPr id="3592" name="AutoShape 1">
          <a:extLst>
            <a:ext uri="{FF2B5EF4-FFF2-40B4-BE49-F238E27FC236}">
              <a16:creationId xmlns:a16="http://schemas.microsoft.com/office/drawing/2014/main" id="{00000000-0008-0000-0700-0000080E0000}"/>
            </a:ext>
          </a:extLst>
        </xdr:cNvPr>
        <xdr:cNvSpPr>
          <a:spLocks/>
        </xdr:cNvSpPr>
      </xdr:nvSpPr>
      <xdr:spPr bwMode="auto">
        <a:xfrm>
          <a:off x="5915025" y="666750"/>
          <a:ext cx="457200" cy="2114550"/>
        </a:xfrm>
        <a:prstGeom prst="rightBrace">
          <a:avLst>
            <a:gd name="adj1" fmla="val 38542"/>
            <a:gd name="adj2" fmla="val 5675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7</xdr:row>
      <xdr:rowOff>9525</xdr:rowOff>
    </xdr:from>
    <xdr:to>
      <xdr:col>5</xdr:col>
      <xdr:colOff>581025</xdr:colOff>
      <xdr:row>10</xdr:row>
      <xdr:rowOff>419100</xdr:rowOff>
    </xdr:to>
    <xdr:sp macro="" textlink="">
      <xdr:nvSpPr>
        <xdr:cNvPr id="3593" name="AutoShape 2">
          <a:extLst>
            <a:ext uri="{FF2B5EF4-FFF2-40B4-BE49-F238E27FC236}">
              <a16:creationId xmlns:a16="http://schemas.microsoft.com/office/drawing/2014/main" id="{00000000-0008-0000-0700-0000090E0000}"/>
            </a:ext>
          </a:extLst>
        </xdr:cNvPr>
        <xdr:cNvSpPr>
          <a:spLocks/>
        </xdr:cNvSpPr>
      </xdr:nvSpPr>
      <xdr:spPr bwMode="auto">
        <a:xfrm>
          <a:off x="5895975" y="2828925"/>
          <a:ext cx="476250" cy="1724025"/>
        </a:xfrm>
        <a:prstGeom prst="rightBrace">
          <a:avLst>
            <a:gd name="adj1" fmla="val 30167"/>
            <a:gd name="adj2" fmla="val 475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180975</xdr:colOff>
      <xdr:row>0</xdr:row>
      <xdr:rowOff>276225</xdr:rowOff>
    </xdr:from>
    <xdr:to>
      <xdr:col>6</xdr:col>
      <xdr:colOff>219075</xdr:colOff>
      <xdr:row>4</xdr:row>
      <xdr:rowOff>190500</xdr:rowOff>
    </xdr:to>
    <xdr:sp macro="" textlink="">
      <xdr:nvSpPr>
        <xdr:cNvPr id="3594" name="Line 3">
          <a:extLst>
            <a:ext uri="{FF2B5EF4-FFF2-40B4-BE49-F238E27FC236}">
              <a16:creationId xmlns:a16="http://schemas.microsoft.com/office/drawing/2014/main" id="{00000000-0008-0000-0700-00000A0E0000}"/>
            </a:ext>
          </a:extLst>
        </xdr:cNvPr>
        <xdr:cNvSpPr>
          <a:spLocks noChangeShapeType="1"/>
        </xdr:cNvSpPr>
      </xdr:nvSpPr>
      <xdr:spPr bwMode="auto">
        <a:xfrm flipH="1">
          <a:off x="6553200" y="276225"/>
          <a:ext cx="3810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cmfclearinghouse.org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AD366"/>
  <sheetViews>
    <sheetView showGridLines="0" tabSelected="1" zoomScaleNormal="100" workbookViewId="0">
      <selection activeCell="D23" sqref="D23:F23"/>
    </sheetView>
  </sheetViews>
  <sheetFormatPr defaultColWidth="9.1796875" defaultRowHeight="12.75" customHeight="1" x14ac:dyDescent="0.3"/>
  <cols>
    <col min="1" max="1" width="4.54296875" style="207" customWidth="1"/>
    <col min="2" max="2" width="5.1796875" style="207" customWidth="1"/>
    <col min="3" max="3" width="7.81640625" style="207" customWidth="1"/>
    <col min="4" max="4" width="9.1796875" style="207"/>
    <col min="5" max="6" width="9.26953125" style="207" bestFit="1" customWidth="1"/>
    <col min="7" max="7" width="9.1796875" style="207"/>
    <col min="8" max="8" width="9.26953125" style="178" bestFit="1" customWidth="1"/>
    <col min="9" max="10" width="9.26953125" style="207" bestFit="1" customWidth="1"/>
    <col min="11" max="11" width="9.26953125" style="207" customWidth="1"/>
    <col min="12" max="12" width="5.81640625" style="207" customWidth="1"/>
    <col min="13" max="13" width="5" style="207" customWidth="1"/>
    <col min="14" max="23" width="6.7265625" style="207" customWidth="1"/>
    <col min="24" max="24" width="9.1796875" style="207"/>
    <col min="25" max="25" width="7.81640625" style="207" customWidth="1"/>
    <col min="26" max="26" width="8.1796875" style="207" customWidth="1"/>
    <col min="27" max="16384" width="9.1796875" style="207"/>
  </cols>
  <sheetData>
    <row r="1" spans="1:27" ht="12.75" customHeight="1" x14ac:dyDescent="0.3">
      <c r="A1" s="444"/>
    </row>
    <row r="2" spans="1:27" ht="12.75" customHeight="1" thickBot="1" x14ac:dyDescent="0.35">
      <c r="A2" s="444"/>
    </row>
    <row r="3" spans="1:27" ht="16.5" customHeight="1" thickTop="1" x14ac:dyDescent="0.3">
      <c r="A3" s="444"/>
      <c r="B3" s="478"/>
      <c r="C3" s="479"/>
      <c r="D3" s="479"/>
      <c r="E3" s="678"/>
      <c r="F3" s="678"/>
      <c r="G3" s="678"/>
      <c r="H3" s="414"/>
      <c r="I3" s="479"/>
      <c r="J3" s="479"/>
      <c r="K3" s="479"/>
      <c r="L3" s="479"/>
      <c r="M3" s="480"/>
    </row>
    <row r="4" spans="1:27" ht="12.75" customHeight="1" x14ac:dyDescent="0.35">
      <c r="A4" s="444"/>
      <c r="B4" s="418"/>
      <c r="C4" s="679" t="s">
        <v>125</v>
      </c>
      <c r="D4" s="679"/>
      <c r="E4" s="679"/>
      <c r="F4" s="680"/>
      <c r="G4" s="681"/>
      <c r="H4" s="451"/>
      <c r="I4" s="451"/>
      <c r="J4" s="684" t="s">
        <v>499</v>
      </c>
      <c r="K4" s="684"/>
      <c r="L4" s="684"/>
      <c r="M4" s="685"/>
    </row>
    <row r="5" spans="1:27" ht="12.75" customHeight="1" x14ac:dyDescent="0.3">
      <c r="A5" s="444"/>
      <c r="B5" s="418"/>
      <c r="C5" s="27" t="s">
        <v>126</v>
      </c>
      <c r="D5" s="27"/>
      <c r="E5" s="27"/>
      <c r="F5" s="686"/>
      <c r="G5" s="687"/>
      <c r="H5" s="687"/>
      <c r="I5" s="688"/>
      <c r="J5" s="684"/>
      <c r="K5" s="684"/>
      <c r="L5" s="684"/>
      <c r="M5" s="685"/>
    </row>
    <row r="6" spans="1:27" ht="12.75" customHeight="1" x14ac:dyDescent="0.3">
      <c r="A6" s="444"/>
      <c r="B6" s="418"/>
      <c r="C6" s="452" t="s">
        <v>484</v>
      </c>
      <c r="D6" s="27"/>
      <c r="E6" s="27"/>
      <c r="F6" s="789"/>
      <c r="G6" s="453" t="s">
        <v>519</v>
      </c>
      <c r="H6" s="454"/>
      <c r="I6" s="454"/>
      <c r="J6" s="689" t="s">
        <v>485</v>
      </c>
      <c r="K6" s="689"/>
      <c r="L6" s="689"/>
      <c r="M6" s="690"/>
    </row>
    <row r="7" spans="1:27" ht="12.75" customHeight="1" x14ac:dyDescent="0.3">
      <c r="A7" s="444"/>
      <c r="B7" s="418"/>
      <c r="C7" s="121"/>
      <c r="D7" s="121"/>
      <c r="E7" s="121"/>
      <c r="F7" s="177"/>
      <c r="G7" s="455"/>
      <c r="H7" s="456"/>
      <c r="I7" s="456"/>
      <c r="J7" s="689"/>
      <c r="K7" s="689"/>
      <c r="L7" s="689"/>
      <c r="M7" s="690"/>
    </row>
    <row r="8" spans="1:27" ht="12.75" customHeight="1" x14ac:dyDescent="0.3">
      <c r="A8" s="444"/>
      <c r="B8" s="418"/>
      <c r="C8" s="121"/>
      <c r="D8" s="121"/>
      <c r="E8" s="121"/>
      <c r="F8" s="662"/>
      <c r="G8" s="102"/>
      <c r="H8" s="66"/>
      <c r="I8" s="27"/>
      <c r="J8" s="457"/>
      <c r="K8" s="457"/>
      <c r="L8" s="457"/>
      <c r="M8" s="481"/>
    </row>
    <row r="9" spans="1:27" ht="12.75" customHeight="1" x14ac:dyDescent="0.3">
      <c r="A9" s="445"/>
      <c r="B9" s="418"/>
      <c r="C9" s="121"/>
      <c r="D9" s="121"/>
      <c r="E9" s="121"/>
      <c r="F9" s="663"/>
      <c r="G9" s="102"/>
      <c r="H9" s="66"/>
      <c r="I9" s="27"/>
      <c r="J9" s="457"/>
      <c r="K9" s="457"/>
      <c r="L9" s="457"/>
      <c r="M9" s="481"/>
    </row>
    <row r="10" spans="1:27" ht="12.75" customHeight="1" x14ac:dyDescent="0.35">
      <c r="A10" s="444"/>
      <c r="B10" s="418"/>
      <c r="C10" s="458"/>
      <c r="D10" s="27"/>
      <c r="E10" s="99"/>
      <c r="F10" s="691" t="s">
        <v>500</v>
      </c>
      <c r="G10" s="691"/>
      <c r="H10" s="691"/>
      <c r="I10" s="691"/>
      <c r="J10" s="27"/>
      <c r="K10" s="27"/>
      <c r="L10" s="27"/>
      <c r="M10" s="420"/>
    </row>
    <row r="11" spans="1:27" ht="12.75" customHeight="1" x14ac:dyDescent="0.35">
      <c r="A11" s="446"/>
      <c r="B11" s="418"/>
      <c r="C11" s="458"/>
      <c r="D11" s="27"/>
      <c r="E11" s="99"/>
      <c r="F11" s="691"/>
      <c r="G11" s="691"/>
      <c r="H11" s="691"/>
      <c r="I11" s="691"/>
      <c r="J11" s="27"/>
      <c r="K11" s="27"/>
      <c r="L11" s="27"/>
      <c r="M11" s="420"/>
    </row>
    <row r="12" spans="1:27" ht="12.75" customHeight="1" thickBot="1" x14ac:dyDescent="0.4">
      <c r="A12" s="446"/>
      <c r="B12" s="418"/>
      <c r="C12" s="458"/>
      <c r="D12" s="27"/>
      <c r="E12" s="99"/>
      <c r="F12" s="459"/>
      <c r="G12" s="459"/>
      <c r="H12" s="459"/>
      <c r="I12" s="459"/>
      <c r="J12" s="27"/>
      <c r="K12" s="27"/>
      <c r="L12" s="27"/>
      <c r="M12" s="420"/>
    </row>
    <row r="13" spans="1:27" ht="12.75" customHeight="1" thickTop="1" x14ac:dyDescent="0.35">
      <c r="A13" s="446"/>
      <c r="B13" s="418"/>
      <c r="C13" s="468"/>
      <c r="D13" s="466"/>
      <c r="E13" s="469"/>
      <c r="F13" s="470"/>
      <c r="G13" s="470"/>
      <c r="H13" s="470"/>
      <c r="I13" s="672" t="s">
        <v>526</v>
      </c>
      <c r="J13" s="466"/>
      <c r="K13" s="466"/>
      <c r="L13" s="466"/>
      <c r="M13" s="420"/>
    </row>
    <row r="14" spans="1:27" ht="12.75" customHeight="1" x14ac:dyDescent="0.3">
      <c r="A14" s="446"/>
      <c r="B14" s="418"/>
      <c r="C14" s="27"/>
      <c r="D14" s="27"/>
      <c r="E14" s="102"/>
      <c r="F14" s="102"/>
      <c r="G14" s="102"/>
      <c r="H14" s="102"/>
      <c r="I14" s="204" t="s">
        <v>0</v>
      </c>
      <c r="J14" s="204"/>
      <c r="K14" s="204" t="s">
        <v>225</v>
      </c>
      <c r="L14" s="27"/>
      <c r="M14" s="419"/>
      <c r="AA14" s="209"/>
    </row>
    <row r="15" spans="1:27" ht="12.75" customHeight="1" x14ac:dyDescent="0.3">
      <c r="A15" s="446"/>
      <c r="B15" s="482"/>
      <c r="C15" s="27"/>
      <c r="D15" s="27"/>
      <c r="E15" s="102"/>
      <c r="F15" s="102"/>
      <c r="G15" s="102"/>
      <c r="H15" s="102"/>
      <c r="I15" s="205" t="s">
        <v>2</v>
      </c>
      <c r="J15" s="205"/>
      <c r="K15" s="205" t="s">
        <v>2</v>
      </c>
      <c r="L15" s="27"/>
      <c r="M15" s="419"/>
      <c r="AA15" s="209"/>
    </row>
    <row r="16" spans="1:27" ht="12.75" customHeight="1" x14ac:dyDescent="0.3">
      <c r="A16" s="444"/>
      <c r="B16" s="482"/>
      <c r="C16" s="67"/>
      <c r="D16" s="677" t="s">
        <v>226</v>
      </c>
      <c r="E16" s="677"/>
      <c r="F16" s="27"/>
      <c r="G16" s="27"/>
      <c r="H16" s="27"/>
      <c r="I16" s="66"/>
      <c r="J16" s="66"/>
      <c r="K16" s="66"/>
      <c r="L16" s="27"/>
      <c r="M16" s="419"/>
      <c r="AA16" s="462"/>
    </row>
    <row r="17" spans="1:30" ht="12.75" customHeight="1" x14ac:dyDescent="0.3">
      <c r="A17" s="444"/>
      <c r="B17" s="482"/>
      <c r="C17" s="27"/>
      <c r="D17" s="27"/>
      <c r="E17" s="105" t="s">
        <v>327</v>
      </c>
      <c r="F17" s="27"/>
      <c r="G17" s="163"/>
      <c r="H17" s="27"/>
      <c r="I17" s="66">
        <v>10</v>
      </c>
      <c r="J17" s="66"/>
      <c r="K17" s="187">
        <f>'TRAFFIC &amp; ACCIDENTS'!K46</f>
        <v>0</v>
      </c>
      <c r="L17" s="27"/>
      <c r="M17" s="419"/>
      <c r="AA17" s="463"/>
      <c r="AB17" s="178"/>
    </row>
    <row r="18" spans="1:30" ht="12.75" customHeight="1" x14ac:dyDescent="0.3">
      <c r="A18" s="444"/>
      <c r="B18" s="418"/>
      <c r="C18" s="27"/>
      <c r="D18" s="27"/>
      <c r="E18" s="105" t="s">
        <v>328</v>
      </c>
      <c r="F18" s="27"/>
      <c r="G18" s="163"/>
      <c r="H18" s="27"/>
      <c r="I18" s="66">
        <v>10</v>
      </c>
      <c r="J18" s="66"/>
      <c r="K18" s="187">
        <f>'TRAFFIC &amp; ACCIDENTS'!H19</f>
        <v>0</v>
      </c>
      <c r="L18" s="27"/>
      <c r="M18" s="419"/>
      <c r="AD18" s="210"/>
    </row>
    <row r="19" spans="1:30" ht="12.75" customHeight="1" x14ac:dyDescent="0.3">
      <c r="A19" s="444"/>
      <c r="B19" s="418"/>
      <c r="C19" s="27"/>
      <c r="D19" s="27"/>
      <c r="E19" s="105" t="s">
        <v>122</v>
      </c>
      <c r="F19" s="27"/>
      <c r="G19" s="163"/>
      <c r="H19" s="27"/>
      <c r="I19" s="103">
        <v>10</v>
      </c>
      <c r="J19" s="66"/>
      <c r="K19" s="188" t="e">
        <f>'TRAFFIC &amp; ACCIDENTS'!K64</f>
        <v>#DIV/0!</v>
      </c>
      <c r="L19" s="27"/>
      <c r="M19" s="419"/>
      <c r="AD19" s="210"/>
    </row>
    <row r="20" spans="1:30" ht="12.75" customHeight="1" x14ac:dyDescent="0.3">
      <c r="A20" s="444"/>
      <c r="B20" s="418"/>
      <c r="C20" s="27"/>
      <c r="D20" s="27"/>
      <c r="E20" s="27"/>
      <c r="F20" s="27"/>
      <c r="G20" s="163"/>
      <c r="H20" s="168" t="s">
        <v>4</v>
      </c>
      <c r="I20" s="65">
        <f>SUM(I17:I19)</f>
        <v>30</v>
      </c>
      <c r="J20" s="65"/>
      <c r="K20" s="460" t="e">
        <f>ROUND(SUM(K17:K19),2)</f>
        <v>#DIV/0!</v>
      </c>
      <c r="L20" s="27"/>
      <c r="M20" s="419"/>
      <c r="AD20" s="210"/>
    </row>
    <row r="21" spans="1:30" ht="12.75" customHeight="1" thickBot="1" x14ac:dyDescent="0.35">
      <c r="A21" s="444"/>
      <c r="B21" s="418"/>
      <c r="C21" s="27"/>
      <c r="D21" s="27"/>
      <c r="E21" s="27"/>
      <c r="F21" s="27"/>
      <c r="G21" s="163"/>
      <c r="H21" s="168"/>
      <c r="I21" s="65"/>
      <c r="J21" s="65"/>
      <c r="K21" s="460"/>
      <c r="L21" s="27"/>
      <c r="M21" s="419"/>
      <c r="AD21" s="210"/>
    </row>
    <row r="22" spans="1:30" ht="12.75" customHeight="1" thickTop="1" x14ac:dyDescent="0.3">
      <c r="A22" s="444"/>
      <c r="B22" s="418"/>
      <c r="C22" s="466"/>
      <c r="D22" s="466"/>
      <c r="E22" s="466"/>
      <c r="F22" s="466"/>
      <c r="G22" s="471"/>
      <c r="H22" s="472"/>
      <c r="I22" s="473"/>
      <c r="J22" s="473"/>
      <c r="K22" s="474"/>
      <c r="L22" s="466"/>
      <c r="M22" s="419"/>
      <c r="AA22" s="208"/>
      <c r="AD22" s="464"/>
    </row>
    <row r="23" spans="1:30" ht="12.75" customHeight="1" x14ac:dyDescent="0.3">
      <c r="A23" s="444"/>
      <c r="B23" s="418"/>
      <c r="C23" s="27"/>
      <c r="D23" s="677" t="s">
        <v>9</v>
      </c>
      <c r="E23" s="677"/>
      <c r="F23" s="677"/>
      <c r="G23" s="683" t="s">
        <v>525</v>
      </c>
      <c r="H23" s="683"/>
      <c r="I23" s="109">
        <v>10</v>
      </c>
      <c r="J23" s="671"/>
      <c r="K23" s="75">
        <f>IF('Local &amp; Links'!F4&lt;&gt;"",10,0)</f>
        <v>0</v>
      </c>
      <c r="L23" s="27"/>
      <c r="M23" s="419"/>
      <c r="AA23" s="208"/>
      <c r="AD23" s="464"/>
    </row>
    <row r="24" spans="1:30" ht="12.75" customHeight="1" x14ac:dyDescent="0.3">
      <c r="A24" s="444"/>
      <c r="B24" s="418"/>
      <c r="C24" s="27"/>
      <c r="D24" s="67"/>
      <c r="E24" s="27"/>
      <c r="F24" s="102"/>
      <c r="G24" s="102"/>
      <c r="H24" s="102"/>
      <c r="I24" s="109"/>
      <c r="J24" s="671"/>
      <c r="K24" s="75"/>
      <c r="L24" s="27"/>
      <c r="M24" s="419"/>
      <c r="AA24" s="465"/>
      <c r="AD24" s="210"/>
    </row>
    <row r="25" spans="1:30" ht="12.75" customHeight="1" x14ac:dyDescent="0.3">
      <c r="A25" s="449"/>
      <c r="B25" s="418"/>
      <c r="C25" s="27"/>
      <c r="D25" s="677" t="s">
        <v>329</v>
      </c>
      <c r="E25" s="677"/>
      <c r="F25" s="102"/>
      <c r="G25" s="683"/>
      <c r="H25" s="683"/>
      <c r="I25" s="109">
        <v>10</v>
      </c>
      <c r="J25" s="109"/>
      <c r="K25" s="75">
        <f>'Local &amp; Links'!F6</f>
        <v>0</v>
      </c>
      <c r="L25" s="27"/>
      <c r="M25" s="419"/>
      <c r="AA25" s="465"/>
      <c r="AD25" s="210"/>
    </row>
    <row r="26" spans="1:30" ht="12.75" customHeight="1" thickBot="1" x14ac:dyDescent="0.35">
      <c r="A26" s="449"/>
      <c r="B26" s="418"/>
      <c r="C26" s="27"/>
      <c r="D26" s="67"/>
      <c r="E26" s="27"/>
      <c r="F26" s="102"/>
      <c r="G26" s="102"/>
      <c r="H26" s="102"/>
      <c r="I26" s="109"/>
      <c r="J26" s="109"/>
      <c r="K26" s="75"/>
      <c r="L26" s="27"/>
      <c r="M26" s="419"/>
      <c r="AA26" s="465"/>
      <c r="AD26" s="210"/>
    </row>
    <row r="27" spans="1:30" ht="12.75" customHeight="1" thickTop="1" x14ac:dyDescent="0.3">
      <c r="A27" s="449"/>
      <c r="B27" s="418"/>
      <c r="C27" s="466"/>
      <c r="D27" s="475"/>
      <c r="E27" s="466"/>
      <c r="F27" s="467"/>
      <c r="G27" s="467"/>
      <c r="H27" s="467"/>
      <c r="I27" s="695" t="s">
        <v>324</v>
      </c>
      <c r="J27" s="476"/>
      <c r="K27" s="476"/>
      <c r="L27" s="466"/>
      <c r="M27" s="419"/>
      <c r="AA27" s="465"/>
    </row>
    <row r="28" spans="1:30" ht="12.75" customHeight="1" x14ac:dyDescent="0.3">
      <c r="A28" s="449"/>
      <c r="B28" s="418"/>
      <c r="C28" s="27"/>
      <c r="D28" s="677" t="s">
        <v>113</v>
      </c>
      <c r="E28" s="677"/>
      <c r="F28" s="677"/>
      <c r="G28" s="677"/>
      <c r="H28" s="27"/>
      <c r="I28" s="696"/>
      <c r="J28" s="27"/>
      <c r="K28" s="487" t="s">
        <v>129</v>
      </c>
      <c r="L28" s="99"/>
      <c r="M28" s="419"/>
      <c r="AA28" s="208"/>
    </row>
    <row r="29" spans="1:30" ht="12.75" customHeight="1" x14ac:dyDescent="0.3">
      <c r="A29" s="449"/>
      <c r="B29" s="418"/>
      <c r="C29" s="27"/>
      <c r="D29" s="682" t="s">
        <v>487</v>
      </c>
      <c r="E29" s="682"/>
      <c r="F29" s="27" t="s">
        <v>6</v>
      </c>
      <c r="G29" s="27"/>
      <c r="H29" s="68">
        <v>10</v>
      </c>
      <c r="I29" s="786">
        <f>IF(STRUCTURE!F9&lt;&gt;0,0,STRUCTURE!D9)</f>
        <v>0</v>
      </c>
      <c r="J29" s="486">
        <v>4</v>
      </c>
      <c r="K29" s="693">
        <f>IF(I29&lt;&gt;0,0,N30)</f>
        <v>0</v>
      </c>
      <c r="L29" s="692" t="s">
        <v>117</v>
      </c>
      <c r="M29" s="419"/>
      <c r="AA29" s="208"/>
    </row>
    <row r="30" spans="1:30" ht="12.75" customHeight="1" x14ac:dyDescent="0.3">
      <c r="A30" s="449"/>
      <c r="B30" s="418"/>
      <c r="C30" s="27"/>
      <c r="D30" s="682"/>
      <c r="E30" s="682"/>
      <c r="F30" s="27" t="s">
        <v>7</v>
      </c>
      <c r="G30" s="27"/>
      <c r="H30" s="69">
        <v>10</v>
      </c>
      <c r="I30" s="787"/>
      <c r="J30" s="486">
        <v>10</v>
      </c>
      <c r="K30" s="694"/>
      <c r="L30" s="692"/>
      <c r="M30" s="419"/>
      <c r="N30" s="461">
        <f>IF(STRUCTURE!F9&gt;14,14,STRUCTURE!F9)</f>
        <v>0</v>
      </c>
      <c r="AA30" s="209"/>
    </row>
    <row r="31" spans="1:30" ht="12.75" customHeight="1" x14ac:dyDescent="0.3">
      <c r="A31" s="449"/>
      <c r="B31" s="418"/>
      <c r="C31" s="27"/>
      <c r="D31" s="682"/>
      <c r="E31" s="682"/>
      <c r="F31" s="27" t="s">
        <v>114</v>
      </c>
      <c r="G31" s="27"/>
      <c r="H31" s="70">
        <v>20</v>
      </c>
      <c r="I31" s="694"/>
      <c r="J31" s="68">
        <v>10</v>
      </c>
      <c r="K31" s="49">
        <f>IF(I29&lt;&gt;0,0,STRUCTURE!C22)</f>
        <v>0</v>
      </c>
      <c r="L31" s="99" t="s">
        <v>118</v>
      </c>
      <c r="M31" s="419"/>
      <c r="N31" s="461"/>
      <c r="AA31" s="209"/>
    </row>
    <row r="32" spans="1:30" ht="12.75" customHeight="1" x14ac:dyDescent="0.3">
      <c r="A32" s="444"/>
      <c r="B32" s="418"/>
      <c r="C32" s="27"/>
      <c r="D32" s="682" t="s">
        <v>488</v>
      </c>
      <c r="E32" s="682"/>
      <c r="F32" s="27" t="s">
        <v>490</v>
      </c>
      <c r="G32" s="27"/>
      <c r="H32" s="27"/>
      <c r="I32" s="27"/>
      <c r="J32" s="68">
        <v>16</v>
      </c>
      <c r="K32" s="49">
        <f>IF(I29&lt;&gt;0,0,STRUCTURE!J22)</f>
        <v>0</v>
      </c>
      <c r="L32" s="102" t="s">
        <v>119</v>
      </c>
      <c r="M32" s="419"/>
      <c r="N32" s="461"/>
    </row>
    <row r="33" spans="1:27" ht="12.75" customHeight="1" x14ac:dyDescent="0.3">
      <c r="A33" s="444"/>
      <c r="B33" s="418"/>
      <c r="C33" s="27"/>
      <c r="D33" s="682" t="s">
        <v>489</v>
      </c>
      <c r="E33" s="682"/>
      <c r="F33" s="488" t="s">
        <v>491</v>
      </c>
      <c r="G33" s="99"/>
      <c r="H33" s="66"/>
      <c r="I33" s="71">
        <f>I29</f>
        <v>0</v>
      </c>
      <c r="J33" s="27"/>
      <c r="K33" s="65">
        <f>IF(SUM(K29:K32)=0,,SUM(K29:K32))</f>
        <v>0</v>
      </c>
      <c r="L33" s="27"/>
      <c r="M33" s="419"/>
      <c r="N33" s="461"/>
    </row>
    <row r="34" spans="1:27" ht="12.75" customHeight="1" x14ac:dyDescent="0.3">
      <c r="A34" s="447"/>
      <c r="B34" s="418"/>
      <c r="C34" s="27"/>
      <c r="D34" s="27"/>
      <c r="E34" s="27"/>
      <c r="F34" s="27"/>
      <c r="G34" s="72"/>
      <c r="H34" s="117" t="s">
        <v>4</v>
      </c>
      <c r="I34" s="788">
        <v>40</v>
      </c>
      <c r="J34" s="172" t="s">
        <v>529</v>
      </c>
      <c r="K34" s="112">
        <f>IF(I33&lt;&gt;0,I33,K33)</f>
        <v>0</v>
      </c>
      <c r="L34" s="27"/>
      <c r="M34" s="419"/>
      <c r="N34" s="461"/>
    </row>
    <row r="35" spans="1:27" ht="12.75" customHeight="1" thickBot="1" x14ac:dyDescent="0.35">
      <c r="A35" s="447"/>
      <c r="B35" s="418"/>
      <c r="C35" s="27"/>
      <c r="D35" s="27"/>
      <c r="E35" s="27"/>
      <c r="F35" s="27"/>
      <c r="G35" s="27"/>
      <c r="H35" s="27"/>
      <c r="I35" s="109"/>
      <c r="J35" s="109"/>
      <c r="K35" s="66"/>
      <c r="L35" s="27"/>
      <c r="M35" s="419"/>
    </row>
    <row r="36" spans="1:27" ht="12.75" customHeight="1" thickTop="1" x14ac:dyDescent="0.3">
      <c r="A36" s="447"/>
      <c r="B36" s="418"/>
      <c r="C36" s="466"/>
      <c r="D36" s="466"/>
      <c r="E36" s="466"/>
      <c r="F36" s="466"/>
      <c r="G36" s="466"/>
      <c r="H36" s="466"/>
      <c r="I36" s="476"/>
      <c r="J36" s="476"/>
      <c r="K36" s="477"/>
      <c r="L36" s="466"/>
      <c r="M36" s="419"/>
    </row>
    <row r="37" spans="1:27" ht="12.75" customHeight="1" x14ac:dyDescent="0.3">
      <c r="A37" s="447"/>
      <c r="B37" s="418"/>
      <c r="C37" s="27"/>
      <c r="D37" s="677" t="s">
        <v>232</v>
      </c>
      <c r="E37" s="677"/>
      <c r="F37" s="27"/>
      <c r="G37" s="102"/>
      <c r="H37" s="27"/>
      <c r="I37" s="66"/>
      <c r="J37" s="66"/>
      <c r="K37" s="66"/>
      <c r="L37" s="27"/>
      <c r="M37" s="419"/>
    </row>
    <row r="38" spans="1:27" ht="12.75" customHeight="1" x14ac:dyDescent="0.3">
      <c r="A38" s="447"/>
      <c r="B38" s="418"/>
      <c r="C38" s="27"/>
      <c r="D38" s="27"/>
      <c r="E38" s="27" t="s">
        <v>234</v>
      </c>
      <c r="F38" s="27"/>
      <c r="G38" s="27"/>
      <c r="H38" s="27"/>
      <c r="I38" s="106">
        <v>15</v>
      </c>
      <c r="J38" s="163"/>
      <c r="K38" s="113">
        <f>GEOMETRY!W9</f>
        <v>0</v>
      </c>
      <c r="L38" s="27"/>
      <c r="M38" s="419"/>
      <c r="AA38" s="208"/>
    </row>
    <row r="39" spans="1:27" ht="12.75" customHeight="1" x14ac:dyDescent="0.3">
      <c r="A39" s="447"/>
      <c r="B39" s="418"/>
      <c r="C39" s="27"/>
      <c r="D39" s="27"/>
      <c r="E39" s="27" t="s">
        <v>10</v>
      </c>
      <c r="F39" s="27"/>
      <c r="G39" s="102"/>
      <c r="H39" s="27"/>
      <c r="I39" s="106">
        <v>5</v>
      </c>
      <c r="J39" s="163"/>
      <c r="K39" s="77">
        <f>GEOMETRY!K21</f>
        <v>0</v>
      </c>
      <c r="L39" s="27"/>
      <c r="M39" s="419"/>
      <c r="AA39" s="208"/>
    </row>
    <row r="40" spans="1:27" ht="12.75" customHeight="1" x14ac:dyDescent="0.3">
      <c r="A40" s="447"/>
      <c r="B40" s="418"/>
      <c r="C40" s="27"/>
      <c r="D40" s="27"/>
      <c r="E40" s="27" t="s">
        <v>11</v>
      </c>
      <c r="F40" s="27"/>
      <c r="G40" s="27"/>
      <c r="H40" s="27"/>
      <c r="I40" s="114">
        <v>5</v>
      </c>
      <c r="J40" s="163"/>
      <c r="K40" s="107">
        <f>GEOMETRY!E21</f>
        <v>0</v>
      </c>
      <c r="L40" s="27"/>
      <c r="M40" s="419"/>
      <c r="AA40" s="208"/>
    </row>
    <row r="41" spans="1:27" ht="12.75" customHeight="1" x14ac:dyDescent="0.3">
      <c r="A41" s="447"/>
      <c r="B41" s="418"/>
      <c r="C41" s="27"/>
      <c r="D41" s="27"/>
      <c r="E41" s="27"/>
      <c r="F41" s="27"/>
      <c r="G41" s="27"/>
      <c r="H41" s="168" t="s">
        <v>4</v>
      </c>
      <c r="I41" s="65">
        <f>SUM(I38:I40)</f>
        <v>25</v>
      </c>
      <c r="J41" s="65"/>
      <c r="K41" s="460">
        <f>ROUND(SUM(K38:K40),2)</f>
        <v>0</v>
      </c>
      <c r="L41" s="27"/>
      <c r="M41" s="419"/>
      <c r="AA41" s="208"/>
    </row>
    <row r="42" spans="1:27" ht="12.75" customHeight="1" thickBot="1" x14ac:dyDescent="0.35">
      <c r="A42" s="447"/>
      <c r="B42" s="418"/>
      <c r="C42" s="27"/>
      <c r="D42" s="27"/>
      <c r="E42" s="27"/>
      <c r="F42" s="27"/>
      <c r="G42" s="27"/>
      <c r="H42" s="27"/>
      <c r="I42" s="109"/>
      <c r="J42" s="109"/>
      <c r="K42" s="66"/>
      <c r="L42" s="27"/>
      <c r="M42" s="419"/>
    </row>
    <row r="43" spans="1:27" ht="12.75" customHeight="1" thickTop="1" x14ac:dyDescent="0.3">
      <c r="A43" s="447"/>
      <c r="B43" s="418"/>
      <c r="C43" s="466"/>
      <c r="D43" s="466"/>
      <c r="E43" s="466"/>
      <c r="F43" s="466"/>
      <c r="G43" s="466"/>
      <c r="H43" s="466"/>
      <c r="I43" s="476"/>
      <c r="J43" s="476"/>
      <c r="K43" s="477"/>
      <c r="L43" s="466"/>
      <c r="M43" s="419"/>
    </row>
    <row r="44" spans="1:27" ht="12.75" customHeight="1" x14ac:dyDescent="0.3">
      <c r="A44" s="447"/>
      <c r="B44" s="418"/>
      <c r="C44" s="27"/>
      <c r="D44" s="677" t="s">
        <v>239</v>
      </c>
      <c r="E44" s="677"/>
      <c r="F44" s="147" t="s">
        <v>240</v>
      </c>
      <c r="G44" s="102"/>
      <c r="H44" s="27"/>
      <c r="I44" s="66"/>
      <c r="J44" s="66"/>
      <c r="K44" s="65"/>
      <c r="L44" s="27"/>
      <c r="M44" s="419"/>
      <c r="AA44" s="209"/>
    </row>
    <row r="45" spans="1:27" ht="12.75" customHeight="1" x14ac:dyDescent="0.3">
      <c r="A45" s="448"/>
      <c r="B45" s="483"/>
      <c r="C45" s="27"/>
      <c r="D45" s="27"/>
      <c r="E45" s="650" t="s">
        <v>511</v>
      </c>
      <c r="F45" s="27"/>
      <c r="G45" s="27"/>
      <c r="H45" s="27"/>
      <c r="I45" s="27"/>
      <c r="J45" s="27"/>
      <c r="K45" s="66"/>
      <c r="L45" s="27"/>
      <c r="M45" s="419"/>
      <c r="AA45" s="208"/>
    </row>
    <row r="46" spans="1:27" ht="12.75" customHeight="1" x14ac:dyDescent="0.3">
      <c r="A46" s="448"/>
      <c r="B46" s="483"/>
      <c r="C46" s="27"/>
      <c r="D46" s="27"/>
      <c r="E46" s="68">
        <v>1</v>
      </c>
      <c r="F46" s="84" t="s">
        <v>241</v>
      </c>
      <c r="G46" s="27"/>
      <c r="H46" s="66"/>
      <c r="I46" s="66">
        <v>25</v>
      </c>
      <c r="J46" s="66"/>
      <c r="K46" s="106">
        <f>IF('3R Checklist Safety'!C12=0,0,IF(('3R Checklist Safety'!C10/'TRAFFIC &amp; ACCIDENTS'!D12)*25&gt;25,25,('3R Checklist Safety'!C10/'TRAFFIC &amp; ACCIDENTS'!D12)*25))</f>
        <v>0</v>
      </c>
      <c r="L46" s="27"/>
      <c r="M46" s="419"/>
      <c r="AA46" s="208"/>
    </row>
    <row r="47" spans="1:27" ht="12.75" customHeight="1" x14ac:dyDescent="0.3">
      <c r="A47" s="448"/>
      <c r="B47" s="484"/>
      <c r="C47" s="27"/>
      <c r="D47" s="27"/>
      <c r="E47" s="68">
        <v>2</v>
      </c>
      <c r="F47" s="84" t="s">
        <v>242</v>
      </c>
      <c r="G47" s="27"/>
      <c r="H47" s="66"/>
      <c r="I47" s="66">
        <v>5</v>
      </c>
      <c r="J47" s="66"/>
      <c r="K47" s="106">
        <f>IF('3R Checklist Safety'!C19&gt;5,5,'3R Checklist Safety'!C19)</f>
        <v>0</v>
      </c>
      <c r="L47" s="27"/>
      <c r="M47" s="419"/>
    </row>
    <row r="48" spans="1:27" ht="12.75" customHeight="1" x14ac:dyDescent="0.3">
      <c r="A48" s="448"/>
      <c r="B48" s="418"/>
      <c r="C48" s="27"/>
      <c r="D48" s="27"/>
      <c r="E48" s="68">
        <v>3</v>
      </c>
      <c r="F48" s="84" t="s">
        <v>243</v>
      </c>
      <c r="G48" s="27"/>
      <c r="H48" s="66"/>
      <c r="I48" s="66">
        <v>15</v>
      </c>
      <c r="J48" s="66"/>
      <c r="K48" s="106">
        <f>'3R Checklist Safety'!J31</f>
        <v>0</v>
      </c>
      <c r="L48" s="27"/>
      <c r="M48" s="419"/>
    </row>
    <row r="49" spans="1:27" ht="12.75" customHeight="1" x14ac:dyDescent="0.3">
      <c r="A49" s="448"/>
      <c r="B49" s="418"/>
      <c r="C49" s="27"/>
      <c r="D49" s="27"/>
      <c r="E49" s="68">
        <v>4</v>
      </c>
      <c r="F49" s="84" t="s">
        <v>244</v>
      </c>
      <c r="G49" s="27"/>
      <c r="H49" s="66"/>
      <c r="I49" s="66">
        <v>5</v>
      </c>
      <c r="J49" s="66"/>
      <c r="K49" s="106">
        <f>IF('3R Checklist Safety'!C35&gt;5,5,'3R Checklist Safety'!C35)</f>
        <v>0</v>
      </c>
      <c r="L49" s="27"/>
      <c r="M49" s="419"/>
    </row>
    <row r="50" spans="1:27" ht="12.75" customHeight="1" x14ac:dyDescent="0.3">
      <c r="A50" s="448"/>
      <c r="B50" s="418"/>
      <c r="C50" s="27"/>
      <c r="D50" s="27"/>
      <c r="E50" s="677" t="s">
        <v>512</v>
      </c>
      <c r="F50" s="677"/>
      <c r="G50" s="677"/>
      <c r="H50" s="677"/>
      <c r="I50" s="66">
        <v>10</v>
      </c>
      <c r="J50" s="66"/>
      <c r="K50" s="114">
        <f>INTERSECTION!I30</f>
        <v>0</v>
      </c>
      <c r="L50" s="27"/>
      <c r="M50" s="419"/>
    </row>
    <row r="51" spans="1:27" ht="12.75" customHeight="1" x14ac:dyDescent="0.3">
      <c r="A51" s="448"/>
      <c r="B51" s="418"/>
      <c r="C51" s="27"/>
      <c r="D51" s="27"/>
      <c r="E51" s="68"/>
      <c r="F51" s="651"/>
      <c r="G51" s="651"/>
      <c r="H51" s="651"/>
      <c r="I51" s="66"/>
      <c r="J51" s="66"/>
      <c r="K51" s="66"/>
      <c r="L51" s="27"/>
      <c r="M51" s="419"/>
    </row>
    <row r="52" spans="1:27" ht="12.75" customHeight="1" x14ac:dyDescent="0.3">
      <c r="A52" s="448"/>
      <c r="B52" s="418"/>
      <c r="C52" s="27"/>
      <c r="D52" s="27"/>
      <c r="E52" s="27"/>
      <c r="F52" s="27"/>
      <c r="G52" s="27"/>
      <c r="H52" s="72" t="s">
        <v>515</v>
      </c>
      <c r="I52" s="109">
        <v>35</v>
      </c>
      <c r="J52" s="109"/>
      <c r="K52" s="485">
        <f>IF(SUM(K46:K50)&gt;35,35,SUM(K46:K50))</f>
        <v>0</v>
      </c>
      <c r="L52" s="27"/>
      <c r="M52" s="419"/>
    </row>
    <row r="53" spans="1:27" ht="12.75" customHeight="1" x14ac:dyDescent="0.3">
      <c r="A53" s="444"/>
      <c r="B53" s="418"/>
      <c r="C53" s="27"/>
      <c r="D53" s="27"/>
      <c r="E53" s="27"/>
      <c r="F53" s="27"/>
      <c r="G53" s="27"/>
      <c r="H53" s="66"/>
      <c r="I53" s="27"/>
      <c r="J53" s="27"/>
      <c r="K53" s="27"/>
      <c r="L53" s="27"/>
      <c r="M53" s="419"/>
      <c r="AA53" s="209"/>
    </row>
    <row r="54" spans="1:27" ht="12.75" customHeight="1" x14ac:dyDescent="0.3">
      <c r="A54" s="444"/>
      <c r="B54" s="484"/>
      <c r="C54" s="27"/>
      <c r="D54" s="172"/>
      <c r="E54" s="172"/>
      <c r="F54" s="172"/>
      <c r="G54" s="172"/>
      <c r="H54" s="72" t="s">
        <v>323</v>
      </c>
      <c r="I54" s="65">
        <f>SUM(I20,I23,I25,I34,I52,I41)</f>
        <v>150</v>
      </c>
      <c r="J54" s="65"/>
      <c r="K54" s="460" t="e">
        <f>ROUND(SUM(K20,K23,K25,K34,K41,K52),2)</f>
        <v>#DIV/0!</v>
      </c>
      <c r="L54" s="27"/>
      <c r="M54" s="419"/>
      <c r="AA54" s="208"/>
    </row>
    <row r="55" spans="1:27" ht="12.75" customHeight="1" x14ac:dyDescent="0.3">
      <c r="A55" s="444"/>
      <c r="B55" s="418"/>
      <c r="C55" s="172" t="s">
        <v>245</v>
      </c>
      <c r="D55" s="27"/>
      <c r="E55" s="27"/>
      <c r="F55" s="27"/>
      <c r="G55" s="27"/>
      <c r="H55" s="27"/>
      <c r="I55" s="66"/>
      <c r="J55" s="66"/>
      <c r="K55" s="66"/>
      <c r="L55" s="27"/>
      <c r="M55" s="419"/>
      <c r="AA55" s="208"/>
    </row>
    <row r="56" spans="1:27" ht="12.75" customHeight="1" x14ac:dyDescent="0.3">
      <c r="A56" s="444"/>
      <c r="B56" s="418"/>
      <c r="C56" s="27" t="s">
        <v>246</v>
      </c>
      <c r="D56" s="27"/>
      <c r="E56" s="27"/>
      <c r="F56" s="27"/>
      <c r="G56" s="27"/>
      <c r="H56" s="27"/>
      <c r="I56" s="66"/>
      <c r="J56" s="66"/>
      <c r="K56" s="66"/>
      <c r="L56" s="27"/>
      <c r="M56" s="419"/>
      <c r="AA56" s="209"/>
    </row>
    <row r="57" spans="1:27" ht="12.75" customHeight="1" x14ac:dyDescent="0.3">
      <c r="A57" s="444"/>
      <c r="B57" s="418"/>
      <c r="C57" s="27" t="s">
        <v>247</v>
      </c>
      <c r="D57" s="27"/>
      <c r="E57" s="27"/>
      <c r="F57" s="27"/>
      <c r="G57" s="27"/>
      <c r="H57" s="27"/>
      <c r="I57" s="27"/>
      <c r="J57" s="27"/>
      <c r="K57" s="27"/>
      <c r="L57" s="27"/>
      <c r="M57" s="419"/>
      <c r="AA57" s="208"/>
    </row>
    <row r="58" spans="1:27" ht="12.75" customHeight="1" thickBot="1" x14ac:dyDescent="0.35">
      <c r="A58" s="444"/>
      <c r="B58" s="440"/>
      <c r="C58" s="441"/>
      <c r="D58" s="441"/>
      <c r="E58" s="441"/>
      <c r="F58" s="441"/>
      <c r="G58" s="441"/>
      <c r="H58" s="442"/>
      <c r="I58" s="441"/>
      <c r="J58" s="441"/>
      <c r="K58" s="441"/>
      <c r="L58" s="441"/>
      <c r="M58" s="443"/>
      <c r="AA58" s="208"/>
    </row>
    <row r="59" spans="1:27" ht="12.75" customHeight="1" thickTop="1" x14ac:dyDescent="0.3">
      <c r="A59" s="444"/>
      <c r="AA59" s="209"/>
    </row>
    <row r="60" spans="1:27" ht="12.75" customHeight="1" x14ac:dyDescent="0.3">
      <c r="A60" s="447"/>
      <c r="H60" s="207"/>
      <c r="N60" s="208"/>
      <c r="AA60" s="208"/>
    </row>
    <row r="61" spans="1:27" ht="12.75" customHeight="1" x14ac:dyDescent="0.3">
      <c r="A61" s="444"/>
      <c r="N61" s="208"/>
      <c r="AA61" s="209"/>
    </row>
    <row r="62" spans="1:27" ht="12.75" customHeight="1" x14ac:dyDescent="0.3">
      <c r="A62" s="444"/>
    </row>
    <row r="93" spans="1:1" ht="12.75" customHeight="1" x14ac:dyDescent="0.3">
      <c r="A93" s="450"/>
    </row>
    <row r="94" spans="1:1" ht="12.75" customHeight="1" x14ac:dyDescent="0.3">
      <c r="A94" s="450"/>
    </row>
    <row r="95" spans="1:1" ht="12.75" customHeight="1" x14ac:dyDescent="0.3">
      <c r="A95" s="450"/>
    </row>
    <row r="96" spans="1:1" ht="12.75" customHeight="1" x14ac:dyDescent="0.3">
      <c r="A96" s="450"/>
    </row>
    <row r="97" spans="1:1" ht="12.75" customHeight="1" x14ac:dyDescent="0.3">
      <c r="A97" s="444"/>
    </row>
    <row r="98" spans="1:1" ht="12.75" customHeight="1" x14ac:dyDescent="0.3">
      <c r="A98" s="444"/>
    </row>
    <row r="99" spans="1:1" ht="12.75" customHeight="1" x14ac:dyDescent="0.3">
      <c r="A99" s="444"/>
    </row>
    <row r="100" spans="1:1" ht="12.75" customHeight="1" x14ac:dyDescent="0.3">
      <c r="A100" s="444"/>
    </row>
    <row r="101" spans="1:1" ht="12.75" customHeight="1" x14ac:dyDescent="0.3">
      <c r="A101" s="444"/>
    </row>
    <row r="102" spans="1:1" ht="12.75" customHeight="1" x14ac:dyDescent="0.3">
      <c r="A102" s="444"/>
    </row>
    <row r="103" spans="1:1" ht="12.75" customHeight="1" x14ac:dyDescent="0.3">
      <c r="A103" s="444"/>
    </row>
    <row r="104" spans="1:1" ht="12.75" customHeight="1" x14ac:dyDescent="0.3">
      <c r="A104" s="444"/>
    </row>
    <row r="105" spans="1:1" ht="12.75" customHeight="1" x14ac:dyDescent="0.3">
      <c r="A105" s="444"/>
    </row>
    <row r="106" spans="1:1" ht="12.75" customHeight="1" x14ac:dyDescent="0.3">
      <c r="A106" s="444"/>
    </row>
    <row r="107" spans="1:1" ht="12.75" customHeight="1" x14ac:dyDescent="0.3">
      <c r="A107" s="444"/>
    </row>
    <row r="108" spans="1:1" ht="12.75" customHeight="1" x14ac:dyDescent="0.3">
      <c r="A108" s="444"/>
    </row>
    <row r="109" spans="1:1" ht="12.75" customHeight="1" x14ac:dyDescent="0.3">
      <c r="A109" s="444"/>
    </row>
    <row r="110" spans="1:1" ht="12.75" customHeight="1" x14ac:dyDescent="0.3">
      <c r="A110" s="444"/>
    </row>
    <row r="111" spans="1:1" ht="12.75" customHeight="1" x14ac:dyDescent="0.3">
      <c r="A111" s="444"/>
    </row>
    <row r="112" spans="1:1" ht="12.75" customHeight="1" x14ac:dyDescent="0.3">
      <c r="A112" s="444"/>
    </row>
    <row r="113" spans="1:8" ht="12.75" customHeight="1" x14ac:dyDescent="0.3">
      <c r="A113" s="444"/>
    </row>
    <row r="114" spans="1:8" ht="12.75" customHeight="1" x14ac:dyDescent="0.3">
      <c r="A114" s="444"/>
    </row>
    <row r="115" spans="1:8" ht="12.75" customHeight="1" x14ac:dyDescent="0.3">
      <c r="A115" s="444"/>
    </row>
    <row r="116" spans="1:8" ht="12.75" customHeight="1" x14ac:dyDescent="0.3">
      <c r="A116" s="444"/>
    </row>
    <row r="117" spans="1:8" ht="12.75" customHeight="1" x14ac:dyDescent="0.3">
      <c r="A117" s="444"/>
    </row>
    <row r="118" spans="1:8" ht="12.75" customHeight="1" x14ac:dyDescent="0.3">
      <c r="A118" s="444"/>
    </row>
    <row r="119" spans="1:8" ht="12.75" customHeight="1" x14ac:dyDescent="0.3">
      <c r="A119" s="444"/>
    </row>
    <row r="120" spans="1:8" ht="12.75" customHeight="1" x14ac:dyDescent="0.3">
      <c r="A120" s="444"/>
    </row>
    <row r="121" spans="1:8" ht="12.75" customHeight="1" x14ac:dyDescent="0.3">
      <c r="A121" s="444"/>
    </row>
    <row r="122" spans="1:8" ht="12.75" customHeight="1" x14ac:dyDescent="0.3">
      <c r="A122" s="444"/>
    </row>
    <row r="123" spans="1:8" ht="12.75" customHeight="1" x14ac:dyDescent="0.3">
      <c r="A123" s="444"/>
    </row>
    <row r="124" spans="1:8" ht="12.75" customHeight="1" x14ac:dyDescent="0.3">
      <c r="A124" s="444"/>
    </row>
    <row r="125" spans="1:8" ht="12.75" customHeight="1" x14ac:dyDescent="0.3">
      <c r="A125" s="444"/>
    </row>
    <row r="126" spans="1:8" ht="12.75" customHeight="1" x14ac:dyDescent="0.3">
      <c r="A126" s="444"/>
    </row>
    <row r="127" spans="1:8" ht="12.75" customHeight="1" x14ac:dyDescent="0.3">
      <c r="A127" s="444"/>
      <c r="H127" s="207"/>
    </row>
    <row r="128" spans="1:8" ht="12.75" customHeight="1" x14ac:dyDescent="0.3">
      <c r="A128" s="444"/>
      <c r="H128" s="207"/>
    </row>
    <row r="129" spans="1:8" ht="12.75" customHeight="1" x14ac:dyDescent="0.3">
      <c r="A129" s="444"/>
      <c r="H129" s="207"/>
    </row>
    <row r="130" spans="1:8" ht="12.75" customHeight="1" x14ac:dyDescent="0.3">
      <c r="A130" s="444"/>
      <c r="H130" s="207"/>
    </row>
    <row r="131" spans="1:8" ht="12.75" customHeight="1" x14ac:dyDescent="0.3">
      <c r="A131" s="444"/>
      <c r="H131" s="207"/>
    </row>
    <row r="132" spans="1:8" ht="12.75" customHeight="1" x14ac:dyDescent="0.3">
      <c r="A132" s="444"/>
      <c r="H132" s="207"/>
    </row>
    <row r="133" spans="1:8" ht="12.75" customHeight="1" x14ac:dyDescent="0.3">
      <c r="A133" s="444"/>
      <c r="H133" s="207"/>
    </row>
    <row r="134" spans="1:8" ht="12.75" customHeight="1" x14ac:dyDescent="0.3">
      <c r="A134" s="444"/>
      <c r="H134" s="207"/>
    </row>
    <row r="135" spans="1:8" ht="12.75" customHeight="1" x14ac:dyDescent="0.3">
      <c r="A135" s="444"/>
    </row>
    <row r="136" spans="1:8" ht="12.75" customHeight="1" x14ac:dyDescent="0.3">
      <c r="A136" s="444"/>
    </row>
    <row r="137" spans="1:8" ht="12.75" customHeight="1" x14ac:dyDescent="0.3">
      <c r="A137" s="444"/>
    </row>
    <row r="138" spans="1:8" ht="12.75" customHeight="1" x14ac:dyDescent="0.3">
      <c r="A138" s="444"/>
    </row>
    <row r="139" spans="1:8" ht="12.75" customHeight="1" x14ac:dyDescent="0.3">
      <c r="A139" s="444"/>
    </row>
    <row r="140" spans="1:8" ht="12.75" customHeight="1" x14ac:dyDescent="0.3">
      <c r="A140" s="444"/>
    </row>
    <row r="141" spans="1:8" ht="12.75" customHeight="1" x14ac:dyDescent="0.3">
      <c r="A141" s="444"/>
    </row>
    <row r="142" spans="1:8" ht="12.75" customHeight="1" x14ac:dyDescent="0.3">
      <c r="A142" s="444"/>
    </row>
    <row r="143" spans="1:8" ht="12.75" customHeight="1" x14ac:dyDescent="0.3">
      <c r="A143" s="444"/>
    </row>
    <row r="144" spans="1:8" ht="12.75" customHeight="1" x14ac:dyDescent="0.3">
      <c r="A144" s="444"/>
    </row>
    <row r="145" spans="1:1" ht="12.75" customHeight="1" x14ac:dyDescent="0.3">
      <c r="A145" s="444"/>
    </row>
    <row r="146" spans="1:1" ht="12.75" customHeight="1" x14ac:dyDescent="0.3">
      <c r="A146" s="444"/>
    </row>
    <row r="147" spans="1:1" ht="12.75" customHeight="1" x14ac:dyDescent="0.3">
      <c r="A147" s="444"/>
    </row>
    <row r="148" spans="1:1" ht="12.75" customHeight="1" x14ac:dyDescent="0.3">
      <c r="A148" s="444"/>
    </row>
    <row r="149" spans="1:1" ht="12.75" customHeight="1" x14ac:dyDescent="0.3">
      <c r="A149" s="444"/>
    </row>
    <row r="150" spans="1:1" ht="12.75" customHeight="1" x14ac:dyDescent="0.3">
      <c r="A150" s="444"/>
    </row>
    <row r="151" spans="1:1" ht="12.75" customHeight="1" x14ac:dyDescent="0.3">
      <c r="A151" s="444"/>
    </row>
    <row r="152" spans="1:1" ht="12.75" customHeight="1" x14ac:dyDescent="0.3">
      <c r="A152" s="444"/>
    </row>
    <row r="153" spans="1:1" ht="12.75" customHeight="1" x14ac:dyDescent="0.3">
      <c r="A153" s="444"/>
    </row>
    <row r="154" spans="1:1" ht="12.75" customHeight="1" x14ac:dyDescent="0.3">
      <c r="A154" s="444"/>
    </row>
    <row r="155" spans="1:1" ht="12.75" customHeight="1" x14ac:dyDescent="0.3">
      <c r="A155" s="444"/>
    </row>
    <row r="156" spans="1:1" ht="12.75" customHeight="1" x14ac:dyDescent="0.3">
      <c r="A156" s="444"/>
    </row>
    <row r="157" spans="1:1" ht="12.75" customHeight="1" x14ac:dyDescent="0.3">
      <c r="A157" s="444"/>
    </row>
    <row r="158" spans="1:1" ht="12.75" customHeight="1" x14ac:dyDescent="0.3">
      <c r="A158" s="444"/>
    </row>
    <row r="159" spans="1:1" ht="12.75" customHeight="1" x14ac:dyDescent="0.3">
      <c r="A159" s="444"/>
    </row>
    <row r="160" spans="1:1" ht="12.75" customHeight="1" x14ac:dyDescent="0.3">
      <c r="A160" s="444"/>
    </row>
    <row r="161" spans="1:1" ht="12.75" customHeight="1" x14ac:dyDescent="0.3">
      <c r="A161" s="444"/>
    </row>
    <row r="162" spans="1:1" ht="12.75" customHeight="1" x14ac:dyDescent="0.3">
      <c r="A162" s="444"/>
    </row>
    <row r="163" spans="1:1" ht="12.75" customHeight="1" x14ac:dyDescent="0.3">
      <c r="A163" s="444"/>
    </row>
    <row r="164" spans="1:1" ht="12.75" customHeight="1" x14ac:dyDescent="0.3">
      <c r="A164" s="444"/>
    </row>
    <row r="165" spans="1:1" ht="12.75" customHeight="1" x14ac:dyDescent="0.3">
      <c r="A165" s="444"/>
    </row>
    <row r="166" spans="1:1" ht="12.75" customHeight="1" x14ac:dyDescent="0.3">
      <c r="A166" s="444"/>
    </row>
    <row r="167" spans="1:1" ht="12.75" customHeight="1" x14ac:dyDescent="0.3">
      <c r="A167" s="444"/>
    </row>
    <row r="168" spans="1:1" ht="12.75" customHeight="1" x14ac:dyDescent="0.3">
      <c r="A168" s="444"/>
    </row>
    <row r="169" spans="1:1" ht="12.75" customHeight="1" x14ac:dyDescent="0.3">
      <c r="A169" s="444"/>
    </row>
    <row r="170" spans="1:1" ht="12.75" customHeight="1" x14ac:dyDescent="0.3">
      <c r="A170" s="444"/>
    </row>
    <row r="171" spans="1:1" ht="12.75" customHeight="1" x14ac:dyDescent="0.3">
      <c r="A171" s="444"/>
    </row>
    <row r="172" spans="1:1" ht="12.75" customHeight="1" x14ac:dyDescent="0.3">
      <c r="A172" s="444"/>
    </row>
    <row r="173" spans="1:1" ht="12.75" customHeight="1" x14ac:dyDescent="0.3">
      <c r="A173" s="444"/>
    </row>
    <row r="174" spans="1:1" ht="12.75" customHeight="1" x14ac:dyDescent="0.3">
      <c r="A174" s="444"/>
    </row>
    <row r="175" spans="1:1" ht="12.75" customHeight="1" x14ac:dyDescent="0.3">
      <c r="A175" s="444"/>
    </row>
    <row r="176" spans="1:1" ht="12.75" customHeight="1" x14ac:dyDescent="0.3">
      <c r="A176" s="444"/>
    </row>
    <row r="177" spans="1:1" ht="12.75" customHeight="1" x14ac:dyDescent="0.3">
      <c r="A177" s="444"/>
    </row>
    <row r="178" spans="1:1" ht="12.75" customHeight="1" x14ac:dyDescent="0.3">
      <c r="A178" s="444"/>
    </row>
    <row r="179" spans="1:1" ht="12.75" customHeight="1" x14ac:dyDescent="0.3">
      <c r="A179" s="444"/>
    </row>
    <row r="180" spans="1:1" ht="12.75" customHeight="1" x14ac:dyDescent="0.3">
      <c r="A180" s="444"/>
    </row>
    <row r="181" spans="1:1" ht="12.75" customHeight="1" x14ac:dyDescent="0.3">
      <c r="A181" s="444"/>
    </row>
    <row r="182" spans="1:1" ht="12.75" customHeight="1" x14ac:dyDescent="0.3">
      <c r="A182" s="444"/>
    </row>
    <row r="183" spans="1:1" ht="12.75" customHeight="1" x14ac:dyDescent="0.3">
      <c r="A183" s="444"/>
    </row>
    <row r="184" spans="1:1" ht="12.75" customHeight="1" x14ac:dyDescent="0.3">
      <c r="A184" s="444"/>
    </row>
    <row r="185" spans="1:1" ht="12.75" customHeight="1" x14ac:dyDescent="0.3">
      <c r="A185" s="444"/>
    </row>
    <row r="186" spans="1:1" ht="12.75" customHeight="1" x14ac:dyDescent="0.3">
      <c r="A186" s="444"/>
    </row>
    <row r="187" spans="1:1" ht="12.75" customHeight="1" x14ac:dyDescent="0.3">
      <c r="A187" s="444"/>
    </row>
    <row r="188" spans="1:1" ht="12.75" customHeight="1" x14ac:dyDescent="0.3">
      <c r="A188" s="444"/>
    </row>
    <row r="189" spans="1:1" ht="12.75" customHeight="1" x14ac:dyDescent="0.3">
      <c r="A189" s="444"/>
    </row>
    <row r="190" spans="1:1" ht="12.75" customHeight="1" x14ac:dyDescent="0.3">
      <c r="A190" s="444"/>
    </row>
    <row r="191" spans="1:1" ht="12.75" customHeight="1" x14ac:dyDescent="0.3">
      <c r="A191" s="444"/>
    </row>
    <row r="192" spans="1:1" ht="12.75" customHeight="1" x14ac:dyDescent="0.3">
      <c r="A192" s="444"/>
    </row>
    <row r="193" spans="1:1" ht="12.75" customHeight="1" x14ac:dyDescent="0.3">
      <c r="A193" s="444"/>
    </row>
    <row r="194" spans="1:1" ht="12.75" customHeight="1" x14ac:dyDescent="0.3">
      <c r="A194" s="444"/>
    </row>
    <row r="195" spans="1:1" ht="12.75" customHeight="1" x14ac:dyDescent="0.3">
      <c r="A195" s="444"/>
    </row>
    <row r="196" spans="1:1" ht="12.75" customHeight="1" x14ac:dyDescent="0.3">
      <c r="A196" s="444"/>
    </row>
    <row r="197" spans="1:1" ht="12.75" customHeight="1" x14ac:dyDescent="0.3">
      <c r="A197" s="444"/>
    </row>
    <row r="198" spans="1:1" ht="12.75" customHeight="1" x14ac:dyDescent="0.3">
      <c r="A198" s="444"/>
    </row>
    <row r="199" spans="1:1" ht="12.75" customHeight="1" x14ac:dyDescent="0.3">
      <c r="A199" s="444"/>
    </row>
    <row r="200" spans="1:1" ht="12.75" customHeight="1" x14ac:dyDescent="0.3">
      <c r="A200" s="444"/>
    </row>
    <row r="201" spans="1:1" ht="12.75" customHeight="1" x14ac:dyDescent="0.3">
      <c r="A201" s="444"/>
    </row>
    <row r="202" spans="1:1" ht="12.75" customHeight="1" x14ac:dyDescent="0.3">
      <c r="A202" s="444"/>
    </row>
    <row r="203" spans="1:1" ht="12.75" customHeight="1" x14ac:dyDescent="0.3">
      <c r="A203" s="444"/>
    </row>
    <row r="204" spans="1:1" ht="12.75" customHeight="1" x14ac:dyDescent="0.3">
      <c r="A204" s="444"/>
    </row>
    <row r="205" spans="1:1" ht="12.75" customHeight="1" x14ac:dyDescent="0.3">
      <c r="A205" s="444"/>
    </row>
    <row r="206" spans="1:1" ht="12.75" customHeight="1" x14ac:dyDescent="0.3">
      <c r="A206" s="444"/>
    </row>
    <row r="207" spans="1:1" ht="12.75" customHeight="1" x14ac:dyDescent="0.3">
      <c r="A207" s="444"/>
    </row>
    <row r="208" spans="1:1" ht="12.75" customHeight="1" x14ac:dyDescent="0.3">
      <c r="A208" s="444"/>
    </row>
    <row r="209" spans="1:1" ht="12.75" customHeight="1" x14ac:dyDescent="0.3">
      <c r="A209" s="444"/>
    </row>
    <row r="210" spans="1:1" ht="12.75" customHeight="1" x14ac:dyDescent="0.3">
      <c r="A210" s="444"/>
    </row>
    <row r="211" spans="1:1" ht="12.75" customHeight="1" x14ac:dyDescent="0.3">
      <c r="A211" s="444"/>
    </row>
    <row r="212" spans="1:1" ht="12.75" customHeight="1" x14ac:dyDescent="0.3">
      <c r="A212" s="444"/>
    </row>
    <row r="213" spans="1:1" ht="12.75" customHeight="1" x14ac:dyDescent="0.3">
      <c r="A213" s="444"/>
    </row>
    <row r="214" spans="1:1" ht="12.75" customHeight="1" x14ac:dyDescent="0.3">
      <c r="A214" s="444"/>
    </row>
    <row r="215" spans="1:1" ht="12.75" customHeight="1" x14ac:dyDescent="0.3">
      <c r="A215" s="444"/>
    </row>
    <row r="216" spans="1:1" ht="12.75" customHeight="1" x14ac:dyDescent="0.3">
      <c r="A216" s="444"/>
    </row>
    <row r="217" spans="1:1" ht="12.75" customHeight="1" x14ac:dyDescent="0.3">
      <c r="A217" s="444"/>
    </row>
    <row r="218" spans="1:1" ht="12.75" customHeight="1" x14ac:dyDescent="0.3">
      <c r="A218" s="444"/>
    </row>
    <row r="219" spans="1:1" ht="12.75" customHeight="1" x14ac:dyDescent="0.3">
      <c r="A219" s="444"/>
    </row>
    <row r="220" spans="1:1" ht="12.75" customHeight="1" x14ac:dyDescent="0.3">
      <c r="A220" s="444"/>
    </row>
    <row r="221" spans="1:1" ht="12.75" customHeight="1" x14ac:dyDescent="0.3">
      <c r="A221" s="444"/>
    </row>
    <row r="222" spans="1:1" ht="12.75" customHeight="1" x14ac:dyDescent="0.3">
      <c r="A222" s="444"/>
    </row>
    <row r="223" spans="1:1" ht="12.75" customHeight="1" x14ac:dyDescent="0.3">
      <c r="A223" s="444"/>
    </row>
    <row r="224" spans="1:1" ht="12.75" customHeight="1" x14ac:dyDescent="0.3">
      <c r="A224" s="444"/>
    </row>
    <row r="225" spans="1:1" ht="12.75" customHeight="1" x14ac:dyDescent="0.3">
      <c r="A225" s="444"/>
    </row>
    <row r="226" spans="1:1" ht="12.75" customHeight="1" x14ac:dyDescent="0.3">
      <c r="A226" s="444"/>
    </row>
    <row r="227" spans="1:1" ht="12.75" customHeight="1" x14ac:dyDescent="0.3">
      <c r="A227" s="444"/>
    </row>
    <row r="228" spans="1:1" ht="12.75" customHeight="1" x14ac:dyDescent="0.3">
      <c r="A228" s="444"/>
    </row>
    <row r="229" spans="1:1" ht="12.75" customHeight="1" x14ac:dyDescent="0.3">
      <c r="A229" s="444"/>
    </row>
    <row r="230" spans="1:1" ht="12.75" customHeight="1" x14ac:dyDescent="0.3">
      <c r="A230" s="444"/>
    </row>
    <row r="231" spans="1:1" ht="12.75" customHeight="1" x14ac:dyDescent="0.3">
      <c r="A231" s="444"/>
    </row>
    <row r="232" spans="1:1" ht="12.75" customHeight="1" x14ac:dyDescent="0.3">
      <c r="A232" s="444"/>
    </row>
    <row r="233" spans="1:1" ht="12.75" customHeight="1" x14ac:dyDescent="0.3">
      <c r="A233" s="444"/>
    </row>
    <row r="234" spans="1:1" ht="12.75" customHeight="1" x14ac:dyDescent="0.3">
      <c r="A234" s="444"/>
    </row>
    <row r="235" spans="1:1" ht="12.75" customHeight="1" x14ac:dyDescent="0.3">
      <c r="A235" s="444"/>
    </row>
    <row r="236" spans="1:1" ht="12.75" customHeight="1" x14ac:dyDescent="0.3">
      <c r="A236" s="444"/>
    </row>
    <row r="237" spans="1:1" ht="12.75" customHeight="1" x14ac:dyDescent="0.3">
      <c r="A237" s="444"/>
    </row>
    <row r="238" spans="1:1" ht="12.75" customHeight="1" x14ac:dyDescent="0.3">
      <c r="A238" s="444"/>
    </row>
    <row r="239" spans="1:1" ht="12.75" customHeight="1" x14ac:dyDescent="0.3">
      <c r="A239" s="444"/>
    </row>
    <row r="240" spans="1:1" ht="12.75" customHeight="1" x14ac:dyDescent="0.3">
      <c r="A240" s="444"/>
    </row>
    <row r="241" spans="1:1" ht="12.75" customHeight="1" x14ac:dyDescent="0.3">
      <c r="A241" s="444"/>
    </row>
    <row r="242" spans="1:1" ht="12.75" customHeight="1" x14ac:dyDescent="0.3">
      <c r="A242" s="444"/>
    </row>
    <row r="243" spans="1:1" ht="12.75" customHeight="1" x14ac:dyDescent="0.3">
      <c r="A243" s="444"/>
    </row>
    <row r="244" spans="1:1" ht="12.75" customHeight="1" x14ac:dyDescent="0.3">
      <c r="A244" s="444"/>
    </row>
    <row r="245" spans="1:1" ht="12.75" customHeight="1" x14ac:dyDescent="0.3">
      <c r="A245" s="444"/>
    </row>
    <row r="246" spans="1:1" ht="12.75" customHeight="1" x14ac:dyDescent="0.3">
      <c r="A246" s="444"/>
    </row>
    <row r="247" spans="1:1" ht="12.75" customHeight="1" x14ac:dyDescent="0.3">
      <c r="A247" s="444"/>
    </row>
    <row r="248" spans="1:1" ht="12.75" customHeight="1" x14ac:dyDescent="0.3">
      <c r="A248" s="444"/>
    </row>
    <row r="249" spans="1:1" ht="12.75" customHeight="1" x14ac:dyDescent="0.3">
      <c r="A249" s="444"/>
    </row>
    <row r="250" spans="1:1" ht="12.75" customHeight="1" x14ac:dyDescent="0.3">
      <c r="A250" s="444"/>
    </row>
    <row r="251" spans="1:1" ht="12.75" customHeight="1" x14ac:dyDescent="0.3">
      <c r="A251" s="444"/>
    </row>
    <row r="252" spans="1:1" ht="12.75" customHeight="1" x14ac:dyDescent="0.3">
      <c r="A252" s="444"/>
    </row>
    <row r="253" spans="1:1" ht="12.75" customHeight="1" x14ac:dyDescent="0.3">
      <c r="A253" s="444"/>
    </row>
    <row r="254" spans="1:1" ht="12.75" customHeight="1" x14ac:dyDescent="0.3">
      <c r="A254" s="444"/>
    </row>
    <row r="255" spans="1:1" ht="12.75" customHeight="1" x14ac:dyDescent="0.3">
      <c r="A255" s="444"/>
    </row>
    <row r="256" spans="1:1" ht="12.75" customHeight="1" x14ac:dyDescent="0.3">
      <c r="A256" s="444"/>
    </row>
    <row r="257" spans="1:1" ht="12.75" customHeight="1" x14ac:dyDescent="0.3">
      <c r="A257" s="444"/>
    </row>
    <row r="258" spans="1:1" ht="12.75" customHeight="1" x14ac:dyDescent="0.3">
      <c r="A258" s="444"/>
    </row>
    <row r="259" spans="1:1" ht="12.75" customHeight="1" x14ac:dyDescent="0.3">
      <c r="A259" s="444"/>
    </row>
    <row r="260" spans="1:1" ht="12.75" customHeight="1" x14ac:dyDescent="0.3">
      <c r="A260" s="444"/>
    </row>
    <row r="261" spans="1:1" ht="12.75" customHeight="1" x14ac:dyDescent="0.3">
      <c r="A261" s="444"/>
    </row>
    <row r="262" spans="1:1" ht="12.75" customHeight="1" x14ac:dyDescent="0.3">
      <c r="A262" s="444"/>
    </row>
    <row r="263" spans="1:1" ht="12.75" customHeight="1" x14ac:dyDescent="0.3">
      <c r="A263" s="444"/>
    </row>
    <row r="264" spans="1:1" ht="12.75" customHeight="1" x14ac:dyDescent="0.3">
      <c r="A264" s="444"/>
    </row>
    <row r="265" spans="1:1" ht="12.75" customHeight="1" x14ac:dyDescent="0.3">
      <c r="A265" s="444"/>
    </row>
    <row r="266" spans="1:1" ht="12.75" customHeight="1" x14ac:dyDescent="0.3">
      <c r="A266" s="444"/>
    </row>
    <row r="267" spans="1:1" ht="12.75" customHeight="1" x14ac:dyDescent="0.3">
      <c r="A267" s="444"/>
    </row>
    <row r="268" spans="1:1" ht="12.75" customHeight="1" x14ac:dyDescent="0.3">
      <c r="A268" s="444"/>
    </row>
    <row r="269" spans="1:1" ht="12.75" customHeight="1" x14ac:dyDescent="0.3">
      <c r="A269" s="444"/>
    </row>
    <row r="270" spans="1:1" ht="12.75" customHeight="1" x14ac:dyDescent="0.3">
      <c r="A270" s="444"/>
    </row>
    <row r="271" spans="1:1" ht="12.75" customHeight="1" x14ac:dyDescent="0.3">
      <c r="A271" s="444"/>
    </row>
    <row r="272" spans="1:1" ht="12.75" customHeight="1" x14ac:dyDescent="0.3">
      <c r="A272" s="444"/>
    </row>
    <row r="273" spans="1:1" ht="12.75" customHeight="1" x14ac:dyDescent="0.3">
      <c r="A273" s="444"/>
    </row>
    <row r="274" spans="1:1" ht="12.75" customHeight="1" x14ac:dyDescent="0.3">
      <c r="A274" s="444"/>
    </row>
    <row r="275" spans="1:1" ht="12.75" customHeight="1" x14ac:dyDescent="0.3">
      <c r="A275" s="444"/>
    </row>
    <row r="276" spans="1:1" ht="12.75" customHeight="1" x14ac:dyDescent="0.3">
      <c r="A276" s="444"/>
    </row>
    <row r="277" spans="1:1" ht="12.75" customHeight="1" x14ac:dyDescent="0.3">
      <c r="A277" s="444"/>
    </row>
    <row r="278" spans="1:1" ht="12.75" customHeight="1" x14ac:dyDescent="0.3">
      <c r="A278" s="444"/>
    </row>
    <row r="279" spans="1:1" ht="12.75" customHeight="1" x14ac:dyDescent="0.3">
      <c r="A279" s="444"/>
    </row>
    <row r="280" spans="1:1" ht="12.75" customHeight="1" x14ac:dyDescent="0.3">
      <c r="A280" s="444"/>
    </row>
    <row r="281" spans="1:1" ht="12.75" customHeight="1" x14ac:dyDescent="0.3">
      <c r="A281" s="444"/>
    </row>
    <row r="282" spans="1:1" ht="12.75" customHeight="1" x14ac:dyDescent="0.3">
      <c r="A282" s="444"/>
    </row>
    <row r="283" spans="1:1" ht="12.75" customHeight="1" x14ac:dyDescent="0.3">
      <c r="A283" s="444"/>
    </row>
    <row r="284" spans="1:1" ht="12.75" customHeight="1" x14ac:dyDescent="0.3">
      <c r="A284" s="444"/>
    </row>
    <row r="285" spans="1:1" ht="12.75" customHeight="1" x14ac:dyDescent="0.3">
      <c r="A285" s="444"/>
    </row>
    <row r="286" spans="1:1" ht="12.75" customHeight="1" x14ac:dyDescent="0.3">
      <c r="A286" s="444"/>
    </row>
    <row r="287" spans="1:1" ht="12.75" customHeight="1" x14ac:dyDescent="0.3">
      <c r="A287" s="444"/>
    </row>
    <row r="288" spans="1:1" ht="12.75" customHeight="1" x14ac:dyDescent="0.3">
      <c r="A288" s="444"/>
    </row>
    <row r="289" spans="1:1" ht="12.75" customHeight="1" x14ac:dyDescent="0.3">
      <c r="A289" s="444"/>
    </row>
    <row r="290" spans="1:1" ht="12.75" customHeight="1" x14ac:dyDescent="0.3">
      <c r="A290" s="444"/>
    </row>
    <row r="291" spans="1:1" ht="12.75" customHeight="1" x14ac:dyDescent="0.3">
      <c r="A291" s="444"/>
    </row>
    <row r="292" spans="1:1" ht="12.75" customHeight="1" x14ac:dyDescent="0.3">
      <c r="A292" s="444"/>
    </row>
    <row r="293" spans="1:1" ht="12.75" customHeight="1" x14ac:dyDescent="0.3">
      <c r="A293" s="444"/>
    </row>
    <row r="294" spans="1:1" ht="12.75" customHeight="1" x14ac:dyDescent="0.3">
      <c r="A294" s="444"/>
    </row>
    <row r="295" spans="1:1" ht="12.75" customHeight="1" x14ac:dyDescent="0.3">
      <c r="A295" s="444"/>
    </row>
    <row r="296" spans="1:1" ht="12.75" customHeight="1" x14ac:dyDescent="0.3">
      <c r="A296" s="444"/>
    </row>
    <row r="297" spans="1:1" ht="12.75" customHeight="1" x14ac:dyDescent="0.3">
      <c r="A297" s="444"/>
    </row>
    <row r="298" spans="1:1" ht="12.75" customHeight="1" x14ac:dyDescent="0.3">
      <c r="A298" s="444"/>
    </row>
    <row r="299" spans="1:1" ht="12.75" customHeight="1" x14ac:dyDescent="0.3">
      <c r="A299" s="444"/>
    </row>
    <row r="300" spans="1:1" ht="12.75" customHeight="1" x14ac:dyDescent="0.3">
      <c r="A300" s="444"/>
    </row>
    <row r="301" spans="1:1" ht="12.75" customHeight="1" x14ac:dyDescent="0.3">
      <c r="A301" s="444"/>
    </row>
    <row r="302" spans="1:1" ht="12.75" customHeight="1" x14ac:dyDescent="0.3">
      <c r="A302" s="444"/>
    </row>
    <row r="303" spans="1:1" ht="12.75" customHeight="1" x14ac:dyDescent="0.3">
      <c r="A303" s="444"/>
    </row>
    <row r="304" spans="1:1" ht="12.75" customHeight="1" x14ac:dyDescent="0.3">
      <c r="A304" s="444"/>
    </row>
    <row r="305" spans="1:1" ht="12.75" customHeight="1" x14ac:dyDescent="0.3">
      <c r="A305" s="444"/>
    </row>
    <row r="306" spans="1:1" ht="12.75" customHeight="1" x14ac:dyDescent="0.3">
      <c r="A306" s="444"/>
    </row>
    <row r="307" spans="1:1" ht="12.75" customHeight="1" x14ac:dyDescent="0.3">
      <c r="A307" s="444"/>
    </row>
    <row r="308" spans="1:1" ht="12.75" customHeight="1" x14ac:dyDescent="0.3">
      <c r="A308" s="444"/>
    </row>
    <row r="309" spans="1:1" ht="12.75" customHeight="1" x14ac:dyDescent="0.3">
      <c r="A309" s="444"/>
    </row>
    <row r="310" spans="1:1" ht="12.75" customHeight="1" x14ac:dyDescent="0.3">
      <c r="A310" s="444"/>
    </row>
    <row r="311" spans="1:1" ht="12.75" customHeight="1" x14ac:dyDescent="0.3">
      <c r="A311" s="444"/>
    </row>
    <row r="312" spans="1:1" ht="12.75" customHeight="1" x14ac:dyDescent="0.3">
      <c r="A312" s="444"/>
    </row>
    <row r="313" spans="1:1" ht="12.75" customHeight="1" x14ac:dyDescent="0.3">
      <c r="A313" s="444"/>
    </row>
    <row r="314" spans="1:1" ht="12.75" customHeight="1" x14ac:dyDescent="0.3">
      <c r="A314" s="444"/>
    </row>
    <row r="315" spans="1:1" ht="12.75" customHeight="1" x14ac:dyDescent="0.3">
      <c r="A315" s="444"/>
    </row>
    <row r="316" spans="1:1" ht="12.75" customHeight="1" x14ac:dyDescent="0.3">
      <c r="A316" s="444"/>
    </row>
    <row r="317" spans="1:1" ht="12.75" customHeight="1" x14ac:dyDescent="0.3">
      <c r="A317" s="444"/>
    </row>
    <row r="318" spans="1:1" ht="12.75" customHeight="1" x14ac:dyDescent="0.3">
      <c r="A318" s="444"/>
    </row>
    <row r="319" spans="1:1" ht="12.75" customHeight="1" x14ac:dyDescent="0.3">
      <c r="A319" s="444"/>
    </row>
    <row r="320" spans="1:1" ht="12.75" customHeight="1" x14ac:dyDescent="0.3">
      <c r="A320" s="444"/>
    </row>
    <row r="321" spans="1:1" ht="12.75" customHeight="1" x14ac:dyDescent="0.3">
      <c r="A321" s="444"/>
    </row>
    <row r="322" spans="1:1" ht="12.75" customHeight="1" x14ac:dyDescent="0.3">
      <c r="A322" s="444"/>
    </row>
    <row r="323" spans="1:1" ht="12.75" customHeight="1" x14ac:dyDescent="0.3">
      <c r="A323" s="444"/>
    </row>
    <row r="324" spans="1:1" ht="12.75" customHeight="1" x14ac:dyDescent="0.3">
      <c r="A324" s="444"/>
    </row>
    <row r="325" spans="1:1" ht="12.75" customHeight="1" x14ac:dyDescent="0.3">
      <c r="A325" s="444"/>
    </row>
    <row r="326" spans="1:1" ht="12.75" customHeight="1" x14ac:dyDescent="0.3">
      <c r="A326" s="444"/>
    </row>
    <row r="327" spans="1:1" ht="12.75" customHeight="1" x14ac:dyDescent="0.3">
      <c r="A327" s="444"/>
    </row>
    <row r="328" spans="1:1" ht="12.75" customHeight="1" x14ac:dyDescent="0.3">
      <c r="A328" s="444"/>
    </row>
    <row r="329" spans="1:1" ht="12.75" customHeight="1" x14ac:dyDescent="0.3">
      <c r="A329" s="444"/>
    </row>
    <row r="330" spans="1:1" ht="12.75" customHeight="1" x14ac:dyDescent="0.3">
      <c r="A330" s="444"/>
    </row>
    <row r="331" spans="1:1" ht="12.75" customHeight="1" x14ac:dyDescent="0.3">
      <c r="A331" s="444"/>
    </row>
    <row r="332" spans="1:1" ht="12.75" customHeight="1" x14ac:dyDescent="0.3">
      <c r="A332" s="444"/>
    </row>
    <row r="333" spans="1:1" ht="12.75" customHeight="1" x14ac:dyDescent="0.3">
      <c r="A333" s="444"/>
    </row>
    <row r="334" spans="1:1" ht="12.75" customHeight="1" x14ac:dyDescent="0.3">
      <c r="A334" s="444"/>
    </row>
    <row r="335" spans="1:1" ht="12.75" customHeight="1" x14ac:dyDescent="0.3">
      <c r="A335" s="444"/>
    </row>
    <row r="336" spans="1:1" ht="12.75" customHeight="1" x14ac:dyDescent="0.3">
      <c r="A336" s="444"/>
    </row>
    <row r="337" spans="1:1" ht="12.75" customHeight="1" x14ac:dyDescent="0.3">
      <c r="A337" s="444"/>
    </row>
    <row r="338" spans="1:1" ht="12.75" customHeight="1" x14ac:dyDescent="0.3">
      <c r="A338" s="444"/>
    </row>
    <row r="339" spans="1:1" ht="12.75" customHeight="1" x14ac:dyDescent="0.3">
      <c r="A339" s="444"/>
    </row>
    <row r="340" spans="1:1" ht="12.75" customHeight="1" x14ac:dyDescent="0.3">
      <c r="A340" s="444"/>
    </row>
    <row r="341" spans="1:1" ht="12.75" customHeight="1" x14ac:dyDescent="0.3">
      <c r="A341" s="444"/>
    </row>
    <row r="342" spans="1:1" ht="12.75" customHeight="1" x14ac:dyDescent="0.3">
      <c r="A342" s="444"/>
    </row>
    <row r="343" spans="1:1" ht="12.75" customHeight="1" x14ac:dyDescent="0.3">
      <c r="A343" s="444"/>
    </row>
    <row r="344" spans="1:1" ht="12.75" customHeight="1" x14ac:dyDescent="0.3">
      <c r="A344" s="444"/>
    </row>
    <row r="345" spans="1:1" ht="12.75" customHeight="1" x14ac:dyDescent="0.3">
      <c r="A345" s="444"/>
    </row>
    <row r="346" spans="1:1" ht="12.75" customHeight="1" x14ac:dyDescent="0.3">
      <c r="A346" s="444"/>
    </row>
    <row r="347" spans="1:1" ht="12.75" customHeight="1" x14ac:dyDescent="0.3">
      <c r="A347" s="444"/>
    </row>
    <row r="348" spans="1:1" ht="12.75" customHeight="1" x14ac:dyDescent="0.3">
      <c r="A348" s="444"/>
    </row>
    <row r="349" spans="1:1" ht="12.75" customHeight="1" x14ac:dyDescent="0.3">
      <c r="A349" s="444"/>
    </row>
    <row r="350" spans="1:1" ht="12.75" customHeight="1" x14ac:dyDescent="0.3">
      <c r="A350" s="444"/>
    </row>
    <row r="351" spans="1:1" ht="12.75" customHeight="1" x14ac:dyDescent="0.3">
      <c r="A351" s="444"/>
    </row>
    <row r="352" spans="1:1" ht="12.75" customHeight="1" x14ac:dyDescent="0.3">
      <c r="A352" s="444"/>
    </row>
    <row r="353" spans="1:1" ht="12.75" customHeight="1" x14ac:dyDescent="0.3">
      <c r="A353" s="444"/>
    </row>
    <row r="354" spans="1:1" ht="12.75" customHeight="1" x14ac:dyDescent="0.3">
      <c r="A354" s="444"/>
    </row>
    <row r="355" spans="1:1" ht="12.75" customHeight="1" x14ac:dyDescent="0.3">
      <c r="A355" s="444"/>
    </row>
    <row r="356" spans="1:1" ht="12.75" customHeight="1" x14ac:dyDescent="0.3">
      <c r="A356" s="444"/>
    </row>
    <row r="357" spans="1:1" ht="12.75" customHeight="1" x14ac:dyDescent="0.3">
      <c r="A357" s="444"/>
    </row>
    <row r="358" spans="1:1" ht="12.75" customHeight="1" x14ac:dyDescent="0.3">
      <c r="A358" s="444"/>
    </row>
    <row r="359" spans="1:1" ht="12.75" customHeight="1" x14ac:dyDescent="0.3">
      <c r="A359" s="444"/>
    </row>
    <row r="360" spans="1:1" ht="12.75" customHeight="1" x14ac:dyDescent="0.3">
      <c r="A360" s="444"/>
    </row>
    <row r="361" spans="1:1" ht="12.75" customHeight="1" x14ac:dyDescent="0.3">
      <c r="A361" s="444"/>
    </row>
    <row r="362" spans="1:1" ht="12.75" customHeight="1" x14ac:dyDescent="0.3">
      <c r="A362" s="444"/>
    </row>
    <row r="363" spans="1:1" ht="12.75" customHeight="1" x14ac:dyDescent="0.3">
      <c r="A363" s="444"/>
    </row>
    <row r="364" spans="1:1" ht="12.75" customHeight="1" x14ac:dyDescent="0.3">
      <c r="A364" s="444"/>
    </row>
    <row r="365" spans="1:1" ht="12.75" customHeight="1" x14ac:dyDescent="0.3">
      <c r="A365" s="444"/>
    </row>
    <row r="366" spans="1:1" ht="12.75" customHeight="1" x14ac:dyDescent="0.3">
      <c r="A366" s="444"/>
    </row>
  </sheetData>
  <sheetProtection algorithmName="SHA-512" hashValue="YgF2o69a0haUxylCJ64PSL9TBIrZWvAtaPNHP8z5++zZf6M+3Sk+VwpGG1qnNjIJAoTC21VCy5/wPWJnl8ASjQ==" saltValue="I1APEGREcyoQznUmFdxCjA==" spinCount="100000" sheet="1" selectLockedCells="1"/>
  <mergeCells count="23">
    <mergeCell ref="J4:M5"/>
    <mergeCell ref="F5:I5"/>
    <mergeCell ref="J6:M7"/>
    <mergeCell ref="F10:I11"/>
    <mergeCell ref="L29:L30"/>
    <mergeCell ref="K29:K30"/>
    <mergeCell ref="D23:F23"/>
    <mergeCell ref="D28:G28"/>
    <mergeCell ref="I29:I31"/>
    <mergeCell ref="I27:I28"/>
    <mergeCell ref="E50:H50"/>
    <mergeCell ref="E3:G3"/>
    <mergeCell ref="C4:E4"/>
    <mergeCell ref="F4:G4"/>
    <mergeCell ref="D16:E16"/>
    <mergeCell ref="D25:E25"/>
    <mergeCell ref="D37:E37"/>
    <mergeCell ref="D44:E44"/>
    <mergeCell ref="D29:E31"/>
    <mergeCell ref="D32:E32"/>
    <mergeCell ref="D33:E33"/>
    <mergeCell ref="G25:H25"/>
    <mergeCell ref="G23:H23"/>
  </mergeCells>
  <phoneticPr fontId="0" type="noConversion"/>
  <conditionalFormatting sqref="K54">
    <cfRule type="expression" dxfId="31" priority="32" stopIfTrue="1">
      <formula>ISERROR($K$54)</formula>
    </cfRule>
  </conditionalFormatting>
  <conditionalFormatting sqref="I29:I31 I33 K29:K33 K38:K40 K17:K19 K51">
    <cfRule type="cellIs" dxfId="30" priority="34" stopIfTrue="1" operator="equal">
      <formula>0</formula>
    </cfRule>
  </conditionalFormatting>
  <conditionalFormatting sqref="K52">
    <cfRule type="expression" dxfId="29" priority="35" stopIfTrue="1">
      <formula>ISERROR($K$52)</formula>
    </cfRule>
  </conditionalFormatting>
  <conditionalFormatting sqref="K48:K49">
    <cfRule type="expression" dxfId="28" priority="36" stopIfTrue="1">
      <formula>ISERROR($K$48)</formula>
    </cfRule>
  </conditionalFormatting>
  <conditionalFormatting sqref="K41">
    <cfRule type="expression" dxfId="27" priority="37" stopIfTrue="1">
      <formula>ISERROR($K$41)</formula>
    </cfRule>
  </conditionalFormatting>
  <conditionalFormatting sqref="J39">
    <cfRule type="expression" dxfId="26" priority="43" stopIfTrue="1">
      <formula>ISERROR($J$41)</formula>
    </cfRule>
  </conditionalFormatting>
  <conditionalFormatting sqref="J40">
    <cfRule type="expression" dxfId="25" priority="44" stopIfTrue="1">
      <formula>ISERROR(#REF!)</formula>
    </cfRule>
  </conditionalFormatting>
  <conditionalFormatting sqref="K19">
    <cfRule type="containsErrors" dxfId="24" priority="46" stopIfTrue="1">
      <formula>ISERROR(K19)</formula>
    </cfRule>
  </conditionalFormatting>
  <conditionalFormatting sqref="K20:K21">
    <cfRule type="containsErrors" dxfId="23" priority="5" stopIfTrue="1">
      <formula>ISERROR(K20)</formula>
    </cfRule>
  </conditionalFormatting>
  <conditionalFormatting sqref="K47">
    <cfRule type="expression" dxfId="22" priority="3" stopIfTrue="1">
      <formula>ISERROR($K$48)</formula>
    </cfRule>
  </conditionalFormatting>
  <conditionalFormatting sqref="K50">
    <cfRule type="expression" dxfId="21" priority="2" stopIfTrue="1">
      <formula>ISERROR($K$48)</formula>
    </cfRule>
  </conditionalFormatting>
  <conditionalFormatting sqref="K46">
    <cfRule type="expression" dxfId="20" priority="1" stopIfTrue="1">
      <formula>ISERROR($K$48)</formula>
    </cfRule>
  </conditionalFormatting>
  <hyperlinks>
    <hyperlink ref="D16:E16" location="'TRAFFIC &amp; ACCIDENTS'!D9" display="TRAFFIC:" xr:uid="{00000000-0004-0000-0000-000000000000}"/>
    <hyperlink ref="D25:E25" location="'Local &amp; Links'!F6" display="MISSING LINKS" xr:uid="{00000000-0004-0000-0000-000001000000}"/>
    <hyperlink ref="D23:F23" location="'Local &amp; Links'!A1" display="LOCAL SIGNIFICANCE" xr:uid="{00000000-0004-0000-0000-000002000000}"/>
    <hyperlink ref="D28:G28" location="STRUCTURE!I6" display="STRUCTURAL CONDITION:" xr:uid="{00000000-0004-0000-0000-000003000000}"/>
    <hyperlink ref="D37:E37" location="GEOMETRY!D6" display="GEOMETRY:" xr:uid="{00000000-0004-0000-0000-000004000000}"/>
    <hyperlink ref="D44:E44" location="'3R Checklist Safety'!C10" display="3R CHECKLIST:" xr:uid="{00000000-0004-0000-0000-000005000000}"/>
    <hyperlink ref="E50:H50" location="INTERSECTION!B17" display="Intersection Improvements - CMFs:" xr:uid="{00000000-0004-0000-0000-000006000000}"/>
  </hyperlinks>
  <pageMargins left="0.42" right="0.5" top="0.5" bottom="0.4" header="0.3" footer="0.25"/>
  <pageSetup orientation="portrait" r:id="rId1"/>
  <headerFooter alignWithMargins="0">
    <oddFooter>&amp;L&amp;8http://www.crab.wa.gov/grants/SERWKSHT - 3R.xls&amp;C&amp;6
&amp;R7/14/04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T65"/>
  <sheetViews>
    <sheetView showGridLines="0" workbookViewId="0">
      <selection activeCell="A30" sqref="A30"/>
    </sheetView>
  </sheetViews>
  <sheetFormatPr defaultColWidth="9.1796875" defaultRowHeight="14.15" customHeight="1" x14ac:dyDescent="0.3"/>
  <cols>
    <col min="1" max="3" width="9.1796875" style="364"/>
    <col min="4" max="13" width="7.7265625" style="364" customWidth="1"/>
    <col min="14" max="16384" width="9.1796875" style="364"/>
  </cols>
  <sheetData>
    <row r="3" spans="1:13" ht="14.15" customHeight="1" thickBot="1" x14ac:dyDescent="0.35"/>
    <row r="4" spans="1:13" ht="14.15" customHeight="1" x14ac:dyDescent="0.35">
      <c r="A4" s="365"/>
      <c r="B4" s="572"/>
      <c r="C4" s="157"/>
      <c r="D4" s="368"/>
      <c r="E4" s="157"/>
      <c r="F4" s="369"/>
      <c r="G4" s="369"/>
      <c r="H4" s="369"/>
      <c r="I4" s="369"/>
      <c r="J4" s="378" t="s">
        <v>477</v>
      </c>
      <c r="K4" s="378"/>
      <c r="L4" s="145"/>
      <c r="M4" s="365"/>
    </row>
    <row r="5" spans="1:13" ht="14.15" customHeight="1" x14ac:dyDescent="0.35">
      <c r="A5" s="365"/>
      <c r="B5" s="573" t="s">
        <v>223</v>
      </c>
      <c r="C5" s="99"/>
      <c r="D5" s="158"/>
      <c r="E5" s="99"/>
      <c r="F5" s="206"/>
      <c r="G5" s="206"/>
      <c r="H5" s="206"/>
      <c r="I5" s="206"/>
      <c r="J5" s="379"/>
      <c r="K5" s="379"/>
      <c r="L5" s="148"/>
      <c r="M5" s="365"/>
    </row>
    <row r="6" spans="1:13" ht="14.15" customHeight="1" x14ac:dyDescent="0.3">
      <c r="A6" s="365"/>
      <c r="B6" s="574"/>
      <c r="C6" s="146"/>
      <c r="D6" s="146"/>
      <c r="E6" s="159"/>
      <c r="F6" s="27"/>
      <c r="G6" s="27"/>
      <c r="H6" s="27"/>
      <c r="I6" s="27"/>
      <c r="J6" s="27"/>
      <c r="K6" s="27"/>
      <c r="L6" s="148"/>
      <c r="M6" s="365"/>
    </row>
    <row r="7" spans="1:13" ht="14.15" customHeight="1" x14ac:dyDescent="0.3">
      <c r="A7" s="365"/>
      <c r="B7" s="573"/>
      <c r="C7" s="98" t="s">
        <v>120</v>
      </c>
      <c r="D7" s="160"/>
      <c r="E7" s="161"/>
      <c r="F7" s="98" t="s">
        <v>298</v>
      </c>
      <c r="G7" s="323"/>
      <c r="H7" s="99"/>
      <c r="I7" s="27"/>
      <c r="J7" s="169" t="s">
        <v>122</v>
      </c>
      <c r="K7" s="160"/>
      <c r="L7" s="148"/>
      <c r="M7" s="365"/>
    </row>
    <row r="8" spans="1:13" ht="14.15" customHeight="1" x14ac:dyDescent="0.3">
      <c r="A8" s="365"/>
      <c r="B8" s="575"/>
      <c r="C8" s="27"/>
      <c r="D8" s="27"/>
      <c r="E8" s="162"/>
      <c r="F8" s="99"/>
      <c r="G8" s="159" t="s">
        <v>121</v>
      </c>
      <c r="H8" s="66" t="s">
        <v>299</v>
      </c>
      <c r="I8" s="27"/>
      <c r="J8" s="698" t="s">
        <v>520</v>
      </c>
      <c r="K8" s="698"/>
      <c r="L8" s="699"/>
      <c r="M8" s="366"/>
    </row>
    <row r="9" spans="1:13" ht="14.15" customHeight="1" x14ac:dyDescent="0.3">
      <c r="A9" s="365"/>
      <c r="B9" s="575"/>
      <c r="C9" s="163" t="s">
        <v>17</v>
      </c>
      <c r="D9" s="96"/>
      <c r="E9" s="99"/>
      <c r="F9" s="180" t="s">
        <v>300</v>
      </c>
      <c r="G9" s="213"/>
      <c r="H9" s="57" t="str">
        <f>IF(G9&lt;&gt;0,1,"")</f>
        <v/>
      </c>
      <c r="I9" s="27"/>
      <c r="J9" s="698"/>
      <c r="K9" s="698"/>
      <c r="L9" s="699"/>
      <c r="M9" s="365"/>
    </row>
    <row r="10" spans="1:13" ht="14.15" customHeight="1" x14ac:dyDescent="0.3">
      <c r="A10" s="365"/>
      <c r="B10" s="575"/>
      <c r="C10" s="163" t="s">
        <v>83</v>
      </c>
      <c r="D10" s="96"/>
      <c r="E10" s="99"/>
      <c r="F10" s="180" t="s">
        <v>301</v>
      </c>
      <c r="G10" s="213"/>
      <c r="H10" s="57" t="str">
        <f t="shared" ref="H10:H18" si="0">IF(G10&lt;&gt;0,1,"")</f>
        <v/>
      </c>
      <c r="I10" s="27"/>
      <c r="J10" s="182"/>
      <c r="K10" s="57" t="s">
        <v>356</v>
      </c>
      <c r="L10" s="165"/>
      <c r="M10" s="367"/>
    </row>
    <row r="11" spans="1:13" ht="14.15" customHeight="1" x14ac:dyDescent="0.3">
      <c r="A11" s="365"/>
      <c r="B11" s="575"/>
      <c r="C11" s="68" t="s">
        <v>435</v>
      </c>
      <c r="D11" s="276"/>
      <c r="E11" s="141"/>
      <c r="F11" s="180" t="s">
        <v>302</v>
      </c>
      <c r="G11" s="213"/>
      <c r="H11" s="57" t="str">
        <f t="shared" si="0"/>
        <v/>
      </c>
      <c r="I11" s="27"/>
      <c r="J11" s="164" t="s">
        <v>310</v>
      </c>
      <c r="K11" s="96"/>
      <c r="L11" s="165"/>
      <c r="M11" s="367"/>
    </row>
    <row r="12" spans="1:13" ht="14.15" customHeight="1" x14ac:dyDescent="0.3">
      <c r="A12" s="365"/>
      <c r="B12" s="575"/>
      <c r="C12" s="164" t="s">
        <v>224</v>
      </c>
      <c r="D12" s="578">
        <f>'3R RATING SUMMARY'!F6</f>
        <v>0</v>
      </c>
      <c r="E12" s="27"/>
      <c r="F12" s="180" t="s">
        <v>303</v>
      </c>
      <c r="G12" s="213"/>
      <c r="H12" s="57" t="str">
        <f t="shared" si="0"/>
        <v/>
      </c>
      <c r="I12" s="27"/>
      <c r="J12" s="164" t="s">
        <v>297</v>
      </c>
      <c r="K12" s="96"/>
      <c r="L12" s="165"/>
      <c r="M12" s="367"/>
    </row>
    <row r="13" spans="1:13" ht="14.15" customHeight="1" x14ac:dyDescent="0.3">
      <c r="A13" s="365"/>
      <c r="B13" s="575"/>
      <c r="C13" s="380"/>
      <c r="D13" s="380"/>
      <c r="E13" s="134"/>
      <c r="F13" s="180" t="s">
        <v>304</v>
      </c>
      <c r="G13" s="213"/>
      <c r="H13" s="57" t="str">
        <f t="shared" si="0"/>
        <v/>
      </c>
      <c r="I13" s="27"/>
      <c r="J13" s="27"/>
      <c r="K13" s="27"/>
      <c r="L13" s="148"/>
      <c r="M13" s="365"/>
    </row>
    <row r="14" spans="1:13" ht="14.15" customHeight="1" x14ac:dyDescent="0.3">
      <c r="A14" s="365"/>
      <c r="B14" s="575"/>
      <c r="C14" s="163"/>
      <c r="D14" s="57"/>
      <c r="E14" s="134"/>
      <c r="F14" s="180" t="s">
        <v>305</v>
      </c>
      <c r="G14" s="213"/>
      <c r="H14" s="57" t="str">
        <f t="shared" si="0"/>
        <v/>
      </c>
      <c r="I14" s="27"/>
      <c r="J14" s="27"/>
      <c r="K14" s="27"/>
      <c r="L14" s="148"/>
      <c r="M14" s="365"/>
    </row>
    <row r="15" spans="1:13" ht="14.15" customHeight="1" x14ac:dyDescent="0.3">
      <c r="A15" s="365"/>
      <c r="B15" s="575"/>
      <c r="C15" s="163"/>
      <c r="D15" s="57"/>
      <c r="E15" s="134"/>
      <c r="F15" s="180" t="s">
        <v>306</v>
      </c>
      <c r="G15" s="213"/>
      <c r="H15" s="57" t="str">
        <f t="shared" si="0"/>
        <v/>
      </c>
      <c r="I15" s="27"/>
      <c r="J15" s="27"/>
      <c r="K15" s="27"/>
      <c r="L15" s="148"/>
      <c r="M15" s="365"/>
    </row>
    <row r="16" spans="1:13" ht="14.15" customHeight="1" x14ac:dyDescent="0.3">
      <c r="A16" s="365"/>
      <c r="B16" s="575"/>
      <c r="C16" s="163"/>
      <c r="D16" s="57"/>
      <c r="E16" s="134"/>
      <c r="F16" s="181" t="s">
        <v>307</v>
      </c>
      <c r="G16" s="213"/>
      <c r="H16" s="57" t="str">
        <f t="shared" si="0"/>
        <v/>
      </c>
      <c r="I16" s="27"/>
      <c r="J16" s="27"/>
      <c r="K16" s="27"/>
      <c r="L16" s="148"/>
      <c r="M16" s="365"/>
    </row>
    <row r="17" spans="1:20" ht="14.15" customHeight="1" x14ac:dyDescent="0.3">
      <c r="A17" s="365"/>
      <c r="B17" s="575"/>
      <c r="C17" s="163"/>
      <c r="D17" s="57"/>
      <c r="E17" s="134"/>
      <c r="F17" s="180" t="s">
        <v>308</v>
      </c>
      <c r="G17" s="213"/>
      <c r="H17" s="57" t="str">
        <f t="shared" si="0"/>
        <v/>
      </c>
      <c r="I17" s="27"/>
      <c r="J17" s="27"/>
      <c r="K17" s="27"/>
      <c r="L17" s="148"/>
      <c r="M17" s="365"/>
    </row>
    <row r="18" spans="1:20" ht="14.15" customHeight="1" x14ac:dyDescent="0.3">
      <c r="A18" s="365"/>
      <c r="B18" s="575"/>
      <c r="C18" s="163"/>
      <c r="D18" s="57"/>
      <c r="E18" s="134"/>
      <c r="F18" s="181" t="s">
        <v>309</v>
      </c>
      <c r="G18" s="213"/>
      <c r="H18" s="577" t="str">
        <f t="shared" si="0"/>
        <v/>
      </c>
      <c r="I18" s="27"/>
      <c r="J18" s="27"/>
      <c r="K18" s="27"/>
      <c r="L18" s="148"/>
      <c r="M18" s="365"/>
    </row>
    <row r="19" spans="1:20" ht="14.15" customHeight="1" x14ac:dyDescent="0.3">
      <c r="A19" s="365"/>
      <c r="B19" s="575"/>
      <c r="C19" s="163"/>
      <c r="D19" s="57"/>
      <c r="E19" s="134"/>
      <c r="F19" s="181"/>
      <c r="G19" s="321"/>
      <c r="H19" s="66">
        <f>SUM(H9:H18)</f>
        <v>0</v>
      </c>
      <c r="I19" s="27"/>
      <c r="J19" s="27"/>
      <c r="K19" s="27"/>
      <c r="L19" s="148"/>
      <c r="M19" s="365"/>
    </row>
    <row r="20" spans="1:20" ht="14.15" customHeight="1" thickBot="1" x14ac:dyDescent="0.35">
      <c r="A20" s="365"/>
      <c r="B20" s="576"/>
      <c r="C20" s="370"/>
      <c r="D20" s="371"/>
      <c r="E20" s="372"/>
      <c r="F20" s="373"/>
      <c r="G20" s="374"/>
      <c r="H20" s="375"/>
      <c r="I20" s="376"/>
      <c r="J20" s="376"/>
      <c r="K20" s="376"/>
      <c r="L20" s="377"/>
      <c r="M20" s="365"/>
    </row>
    <row r="30" spans="1:20" s="491" customFormat="1" ht="11.25" customHeight="1" x14ac:dyDescent="0.3">
      <c r="A30" s="489"/>
      <c r="B30" s="530"/>
      <c r="C30" s="530"/>
      <c r="D30" s="530"/>
      <c r="E30" s="530"/>
      <c r="F30" s="530"/>
      <c r="G30" s="530"/>
      <c r="H30" s="530"/>
      <c r="I30" s="530"/>
      <c r="J30" s="530"/>
      <c r="K30" s="531"/>
      <c r="L30" s="530"/>
      <c r="R30" s="496"/>
      <c r="S30" s="496"/>
      <c r="T30" s="496"/>
    </row>
    <row r="31" spans="1:20" s="491" customFormat="1" ht="11.25" customHeight="1" x14ac:dyDescent="0.3">
      <c r="A31" s="489"/>
      <c r="B31" s="530"/>
      <c r="C31" s="530"/>
      <c r="D31" s="530"/>
      <c r="E31" s="530"/>
      <c r="F31" s="530"/>
      <c r="G31" s="530"/>
      <c r="H31" s="530"/>
      <c r="I31" s="530"/>
      <c r="J31" s="530"/>
      <c r="K31" s="530"/>
      <c r="L31" s="530"/>
      <c r="R31" s="496"/>
      <c r="S31" s="496"/>
      <c r="T31" s="496"/>
    </row>
    <row r="32" spans="1:20" s="491" customFormat="1" ht="11.25" customHeight="1" x14ac:dyDescent="0.3">
      <c r="A32" s="490"/>
      <c r="B32" s="530"/>
      <c r="C32" s="530"/>
      <c r="D32" s="530"/>
      <c r="E32" s="530"/>
      <c r="F32" s="530"/>
      <c r="G32" s="530"/>
      <c r="H32" s="530"/>
      <c r="I32" s="530"/>
      <c r="J32" s="530"/>
      <c r="K32" s="530"/>
      <c r="L32" s="530"/>
      <c r="R32" s="496"/>
      <c r="S32" s="496"/>
      <c r="T32" s="496"/>
    </row>
    <row r="33" spans="1:20" s="491" customFormat="1" ht="11.25" customHeight="1" x14ac:dyDescent="0.3">
      <c r="A33" s="490"/>
      <c r="B33" s="508" t="s">
        <v>478</v>
      </c>
      <c r="C33" s="530"/>
      <c r="D33" s="530"/>
      <c r="E33" s="530"/>
      <c r="F33" s="530"/>
      <c r="G33" s="530"/>
      <c r="H33" s="530"/>
      <c r="I33" s="530"/>
      <c r="J33" s="530"/>
      <c r="K33" s="530"/>
      <c r="L33" s="530"/>
      <c r="R33" s="496"/>
      <c r="S33" s="496"/>
      <c r="T33" s="496"/>
    </row>
    <row r="34" spans="1:20" s="491" customFormat="1" ht="11.25" customHeight="1" x14ac:dyDescent="0.3">
      <c r="A34" s="490"/>
      <c r="B34" s="530"/>
      <c r="C34" s="530"/>
      <c r="D34" s="530"/>
      <c r="E34" s="530"/>
      <c r="F34" s="530"/>
      <c r="G34" s="530"/>
      <c r="H34" s="530"/>
      <c r="I34" s="530"/>
      <c r="J34" s="530"/>
      <c r="K34" s="530"/>
      <c r="L34" s="530"/>
      <c r="N34" s="492"/>
      <c r="O34" s="497" t="s">
        <v>12</v>
      </c>
      <c r="P34" s="497"/>
      <c r="Q34" s="498"/>
      <c r="R34" s="499"/>
      <c r="S34" s="496"/>
      <c r="T34" s="496"/>
    </row>
    <row r="35" spans="1:20" s="491" customFormat="1" ht="11.25" customHeight="1" x14ac:dyDescent="0.3">
      <c r="A35" s="490"/>
      <c r="B35" s="530"/>
      <c r="C35" s="530" t="s">
        <v>357</v>
      </c>
      <c r="D35" s="530"/>
      <c r="E35" s="530"/>
      <c r="F35" s="530" t="s">
        <v>13</v>
      </c>
      <c r="G35" s="532">
        <f>'TRAFFIC &amp; ACCIDENTS'!D9</f>
        <v>0</v>
      </c>
      <c r="H35" s="530"/>
      <c r="I35" s="533" t="s">
        <v>14</v>
      </c>
      <c r="J35" s="532">
        <f>'TRAFFIC &amp; ACCIDENTS'!D10</f>
        <v>0</v>
      </c>
      <c r="K35" s="530"/>
      <c r="L35" s="530"/>
      <c r="N35" s="492"/>
      <c r="R35" s="496"/>
      <c r="S35" s="496"/>
      <c r="T35" s="496"/>
    </row>
    <row r="36" spans="1:20" s="491" customFormat="1" ht="11.25" customHeight="1" x14ac:dyDescent="0.3">
      <c r="A36" s="490"/>
      <c r="B36" s="530"/>
      <c r="C36" s="530"/>
      <c r="D36" s="530"/>
      <c r="E36" s="530"/>
      <c r="F36" s="530"/>
      <c r="G36" s="530"/>
      <c r="H36" s="530"/>
      <c r="I36" s="530"/>
      <c r="J36" s="530"/>
      <c r="K36" s="530"/>
      <c r="L36" s="531"/>
      <c r="M36" s="493"/>
      <c r="N36" s="493"/>
      <c r="O36" s="11" t="s">
        <v>15</v>
      </c>
      <c r="P36" s="11" t="s">
        <v>15</v>
      </c>
      <c r="R36" s="496"/>
      <c r="S36" s="496"/>
      <c r="T36" s="496"/>
    </row>
    <row r="37" spans="1:20" s="491" customFormat="1" ht="11.25" customHeight="1" x14ac:dyDescent="0.3">
      <c r="A37" s="490"/>
      <c r="B37" s="530"/>
      <c r="C37" s="530" t="s">
        <v>16</v>
      </c>
      <c r="D37" s="530"/>
      <c r="E37" s="530"/>
      <c r="F37" s="530"/>
      <c r="G37" s="530"/>
      <c r="H37" s="530"/>
      <c r="I37" s="530"/>
      <c r="J37" s="530"/>
      <c r="K37" s="530"/>
      <c r="L37" s="531"/>
      <c r="M37" s="494"/>
      <c r="N37" s="494"/>
      <c r="O37" s="11" t="s">
        <v>17</v>
      </c>
      <c r="P37" s="11" t="s">
        <v>18</v>
      </c>
      <c r="R37" s="496"/>
      <c r="S37" s="496"/>
      <c r="T37" s="496"/>
    </row>
    <row r="38" spans="1:20" s="491" customFormat="1" ht="11.25" customHeight="1" x14ac:dyDescent="0.3">
      <c r="A38" s="490"/>
      <c r="B38" s="531"/>
      <c r="C38" s="530" t="s">
        <v>19</v>
      </c>
      <c r="D38" s="530"/>
      <c r="E38" s="530"/>
      <c r="F38" s="530"/>
      <c r="G38" s="530"/>
      <c r="H38" s="530"/>
      <c r="I38" s="530"/>
      <c r="J38" s="530"/>
      <c r="K38" s="530"/>
      <c r="L38" s="531"/>
      <c r="O38" s="12" t="s">
        <v>20</v>
      </c>
      <c r="P38" s="12" t="s">
        <v>20</v>
      </c>
      <c r="R38" s="496"/>
      <c r="S38" s="496"/>
      <c r="T38" s="496"/>
    </row>
    <row r="39" spans="1:20" s="491" customFormat="1" ht="11.25" customHeight="1" x14ac:dyDescent="0.3">
      <c r="A39" s="490"/>
      <c r="B39" s="530" t="s">
        <v>21</v>
      </c>
      <c r="C39" s="530"/>
      <c r="D39" s="530"/>
      <c r="E39" s="530"/>
      <c r="F39" s="530"/>
      <c r="G39" s="530"/>
      <c r="H39" s="530"/>
      <c r="I39" s="530"/>
      <c r="J39" s="530"/>
      <c r="K39" s="530"/>
      <c r="L39" s="531"/>
      <c r="O39" s="11">
        <f>IF(G35=0,0,O40)</f>
        <v>0</v>
      </c>
      <c r="P39" s="11">
        <f>IF(J35=0,0,P40)</f>
        <v>0</v>
      </c>
      <c r="R39" s="496"/>
      <c r="T39" s="496"/>
    </row>
    <row r="40" spans="1:20" s="491" customFormat="1" ht="11.25" customHeight="1" x14ac:dyDescent="0.3">
      <c r="A40" s="490"/>
      <c r="B40" s="534" t="s">
        <v>17</v>
      </c>
      <c r="C40" s="535" t="s">
        <v>358</v>
      </c>
      <c r="D40" s="535" t="s">
        <v>359</v>
      </c>
      <c r="E40" s="535" t="s">
        <v>360</v>
      </c>
      <c r="F40" s="535" t="s">
        <v>361</v>
      </c>
      <c r="G40" s="535" t="s">
        <v>362</v>
      </c>
      <c r="H40" s="535" t="s">
        <v>363</v>
      </c>
      <c r="I40" s="535" t="s">
        <v>364</v>
      </c>
      <c r="J40" s="535" t="s">
        <v>365</v>
      </c>
      <c r="K40" s="535" t="s">
        <v>366</v>
      </c>
      <c r="L40" s="536" t="s">
        <v>367</v>
      </c>
      <c r="O40" s="11">
        <f>IF(G35&lt;101,C42,O41)</f>
        <v>1</v>
      </c>
      <c r="P40" s="11">
        <f>IF(J35&lt;11,C42,P41)</f>
        <v>1</v>
      </c>
      <c r="R40" s="496"/>
      <c r="S40" s="496"/>
      <c r="T40" s="496"/>
    </row>
    <row r="41" spans="1:20" s="491" customFormat="1" ht="11.25" customHeight="1" x14ac:dyDescent="0.3">
      <c r="A41" s="490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9"/>
      <c r="O41" s="11">
        <f>IF(G35&lt;201,D42,O42)</f>
        <v>2</v>
      </c>
      <c r="P41" s="11">
        <f>IF(J35&lt;21,D42,P42)</f>
        <v>2</v>
      </c>
      <c r="R41" s="496"/>
      <c r="S41" s="496"/>
      <c r="T41" s="496"/>
    </row>
    <row r="42" spans="1:20" s="491" customFormat="1" ht="11.25" customHeight="1" x14ac:dyDescent="0.3">
      <c r="A42" s="490"/>
      <c r="B42" s="537" t="s">
        <v>20</v>
      </c>
      <c r="C42" s="538">
        <v>1</v>
      </c>
      <c r="D42" s="538">
        <v>2</v>
      </c>
      <c r="E42" s="538">
        <v>3</v>
      </c>
      <c r="F42" s="538">
        <v>4</v>
      </c>
      <c r="G42" s="538">
        <v>5</v>
      </c>
      <c r="H42" s="538">
        <v>6</v>
      </c>
      <c r="I42" s="538">
        <v>7</v>
      </c>
      <c r="J42" s="538">
        <v>8</v>
      </c>
      <c r="K42" s="538">
        <v>9</v>
      </c>
      <c r="L42" s="539">
        <v>10</v>
      </c>
      <c r="O42" s="11">
        <f>IF(G35&lt;301,E42,O43)</f>
        <v>3</v>
      </c>
      <c r="P42" s="11">
        <f>IF(J35&lt;31,E42,P43)</f>
        <v>3</v>
      </c>
      <c r="R42" s="496"/>
      <c r="S42" s="496"/>
      <c r="T42" s="496"/>
    </row>
    <row r="43" spans="1:20" s="491" customFormat="1" ht="11.25" customHeight="1" x14ac:dyDescent="0.3">
      <c r="A43" s="490"/>
      <c r="B43" s="537"/>
      <c r="C43" s="540"/>
      <c r="D43" s="540"/>
      <c r="E43" s="540"/>
      <c r="F43" s="540"/>
      <c r="G43" s="540"/>
      <c r="H43" s="540"/>
      <c r="I43" s="540"/>
      <c r="J43" s="540"/>
      <c r="K43" s="540"/>
      <c r="L43" s="541"/>
      <c r="O43" s="11">
        <f>IF(G35&lt;451,F42,O44)</f>
        <v>4</v>
      </c>
      <c r="P43" s="11">
        <f>IF(J35&lt;46,F42,P44)</f>
        <v>4</v>
      </c>
      <c r="R43" s="496"/>
      <c r="S43" s="496"/>
      <c r="T43" s="496"/>
    </row>
    <row r="44" spans="1:20" s="491" customFormat="1" ht="11.25" customHeight="1" x14ac:dyDescent="0.3">
      <c r="A44" s="490"/>
      <c r="B44" s="542" t="s">
        <v>22</v>
      </c>
      <c r="C44" s="543" t="s">
        <v>368</v>
      </c>
      <c r="D44" s="543" t="s">
        <v>369</v>
      </c>
      <c r="E44" s="543" t="s">
        <v>370</v>
      </c>
      <c r="F44" s="543" t="s">
        <v>371</v>
      </c>
      <c r="G44" s="543" t="s">
        <v>372</v>
      </c>
      <c r="H44" s="543" t="s">
        <v>373</v>
      </c>
      <c r="I44" s="543" t="s">
        <v>374</v>
      </c>
      <c r="J44" s="543" t="s">
        <v>375</v>
      </c>
      <c r="K44" s="543" t="s">
        <v>376</v>
      </c>
      <c r="L44" s="544" t="s">
        <v>377</v>
      </c>
      <c r="O44" s="11">
        <f>IF(G35&lt;601,G42,O45)</f>
        <v>5</v>
      </c>
      <c r="P44" s="11">
        <f>IF(J35&lt;61,G42,P45)</f>
        <v>5</v>
      </c>
      <c r="R44" s="496"/>
      <c r="S44" s="496"/>
      <c r="T44" s="496"/>
    </row>
    <row r="45" spans="1:20" s="491" customFormat="1" ht="11.25" customHeight="1" thickBot="1" x14ac:dyDescent="0.35">
      <c r="A45" s="490"/>
      <c r="B45" s="530"/>
      <c r="C45" s="530"/>
      <c r="D45" s="545"/>
      <c r="E45" s="546"/>
      <c r="F45" s="546"/>
      <c r="G45" s="546"/>
      <c r="H45" s="546"/>
      <c r="I45" s="546"/>
      <c r="J45" s="530"/>
      <c r="K45" s="530"/>
      <c r="L45" s="531"/>
      <c r="O45" s="11">
        <f>IF(G35&lt;751,H42,O46)</f>
        <v>6</v>
      </c>
      <c r="P45" s="11">
        <f>IF(J35&lt;76,H42,P46)</f>
        <v>6</v>
      </c>
      <c r="R45" s="496"/>
      <c r="S45" s="496"/>
      <c r="T45" s="496"/>
    </row>
    <row r="46" spans="1:20" s="491" customFormat="1" ht="11.25" customHeight="1" thickBot="1" x14ac:dyDescent="0.35">
      <c r="A46" s="490"/>
      <c r="B46" s="530"/>
      <c r="C46" s="530"/>
      <c r="D46" s="546"/>
      <c r="E46" s="546"/>
      <c r="F46" s="531"/>
      <c r="G46" s="531"/>
      <c r="H46" s="546"/>
      <c r="I46" s="531"/>
      <c r="J46" s="533" t="s">
        <v>23</v>
      </c>
      <c r="K46" s="547">
        <f>IF(G35&gt;J35*10,O39,P39)</f>
        <v>0</v>
      </c>
      <c r="L46" s="531"/>
      <c r="O46" s="11">
        <f>IF(G35&lt;901,I42,O47)</f>
        <v>7</v>
      </c>
      <c r="P46" s="11">
        <f>IF(J35&lt;91,I42,P47)</f>
        <v>7</v>
      </c>
      <c r="R46" s="496"/>
      <c r="S46" s="496"/>
      <c r="T46" s="496"/>
    </row>
    <row r="47" spans="1:20" s="491" customFormat="1" ht="11.25" customHeight="1" x14ac:dyDescent="0.3">
      <c r="A47" s="490"/>
      <c r="B47" s="530"/>
      <c r="C47" s="530"/>
      <c r="D47" s="530"/>
      <c r="E47" s="530"/>
      <c r="F47" s="530"/>
      <c r="G47" s="530"/>
      <c r="H47" s="530"/>
      <c r="I47" s="530"/>
      <c r="J47" s="530"/>
      <c r="K47" s="530"/>
      <c r="L47" s="530"/>
      <c r="O47" s="11">
        <f>IF(G35&lt;1051,J42,O48)</f>
        <v>8</v>
      </c>
      <c r="P47" s="11">
        <f>IF(J35&lt;106,J42,P48)</f>
        <v>8</v>
      </c>
      <c r="Q47" s="500"/>
      <c r="R47" s="496"/>
      <c r="S47" s="496"/>
      <c r="T47" s="496"/>
    </row>
    <row r="48" spans="1:20" s="491" customFormat="1" ht="11.25" customHeight="1" x14ac:dyDescent="0.3">
      <c r="A48" s="490"/>
      <c r="B48" s="501"/>
      <c r="C48" s="502"/>
      <c r="D48" s="501"/>
      <c r="E48" s="501"/>
      <c r="F48" s="501"/>
      <c r="G48" s="503"/>
      <c r="H48" s="503"/>
      <c r="I48" s="501"/>
      <c r="J48" s="501"/>
      <c r="K48" s="501"/>
      <c r="L48" s="501"/>
      <c r="O48" s="11">
        <f>IF(G35&lt;1301,K42,O49)</f>
        <v>9</v>
      </c>
      <c r="P48" s="11">
        <f>IF(J35&lt;131,K42,P49)</f>
        <v>9</v>
      </c>
      <c r="Q48" s="500"/>
      <c r="R48" s="496"/>
      <c r="S48" s="496"/>
    </row>
    <row r="49" spans="1:20" s="491" customFormat="1" ht="11.25" customHeight="1" x14ac:dyDescent="0.3">
      <c r="A49" s="490"/>
      <c r="B49" s="501"/>
      <c r="C49" s="501"/>
      <c r="D49" s="504"/>
      <c r="E49" s="501"/>
      <c r="F49" s="504"/>
      <c r="G49" s="505"/>
      <c r="H49" s="505"/>
      <c r="I49" s="501"/>
      <c r="J49" s="501"/>
      <c r="K49" s="501"/>
      <c r="L49" s="501"/>
      <c r="O49" s="11" t="str">
        <f>IF(G35&gt;1300,L42,"")</f>
        <v/>
      </c>
      <c r="P49" s="11" t="str">
        <f>IF(J35&gt;130,L42,"")</f>
        <v/>
      </c>
      <c r="Q49" s="500"/>
      <c r="R49" s="496"/>
      <c r="S49" s="496"/>
    </row>
    <row r="50" spans="1:20" s="491" customFormat="1" ht="11.25" customHeight="1" x14ac:dyDescent="0.3">
      <c r="A50" s="490"/>
      <c r="B50" s="501"/>
      <c r="C50" s="503"/>
      <c r="D50" s="503"/>
      <c r="E50" s="504"/>
      <c r="F50" s="506"/>
      <c r="G50" s="503"/>
      <c r="H50" s="503"/>
      <c r="I50" s="501"/>
      <c r="J50" s="501"/>
      <c r="K50" s="501"/>
      <c r="L50" s="501"/>
      <c r="P50" s="500"/>
      <c r="Q50" s="492"/>
      <c r="R50" s="496"/>
      <c r="S50" s="496"/>
    </row>
    <row r="51" spans="1:20" s="491" customFormat="1" ht="10.9" customHeight="1" x14ac:dyDescent="0.3">
      <c r="A51" s="490"/>
      <c r="B51" s="501"/>
      <c r="C51" s="501"/>
      <c r="D51" s="501"/>
      <c r="E51" s="501"/>
      <c r="F51" s="501"/>
      <c r="G51" s="501"/>
      <c r="H51" s="501"/>
      <c r="I51" s="501"/>
      <c r="J51" s="501"/>
      <c r="K51" s="501"/>
      <c r="L51" s="501"/>
      <c r="Q51" s="496"/>
      <c r="R51" s="496"/>
      <c r="S51" s="496"/>
      <c r="T51" s="496"/>
    </row>
    <row r="52" spans="1:20" s="491" customFormat="1" ht="11.25" customHeight="1" x14ac:dyDescent="0.3">
      <c r="A52" s="490"/>
      <c r="B52" s="507"/>
      <c r="C52" s="508" t="s">
        <v>479</v>
      </c>
      <c r="D52" s="509"/>
      <c r="E52" s="509"/>
      <c r="F52" s="510"/>
      <c r="G52" s="510"/>
      <c r="H52" s="510"/>
      <c r="I52" s="510"/>
      <c r="J52" s="510"/>
      <c r="K52" s="510"/>
      <c r="L52" s="511"/>
      <c r="M52" s="495"/>
      <c r="N52" s="398"/>
    </row>
    <row r="53" spans="1:20" s="491" customFormat="1" ht="11.25" customHeight="1" x14ac:dyDescent="0.3">
      <c r="A53" s="490"/>
      <c r="B53" s="510"/>
      <c r="C53" s="510"/>
      <c r="D53" s="510"/>
      <c r="E53" s="510"/>
      <c r="F53" s="510"/>
      <c r="G53" s="510"/>
      <c r="H53" s="510"/>
      <c r="I53" s="510"/>
      <c r="J53" s="511"/>
      <c r="K53" s="510" t="s">
        <v>311</v>
      </c>
      <c r="L53" s="510"/>
    </row>
    <row r="54" spans="1:20" s="491" customFormat="1" ht="11.25" customHeight="1" x14ac:dyDescent="0.3">
      <c r="A54" s="490"/>
      <c r="B54" s="510" t="s">
        <v>312</v>
      </c>
      <c r="C54" s="510"/>
      <c r="D54" s="510"/>
      <c r="E54" s="510"/>
      <c r="F54" s="510"/>
      <c r="G54" s="510"/>
      <c r="H54" s="511"/>
      <c r="I54" s="512">
        <f>'TRAFFIC &amp; ACCIDENTS'!K11</f>
        <v>0</v>
      </c>
      <c r="J54" s="511"/>
      <c r="K54" s="510" t="s">
        <v>313</v>
      </c>
      <c r="L54" s="510"/>
    </row>
    <row r="55" spans="1:20" s="491" customFormat="1" ht="11.25" customHeight="1" x14ac:dyDescent="0.3">
      <c r="A55" s="490"/>
      <c r="B55" s="510"/>
      <c r="C55" s="510"/>
      <c r="D55" s="510"/>
      <c r="E55" s="510"/>
      <c r="F55" s="510"/>
      <c r="G55" s="510"/>
      <c r="H55" s="511"/>
      <c r="I55" s="510"/>
      <c r="J55" s="511"/>
      <c r="K55" s="513"/>
      <c r="L55" s="511"/>
    </row>
    <row r="56" spans="1:20" s="491" customFormat="1" ht="11.25" customHeight="1" x14ac:dyDescent="0.3">
      <c r="A56" s="490"/>
      <c r="B56" s="510" t="s">
        <v>314</v>
      </c>
      <c r="C56" s="510"/>
      <c r="D56" s="510"/>
      <c r="E56" s="510"/>
      <c r="F56" s="510"/>
      <c r="G56" s="510"/>
      <c r="H56" s="511"/>
      <c r="I56" s="512">
        <f>'TRAFFIC &amp; ACCIDENTS'!K12</f>
        <v>0</v>
      </c>
      <c r="J56" s="511"/>
      <c r="K56" s="513"/>
      <c r="L56" s="511"/>
    </row>
    <row r="57" spans="1:20" s="491" customFormat="1" ht="11.25" customHeight="1" x14ac:dyDescent="0.3">
      <c r="A57" s="490"/>
      <c r="B57" s="510"/>
      <c r="C57" s="510"/>
      <c r="D57" s="510"/>
      <c r="E57" s="510"/>
      <c r="F57" s="510"/>
      <c r="G57" s="510"/>
      <c r="H57" s="510"/>
      <c r="I57" s="510"/>
      <c r="J57" s="511"/>
      <c r="K57" s="514"/>
      <c r="L57" s="511"/>
    </row>
    <row r="58" spans="1:20" s="491" customFormat="1" ht="11.25" customHeight="1" x14ac:dyDescent="0.3">
      <c r="A58" s="490"/>
      <c r="B58" s="510" t="s">
        <v>315</v>
      </c>
      <c r="C58" s="510"/>
      <c r="D58" s="510"/>
      <c r="E58" s="511"/>
      <c r="F58" s="515" t="s">
        <v>316</v>
      </c>
      <c r="G58" s="516"/>
      <c r="H58" s="517"/>
      <c r="I58" s="515">
        <f>I54+(I56*3)</f>
        <v>0</v>
      </c>
      <c r="J58" s="517"/>
      <c r="K58" s="515" t="s">
        <v>317</v>
      </c>
      <c r="L58" s="511"/>
    </row>
    <row r="59" spans="1:20" s="491" customFormat="1" ht="11.25" customHeight="1" x14ac:dyDescent="0.3">
      <c r="A59" s="490"/>
      <c r="B59" s="510"/>
      <c r="C59" s="510"/>
      <c r="D59" s="510"/>
      <c r="E59" s="697" t="s">
        <v>318</v>
      </c>
      <c r="F59" s="697"/>
      <c r="G59" s="697"/>
      <c r="H59" s="517"/>
      <c r="I59" s="518">
        <f>'TRAFFIC &amp; ACCIDENTS'!D12</f>
        <v>0</v>
      </c>
      <c r="J59" s="517"/>
      <c r="K59" s="511" t="s">
        <v>319</v>
      </c>
      <c r="L59" s="511"/>
    </row>
    <row r="60" spans="1:20" s="491" customFormat="1" ht="11.25" customHeight="1" x14ac:dyDescent="0.3">
      <c r="A60" s="490"/>
      <c r="B60" s="510"/>
      <c r="C60" s="510"/>
      <c r="D60" s="510"/>
      <c r="E60" s="510"/>
      <c r="F60" s="510"/>
      <c r="G60" s="510"/>
      <c r="H60" s="528" t="s">
        <v>24</v>
      </c>
      <c r="I60" s="519" t="e">
        <f>I58/I59</f>
        <v>#DIV/0!</v>
      </c>
      <c r="J60" s="511"/>
      <c r="K60" s="513"/>
      <c r="L60" s="511"/>
    </row>
    <row r="61" spans="1:20" s="491" customFormat="1" ht="11.25" customHeight="1" x14ac:dyDescent="0.3">
      <c r="A61" s="490"/>
      <c r="B61" s="510"/>
      <c r="C61" s="510"/>
      <c r="D61" s="510"/>
      <c r="E61" s="510"/>
      <c r="F61" s="510"/>
      <c r="G61" s="510"/>
      <c r="H61" s="510"/>
      <c r="I61" s="510"/>
      <c r="J61" s="511"/>
      <c r="K61" s="513"/>
      <c r="L61" s="511"/>
    </row>
    <row r="62" spans="1:20" s="491" customFormat="1" ht="11.25" customHeight="1" x14ac:dyDescent="0.3">
      <c r="A62" s="490"/>
      <c r="B62" s="510" t="s">
        <v>320</v>
      </c>
      <c r="C62" s="510"/>
      <c r="D62" s="510"/>
      <c r="E62" s="512">
        <v>0</v>
      </c>
      <c r="F62" s="520">
        <v>1</v>
      </c>
      <c r="G62" s="521">
        <v>2</v>
      </c>
      <c r="H62" s="521">
        <v>3</v>
      </c>
      <c r="I62" s="521">
        <v>4</v>
      </c>
      <c r="J62" s="522">
        <v>5</v>
      </c>
      <c r="K62" s="523" t="e">
        <f>I58/I59</f>
        <v>#DIV/0!</v>
      </c>
      <c r="L62" s="511"/>
    </row>
    <row r="63" spans="1:20" s="491" customFormat="1" ht="11.25" customHeight="1" x14ac:dyDescent="0.3">
      <c r="A63" s="490"/>
      <c r="B63" s="510" t="s">
        <v>20</v>
      </c>
      <c r="C63" s="510"/>
      <c r="D63" s="511"/>
      <c r="E63" s="524">
        <v>0</v>
      </c>
      <c r="F63" s="525">
        <v>2</v>
      </c>
      <c r="G63" s="526">
        <v>4</v>
      </c>
      <c r="H63" s="526">
        <v>6</v>
      </c>
      <c r="I63" s="526">
        <v>8</v>
      </c>
      <c r="J63" s="512">
        <v>10</v>
      </c>
      <c r="K63" s="527" t="s">
        <v>321</v>
      </c>
      <c r="L63" s="511"/>
    </row>
    <row r="64" spans="1:20" s="491" customFormat="1" ht="11.25" customHeight="1" x14ac:dyDescent="0.3">
      <c r="A64" s="490"/>
      <c r="B64" s="510"/>
      <c r="C64" s="511"/>
      <c r="D64" s="510"/>
      <c r="E64" s="510"/>
      <c r="F64" s="510"/>
      <c r="G64" s="510"/>
      <c r="H64" s="510"/>
      <c r="I64" s="510"/>
      <c r="J64" s="528" t="s">
        <v>24</v>
      </c>
      <c r="K64" s="529" t="e">
        <f>IF(K62*2&gt;10,10,K62*2)</f>
        <v>#DIV/0!</v>
      </c>
      <c r="L64" s="510"/>
    </row>
    <row r="65" spans="1:20" s="491" customFormat="1" ht="11.25" customHeight="1" x14ac:dyDescent="0.3">
      <c r="A65" s="490"/>
      <c r="B65" s="501"/>
      <c r="C65" s="501"/>
      <c r="D65" s="501"/>
      <c r="E65" s="501"/>
      <c r="F65" s="501"/>
      <c r="G65" s="501"/>
      <c r="H65" s="501"/>
      <c r="I65" s="501"/>
      <c r="J65" s="501"/>
      <c r="K65" s="501"/>
      <c r="L65" s="501"/>
      <c r="S65" s="496"/>
      <c r="T65" s="496"/>
    </row>
  </sheetData>
  <sheetProtection algorithmName="SHA-512" hashValue="bGegqyqCkT9mGQIjGFgARFy5vreHZt2Y1AmS6EnaDui73Fqagh8CPFkENsfasB/7ofXu5bNK/Ut5Mltj6cQFkA==" saltValue="bv1SbK+uOSXRoTtw+HwTLA==" spinCount="100000" sheet="1" selectLockedCells="1"/>
  <mergeCells count="2">
    <mergeCell ref="E59:G59"/>
    <mergeCell ref="J8:L9"/>
  </mergeCells>
  <conditionalFormatting sqref="K62">
    <cfRule type="containsErrors" dxfId="19" priority="1" stopIfTrue="1">
      <formula>ISERROR(K62)</formula>
    </cfRule>
    <cfRule type="expression" priority="4" stopIfTrue="1">
      <formula>ISERROR(K62)</formula>
    </cfRule>
  </conditionalFormatting>
  <conditionalFormatting sqref="K64">
    <cfRule type="expression" dxfId="18" priority="5" stopIfTrue="1">
      <formula>ISERROR(K62)</formula>
    </cfRule>
  </conditionalFormatting>
  <conditionalFormatting sqref="I60">
    <cfRule type="containsErrors" dxfId="17" priority="7" stopIfTrue="1">
      <formula>ISERROR(I60)</formula>
    </cfRule>
  </conditionalFormatting>
  <conditionalFormatting sqref="J4:K5">
    <cfRule type="expression" dxfId="16" priority="44" stopIfTrue="1">
      <formula>$C$11&lt;&gt;""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52"/>
  <sheetViews>
    <sheetView showGridLines="0" workbookViewId="0">
      <selection activeCell="F6" sqref="F6"/>
    </sheetView>
  </sheetViews>
  <sheetFormatPr defaultColWidth="9.1796875" defaultRowHeight="13" x14ac:dyDescent="0.3"/>
  <cols>
    <col min="1" max="1" width="4.26953125" style="381" customWidth="1"/>
    <col min="2" max="17" width="7.7265625" style="381" customWidth="1"/>
    <col min="18" max="16384" width="9.1796875" style="381"/>
  </cols>
  <sheetData>
    <row r="2" spans="1:15" ht="13.5" thickBot="1" x14ac:dyDescent="0.35"/>
    <row r="3" spans="1:15" x14ac:dyDescent="0.3">
      <c r="B3" s="325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82"/>
    </row>
    <row r="4" spans="1:15" x14ac:dyDescent="0.3">
      <c r="B4" s="383" t="s">
        <v>123</v>
      </c>
      <c r="C4" s="146"/>
      <c r="D4" s="146"/>
      <c r="E4" s="384"/>
      <c r="F4" s="385"/>
      <c r="G4" s="386" t="s">
        <v>513</v>
      </c>
      <c r="H4" s="99"/>
      <c r="I4" s="99"/>
      <c r="J4" s="99"/>
      <c r="K4" s="99"/>
      <c r="L4" s="167"/>
      <c r="M4" s="27"/>
      <c r="N4" s="322"/>
      <c r="O4" s="311"/>
    </row>
    <row r="5" spans="1:15" x14ac:dyDescent="0.3">
      <c r="B5" s="387"/>
      <c r="C5" s="99"/>
      <c r="D5" s="27"/>
      <c r="E5" s="27"/>
      <c r="F5" s="57"/>
      <c r="G5" s="99"/>
      <c r="H5" s="99"/>
      <c r="I5" s="99"/>
      <c r="J5" s="99"/>
      <c r="K5" s="99"/>
      <c r="L5" s="167"/>
      <c r="M5" s="27"/>
      <c r="N5" s="322"/>
      <c r="O5" s="144"/>
    </row>
    <row r="6" spans="1:15" x14ac:dyDescent="0.3">
      <c r="B6" s="383" t="s">
        <v>483</v>
      </c>
      <c r="C6" s="28"/>
      <c r="D6" s="28"/>
      <c r="E6" s="99"/>
      <c r="F6" s="385"/>
      <c r="G6" s="388" t="s">
        <v>514</v>
      </c>
      <c r="H6" s="66"/>
      <c r="I6" s="26"/>
      <c r="J6" s="389"/>
      <c r="K6" s="389"/>
      <c r="L6" s="28"/>
      <c r="M6" s="389"/>
      <c r="N6" s="66"/>
      <c r="O6" s="144"/>
    </row>
    <row r="7" spans="1:15" ht="13.5" thickBot="1" x14ac:dyDescent="0.35">
      <c r="B7" s="390"/>
      <c r="C7" s="391"/>
      <c r="D7" s="391"/>
      <c r="E7" s="359"/>
      <c r="F7" s="392"/>
      <c r="G7" s="393"/>
      <c r="H7" s="358"/>
      <c r="I7" s="358"/>
      <c r="J7" s="394"/>
      <c r="K7" s="394"/>
      <c r="L7" s="359"/>
      <c r="M7" s="395"/>
      <c r="N7" s="358"/>
      <c r="O7" s="396"/>
    </row>
    <row r="8" spans="1:15" x14ac:dyDescent="0.3">
      <c r="A8" s="397"/>
      <c r="B8" s="398"/>
      <c r="C8" s="398"/>
      <c r="D8" s="398"/>
      <c r="E8" s="398"/>
      <c r="F8" s="398"/>
      <c r="G8" s="398"/>
      <c r="H8" s="398"/>
      <c r="I8" s="398"/>
      <c r="J8" s="398"/>
      <c r="K8" s="399"/>
      <c r="L8" s="398"/>
    </row>
    <row r="9" spans="1:15" x14ac:dyDescent="0.3">
      <c r="A9" s="397"/>
      <c r="B9" s="400"/>
      <c r="C9" s="400"/>
      <c r="D9" s="400"/>
      <c r="E9" s="400"/>
      <c r="F9" s="400"/>
      <c r="G9" s="400"/>
      <c r="H9" s="400"/>
      <c r="I9" s="400"/>
      <c r="J9" s="400"/>
      <c r="K9" s="400"/>
      <c r="L9" s="400"/>
    </row>
    <row r="10" spans="1:15" x14ac:dyDescent="0.3">
      <c r="A10" s="397"/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398"/>
    </row>
    <row r="11" spans="1:15" x14ac:dyDescent="0.3">
      <c r="A11" s="397"/>
      <c r="B11" s="510"/>
      <c r="C11" s="510"/>
      <c r="D11" s="510"/>
      <c r="E11" s="510"/>
      <c r="F11" s="510"/>
      <c r="G11" s="510"/>
      <c r="H11" s="510"/>
      <c r="I11" s="510"/>
      <c r="J11" s="597"/>
      <c r="K11" s="510"/>
      <c r="L11" s="511"/>
      <c r="M11" s="598"/>
      <c r="N11" s="598"/>
      <c r="O11" s="598"/>
    </row>
    <row r="12" spans="1:15" x14ac:dyDescent="0.3">
      <c r="A12" s="401"/>
      <c r="B12" s="599" t="s">
        <v>331</v>
      </c>
      <c r="C12" s="599"/>
      <c r="D12" s="599"/>
      <c r="E12" s="599"/>
      <c r="F12" s="510" t="s">
        <v>332</v>
      </c>
      <c r="G12" s="510"/>
      <c r="H12" s="510"/>
      <c r="I12" s="510"/>
      <c r="J12" s="510"/>
      <c r="K12" s="514"/>
      <c r="L12" s="511"/>
      <c r="M12" s="598"/>
      <c r="N12" s="598"/>
      <c r="O12" s="598"/>
    </row>
    <row r="13" spans="1:15" x14ac:dyDescent="0.3">
      <c r="A13" s="397"/>
      <c r="B13" s="510"/>
      <c r="C13" s="510"/>
      <c r="D13" s="510"/>
      <c r="E13" s="510"/>
      <c r="F13" s="510"/>
      <c r="G13" s="510"/>
      <c r="H13" s="510"/>
      <c r="I13" s="510"/>
      <c r="J13" s="510"/>
      <c r="K13" s="514"/>
      <c r="L13" s="511"/>
      <c r="M13" s="598"/>
      <c r="N13" s="598"/>
      <c r="O13" s="598"/>
    </row>
    <row r="14" spans="1:15" x14ac:dyDescent="0.3">
      <c r="A14" s="397"/>
      <c r="B14" s="600" t="s">
        <v>85</v>
      </c>
      <c r="C14" s="510" t="s">
        <v>333</v>
      </c>
      <c r="D14" s="510"/>
      <c r="E14" s="509" t="s">
        <v>334</v>
      </c>
      <c r="F14" s="509"/>
      <c r="G14" s="509"/>
      <c r="H14" s="509"/>
      <c r="I14" s="509"/>
      <c r="J14" s="509"/>
      <c r="K14" s="514"/>
      <c r="L14" s="511"/>
      <c r="M14" s="598"/>
      <c r="N14" s="598"/>
      <c r="O14" s="598"/>
    </row>
    <row r="15" spans="1:15" x14ac:dyDescent="0.3">
      <c r="A15" s="397"/>
      <c r="B15" s="510"/>
      <c r="C15" s="700"/>
      <c r="D15" s="701"/>
      <c r="E15" s="701"/>
      <c r="F15" s="701"/>
      <c r="G15" s="701"/>
      <c r="H15" s="701"/>
      <c r="I15" s="701"/>
      <c r="J15" s="701"/>
      <c r="K15" s="701"/>
      <c r="L15" s="701"/>
      <c r="M15" s="701"/>
      <c r="N15" s="702"/>
      <c r="O15" s="598"/>
    </row>
    <row r="16" spans="1:15" x14ac:dyDescent="0.3">
      <c r="A16" s="397"/>
      <c r="B16" s="510"/>
      <c r="C16" s="703"/>
      <c r="D16" s="704"/>
      <c r="E16" s="704"/>
      <c r="F16" s="704"/>
      <c r="G16" s="704"/>
      <c r="H16" s="704"/>
      <c r="I16" s="704"/>
      <c r="J16" s="704"/>
      <c r="K16" s="704"/>
      <c r="L16" s="704"/>
      <c r="M16" s="704"/>
      <c r="N16" s="705"/>
      <c r="O16" s="598"/>
    </row>
    <row r="17" spans="1:15" x14ac:dyDescent="0.3">
      <c r="A17" s="397"/>
      <c r="B17" s="510"/>
      <c r="C17" s="703"/>
      <c r="D17" s="704"/>
      <c r="E17" s="704"/>
      <c r="F17" s="704"/>
      <c r="G17" s="704"/>
      <c r="H17" s="704"/>
      <c r="I17" s="704"/>
      <c r="J17" s="704"/>
      <c r="K17" s="704"/>
      <c r="L17" s="704"/>
      <c r="M17" s="704"/>
      <c r="N17" s="705"/>
      <c r="O17" s="598"/>
    </row>
    <row r="18" spans="1:15" x14ac:dyDescent="0.3">
      <c r="A18" s="397"/>
      <c r="B18" s="510"/>
      <c r="C18" s="703"/>
      <c r="D18" s="704"/>
      <c r="E18" s="704"/>
      <c r="F18" s="704"/>
      <c r="G18" s="704"/>
      <c r="H18" s="704"/>
      <c r="I18" s="704"/>
      <c r="J18" s="704"/>
      <c r="K18" s="704"/>
      <c r="L18" s="704"/>
      <c r="M18" s="704"/>
      <c r="N18" s="705"/>
      <c r="O18" s="598"/>
    </row>
    <row r="19" spans="1:15" x14ac:dyDescent="0.3">
      <c r="A19" s="397"/>
      <c r="B19" s="510"/>
      <c r="C19" s="706"/>
      <c r="D19" s="707"/>
      <c r="E19" s="707"/>
      <c r="F19" s="707"/>
      <c r="G19" s="707"/>
      <c r="H19" s="707"/>
      <c r="I19" s="707"/>
      <c r="J19" s="707"/>
      <c r="K19" s="707"/>
      <c r="L19" s="707"/>
      <c r="M19" s="707"/>
      <c r="N19" s="708"/>
      <c r="O19" s="598"/>
    </row>
    <row r="20" spans="1:15" x14ac:dyDescent="0.3">
      <c r="A20" s="397"/>
      <c r="B20" s="600" t="s">
        <v>335</v>
      </c>
      <c r="C20" s="510" t="s">
        <v>336</v>
      </c>
      <c r="D20" s="510"/>
      <c r="E20" s="510"/>
      <c r="F20" s="510"/>
      <c r="G20" s="510"/>
      <c r="H20" s="510"/>
      <c r="I20" s="510"/>
      <c r="J20" s="510"/>
      <c r="K20" s="514"/>
      <c r="L20" s="511"/>
      <c r="M20" s="598"/>
      <c r="N20" s="598"/>
      <c r="O20" s="598"/>
    </row>
    <row r="21" spans="1:15" x14ac:dyDescent="0.3">
      <c r="A21" s="397"/>
      <c r="B21" s="510"/>
      <c r="C21" s="510"/>
      <c r="D21" s="510"/>
      <c r="E21" s="510"/>
      <c r="F21" s="510"/>
      <c r="G21" s="510"/>
      <c r="H21" s="510"/>
      <c r="I21" s="510"/>
      <c r="J21" s="510"/>
      <c r="K21" s="514"/>
      <c r="L21" s="511"/>
      <c r="M21" s="598"/>
      <c r="N21" s="598"/>
      <c r="O21" s="598"/>
    </row>
    <row r="22" spans="1:15" x14ac:dyDescent="0.3">
      <c r="A22" s="397"/>
      <c r="B22" s="601" t="s">
        <v>67</v>
      </c>
      <c r="C22" s="510"/>
      <c r="D22" s="510" t="s">
        <v>337</v>
      </c>
      <c r="E22" s="510"/>
      <c r="F22" s="510"/>
      <c r="G22" s="510"/>
      <c r="H22" s="510"/>
      <c r="I22" s="510"/>
      <c r="J22" s="510"/>
      <c r="K22" s="514"/>
      <c r="L22" s="511"/>
      <c r="M22" s="598"/>
      <c r="N22" s="598"/>
      <c r="O22" s="598"/>
    </row>
    <row r="23" spans="1:15" x14ac:dyDescent="0.3">
      <c r="A23" s="397"/>
      <c r="B23" s="602"/>
      <c r="C23" s="510"/>
      <c r="D23" s="510"/>
      <c r="E23" s="511"/>
      <c r="F23" s="510"/>
      <c r="G23" s="510"/>
      <c r="H23" s="510"/>
      <c r="I23" s="510"/>
      <c r="J23" s="510"/>
      <c r="K23" s="514"/>
      <c r="L23" s="511"/>
      <c r="M23" s="598"/>
      <c r="N23" s="598"/>
      <c r="O23" s="598"/>
    </row>
    <row r="24" spans="1:15" x14ac:dyDescent="0.3">
      <c r="A24" s="397"/>
      <c r="B24" s="602">
        <v>10</v>
      </c>
      <c r="C24" s="511"/>
      <c r="D24" s="510" t="s">
        <v>338</v>
      </c>
      <c r="E24" s="510"/>
      <c r="F24" s="510"/>
      <c r="G24" s="510"/>
      <c r="H24" s="510"/>
      <c r="I24" s="510"/>
      <c r="J24" s="510"/>
      <c r="K24" s="514"/>
      <c r="L24" s="511"/>
      <c r="M24" s="598"/>
      <c r="N24" s="598"/>
      <c r="O24" s="598"/>
    </row>
    <row r="25" spans="1:15" x14ac:dyDescent="0.3">
      <c r="A25" s="397"/>
      <c r="B25" s="602"/>
      <c r="C25" s="510"/>
      <c r="D25" s="510"/>
      <c r="E25" s="511"/>
      <c r="F25" s="510"/>
      <c r="G25" s="510"/>
      <c r="H25" s="510"/>
      <c r="I25" s="510"/>
      <c r="J25" s="510"/>
      <c r="K25" s="514"/>
      <c r="L25" s="511"/>
      <c r="M25" s="598"/>
      <c r="N25" s="598"/>
      <c r="O25" s="598"/>
    </row>
    <row r="26" spans="1:15" x14ac:dyDescent="0.3">
      <c r="A26" s="397"/>
      <c r="B26" s="602">
        <v>9</v>
      </c>
      <c r="C26" s="511"/>
      <c r="D26" s="510" t="s">
        <v>339</v>
      </c>
      <c r="E26" s="510"/>
      <c r="F26" s="510"/>
      <c r="G26" s="510"/>
      <c r="H26" s="510"/>
      <c r="I26" s="510"/>
      <c r="J26" s="510"/>
      <c r="K26" s="510"/>
      <c r="L26" s="511"/>
      <c r="M26" s="598"/>
      <c r="N26" s="598"/>
      <c r="O26" s="598"/>
    </row>
    <row r="27" spans="1:15" x14ac:dyDescent="0.3">
      <c r="A27" s="397"/>
      <c r="B27" s="602"/>
      <c r="C27" s="510"/>
      <c r="D27" s="510"/>
      <c r="E27" s="511"/>
      <c r="F27" s="510"/>
      <c r="G27" s="510"/>
      <c r="H27" s="510"/>
      <c r="I27" s="510"/>
      <c r="J27" s="510"/>
      <c r="K27" s="514"/>
      <c r="L27" s="511"/>
      <c r="M27" s="598"/>
      <c r="N27" s="598"/>
      <c r="O27" s="598"/>
    </row>
    <row r="28" spans="1:15" x14ac:dyDescent="0.3">
      <c r="A28" s="397"/>
      <c r="B28" s="602">
        <v>8</v>
      </c>
      <c r="C28" s="511"/>
      <c r="D28" s="510" t="s">
        <v>340</v>
      </c>
      <c r="E28" s="510"/>
      <c r="F28" s="510"/>
      <c r="G28" s="510"/>
      <c r="H28" s="510"/>
      <c r="I28" s="510"/>
      <c r="J28" s="510"/>
      <c r="K28" s="514"/>
      <c r="L28" s="511"/>
      <c r="M28" s="598"/>
      <c r="N28" s="598"/>
      <c r="O28" s="598"/>
    </row>
    <row r="29" spans="1:15" x14ac:dyDescent="0.3">
      <c r="A29" s="397"/>
      <c r="B29" s="602"/>
      <c r="C29" s="510"/>
      <c r="D29" s="510"/>
      <c r="E29" s="511"/>
      <c r="F29" s="510"/>
      <c r="G29" s="510"/>
      <c r="H29" s="510"/>
      <c r="I29" s="510"/>
      <c r="J29" s="510"/>
      <c r="K29" s="514"/>
      <c r="L29" s="511"/>
      <c r="M29" s="598"/>
      <c r="N29" s="598"/>
      <c r="O29" s="598"/>
    </row>
    <row r="30" spans="1:15" x14ac:dyDescent="0.3">
      <c r="A30" s="397"/>
      <c r="B30" s="602">
        <v>7</v>
      </c>
      <c r="C30" s="511"/>
      <c r="D30" s="510" t="s">
        <v>341</v>
      </c>
      <c r="E30" s="510"/>
      <c r="F30" s="510"/>
      <c r="G30" s="510"/>
      <c r="H30" s="510"/>
      <c r="I30" s="510"/>
      <c r="J30" s="510"/>
      <c r="K30" s="514"/>
      <c r="L30" s="511"/>
      <c r="M30" s="598"/>
      <c r="N30" s="598"/>
      <c r="O30" s="598"/>
    </row>
    <row r="31" spans="1:15" x14ac:dyDescent="0.3">
      <c r="A31" s="397"/>
      <c r="B31" s="602"/>
      <c r="C31" s="510"/>
      <c r="D31" s="510"/>
      <c r="E31" s="511"/>
      <c r="F31" s="510"/>
      <c r="G31" s="510"/>
      <c r="H31" s="510"/>
      <c r="I31" s="510"/>
      <c r="J31" s="510"/>
      <c r="K31" s="514"/>
      <c r="L31" s="511"/>
      <c r="M31" s="598"/>
      <c r="N31" s="598"/>
      <c r="O31" s="598"/>
    </row>
    <row r="32" spans="1:15" x14ac:dyDescent="0.3">
      <c r="A32" s="397"/>
      <c r="B32" s="602">
        <v>6</v>
      </c>
      <c r="C32" s="511"/>
      <c r="D32" s="510" t="s">
        <v>342</v>
      </c>
      <c r="E32" s="510"/>
      <c r="F32" s="510"/>
      <c r="G32" s="510"/>
      <c r="H32" s="510"/>
      <c r="I32" s="510"/>
      <c r="J32" s="510"/>
      <c r="K32" s="514"/>
      <c r="L32" s="511"/>
      <c r="M32" s="598"/>
      <c r="N32" s="598"/>
      <c r="O32" s="598"/>
    </row>
    <row r="33" spans="1:15" x14ac:dyDescent="0.3">
      <c r="A33" s="397"/>
      <c r="B33" s="602"/>
      <c r="C33" s="510"/>
      <c r="D33" s="510"/>
      <c r="E33" s="511"/>
      <c r="F33" s="510"/>
      <c r="G33" s="510"/>
      <c r="H33" s="510"/>
      <c r="I33" s="510"/>
      <c r="J33" s="510"/>
      <c r="K33" s="514"/>
      <c r="L33" s="511"/>
      <c r="M33" s="598"/>
      <c r="N33" s="598"/>
      <c r="O33" s="598"/>
    </row>
    <row r="34" spans="1:15" x14ac:dyDescent="0.3">
      <c r="A34" s="397"/>
      <c r="B34" s="602">
        <v>5</v>
      </c>
      <c r="C34" s="511"/>
      <c r="D34" s="510" t="s">
        <v>343</v>
      </c>
      <c r="E34" s="510"/>
      <c r="F34" s="510"/>
      <c r="G34" s="510"/>
      <c r="H34" s="510"/>
      <c r="I34" s="510"/>
      <c r="J34" s="510"/>
      <c r="K34" s="514"/>
      <c r="L34" s="511"/>
      <c r="M34" s="598"/>
      <c r="N34" s="598"/>
      <c r="O34" s="598"/>
    </row>
    <row r="35" spans="1:15" x14ac:dyDescent="0.3">
      <c r="A35" s="397"/>
      <c r="B35" s="602"/>
      <c r="C35" s="510"/>
      <c r="D35" s="510"/>
      <c r="E35" s="511"/>
      <c r="F35" s="510"/>
      <c r="G35" s="510"/>
      <c r="H35" s="510"/>
      <c r="I35" s="510"/>
      <c r="J35" s="510"/>
      <c r="K35" s="514"/>
      <c r="L35" s="511"/>
      <c r="M35" s="598"/>
      <c r="N35" s="598"/>
      <c r="O35" s="598"/>
    </row>
    <row r="36" spans="1:15" x14ac:dyDescent="0.3">
      <c r="A36" s="397"/>
      <c r="B36" s="602">
        <v>4</v>
      </c>
      <c r="C36" s="511"/>
      <c r="D36" s="510" t="s">
        <v>344</v>
      </c>
      <c r="E36" s="510"/>
      <c r="F36" s="510"/>
      <c r="G36" s="510"/>
      <c r="H36" s="510"/>
      <c r="I36" s="510"/>
      <c r="J36" s="510"/>
      <c r="K36" s="510"/>
      <c r="L36" s="510"/>
      <c r="M36" s="598"/>
      <c r="N36" s="598"/>
      <c r="O36" s="598"/>
    </row>
    <row r="37" spans="1:15" x14ac:dyDescent="0.3">
      <c r="A37" s="397"/>
      <c r="B37" s="602"/>
      <c r="C37" s="510"/>
      <c r="D37" s="510"/>
      <c r="E37" s="510" t="s">
        <v>345</v>
      </c>
      <c r="F37" s="510"/>
      <c r="G37" s="510"/>
      <c r="H37" s="510"/>
      <c r="I37" s="510"/>
      <c r="J37" s="510"/>
      <c r="K37" s="510"/>
      <c r="L37" s="510"/>
      <c r="M37" s="598"/>
      <c r="N37" s="598"/>
      <c r="O37" s="598"/>
    </row>
    <row r="38" spans="1:15" x14ac:dyDescent="0.3">
      <c r="A38" s="397"/>
      <c r="B38" s="602">
        <v>3</v>
      </c>
      <c r="C38" s="511"/>
      <c r="D38" s="510" t="s">
        <v>346</v>
      </c>
      <c r="E38" s="510"/>
      <c r="F38" s="510"/>
      <c r="G38" s="510"/>
      <c r="H38" s="510"/>
      <c r="I38" s="510"/>
      <c r="J38" s="510"/>
      <c r="K38" s="514"/>
      <c r="L38" s="511"/>
      <c r="M38" s="598"/>
      <c r="N38" s="598"/>
      <c r="O38" s="598"/>
    </row>
    <row r="39" spans="1:15" x14ac:dyDescent="0.3">
      <c r="A39" s="397"/>
      <c r="B39" s="602"/>
      <c r="C39" s="510"/>
      <c r="D39" s="510"/>
      <c r="E39" s="511"/>
      <c r="F39" s="510"/>
      <c r="G39" s="510"/>
      <c r="H39" s="510"/>
      <c r="I39" s="510"/>
      <c r="J39" s="510"/>
      <c r="K39" s="514"/>
      <c r="L39" s="511"/>
      <c r="M39" s="598"/>
      <c r="N39" s="598"/>
      <c r="O39" s="598"/>
    </row>
    <row r="40" spans="1:15" x14ac:dyDescent="0.3">
      <c r="A40" s="397"/>
      <c r="B40" s="602">
        <v>2</v>
      </c>
      <c r="C40" s="511"/>
      <c r="D40" s="510" t="s">
        <v>347</v>
      </c>
      <c r="E40" s="510"/>
      <c r="F40" s="510"/>
      <c r="G40" s="510"/>
      <c r="H40" s="510"/>
      <c r="I40" s="510"/>
      <c r="J40" s="510"/>
      <c r="K40" s="514"/>
      <c r="L40" s="511"/>
      <c r="M40" s="598"/>
      <c r="N40" s="598"/>
      <c r="O40" s="598"/>
    </row>
    <row r="41" spans="1:15" x14ac:dyDescent="0.3">
      <c r="A41" s="397"/>
      <c r="B41" s="602"/>
      <c r="C41" s="510"/>
      <c r="D41" s="510"/>
      <c r="E41" s="511"/>
      <c r="F41" s="510"/>
      <c r="G41" s="510"/>
      <c r="H41" s="510"/>
      <c r="I41" s="510"/>
      <c r="J41" s="510"/>
      <c r="K41" s="514"/>
      <c r="L41" s="511"/>
      <c r="M41" s="598"/>
      <c r="N41" s="598"/>
      <c r="O41" s="598"/>
    </row>
    <row r="42" spans="1:15" x14ac:dyDescent="0.3">
      <c r="A42" s="397"/>
      <c r="B42" s="602">
        <v>1</v>
      </c>
      <c r="C42" s="511"/>
      <c r="D42" s="510" t="s">
        <v>348</v>
      </c>
      <c r="E42" s="510"/>
      <c r="F42" s="510"/>
      <c r="G42" s="510"/>
      <c r="H42" s="510"/>
      <c r="I42" s="510"/>
      <c r="J42" s="510"/>
      <c r="K42" s="514"/>
      <c r="L42" s="511"/>
      <c r="M42" s="598"/>
      <c r="N42" s="598"/>
      <c r="O42" s="598"/>
    </row>
    <row r="43" spans="1:15" x14ac:dyDescent="0.3">
      <c r="A43" s="397"/>
      <c r="B43" s="510"/>
      <c r="C43" s="510"/>
      <c r="D43" s="510"/>
      <c r="E43" s="511"/>
      <c r="F43" s="510"/>
      <c r="G43" s="510"/>
      <c r="H43" s="510"/>
      <c r="I43" s="510"/>
      <c r="J43" s="510"/>
      <c r="K43" s="514"/>
      <c r="L43" s="511"/>
      <c r="M43" s="598"/>
      <c r="N43" s="598"/>
      <c r="O43" s="598"/>
    </row>
    <row r="44" spans="1:15" x14ac:dyDescent="0.3">
      <c r="A44" s="397"/>
      <c r="B44" s="510"/>
      <c r="C44" s="510"/>
      <c r="D44" s="510"/>
      <c r="E44" s="511"/>
      <c r="F44" s="510"/>
      <c r="G44" s="510"/>
      <c r="H44" s="510"/>
      <c r="I44" s="510"/>
      <c r="J44" s="510"/>
      <c r="K44" s="514"/>
      <c r="L44" s="511"/>
      <c r="M44" s="598"/>
      <c r="N44" s="598"/>
      <c r="O44" s="598"/>
    </row>
    <row r="45" spans="1:15" x14ac:dyDescent="0.3">
      <c r="A45" s="397"/>
      <c r="B45" s="600" t="s">
        <v>349</v>
      </c>
      <c r="C45" s="510" t="s">
        <v>350</v>
      </c>
      <c r="D45" s="510"/>
      <c r="E45" s="510"/>
      <c r="F45" s="510"/>
      <c r="G45" s="510"/>
      <c r="H45" s="510"/>
      <c r="I45" s="510"/>
      <c r="J45" s="510"/>
      <c r="K45" s="514"/>
      <c r="L45" s="511"/>
      <c r="M45" s="598"/>
      <c r="N45" s="598"/>
      <c r="O45" s="598"/>
    </row>
    <row r="46" spans="1:15" x14ac:dyDescent="0.3">
      <c r="A46" s="397"/>
      <c r="B46" s="510"/>
      <c r="C46" s="510"/>
      <c r="D46" s="510"/>
      <c r="E46" s="511"/>
      <c r="F46" s="510"/>
      <c r="G46" s="510"/>
      <c r="H46" s="510"/>
      <c r="I46" s="510"/>
      <c r="J46" s="510"/>
      <c r="K46" s="514"/>
      <c r="L46" s="511"/>
      <c r="M46" s="598"/>
      <c r="N46" s="598"/>
      <c r="O46" s="598"/>
    </row>
    <row r="47" spans="1:15" x14ac:dyDescent="0.3">
      <c r="A47" s="397"/>
      <c r="B47" s="510"/>
      <c r="C47" s="510"/>
      <c r="D47" s="510" t="s">
        <v>351</v>
      </c>
      <c r="E47" s="510"/>
      <c r="F47" s="510"/>
      <c r="G47" s="510"/>
      <c r="H47" s="510"/>
      <c r="I47" s="510"/>
      <c r="J47" s="510"/>
      <c r="K47" s="514"/>
      <c r="L47" s="511"/>
      <c r="M47" s="598"/>
      <c r="N47" s="598"/>
      <c r="O47" s="598"/>
    </row>
    <row r="48" spans="1:15" x14ac:dyDescent="0.3">
      <c r="A48" s="397"/>
      <c r="B48" s="510"/>
      <c r="C48" s="510"/>
      <c r="D48" s="510" t="s">
        <v>352</v>
      </c>
      <c r="E48" s="510"/>
      <c r="F48" s="510"/>
      <c r="G48" s="510"/>
      <c r="H48" s="510"/>
      <c r="I48" s="510"/>
      <c r="J48" s="510"/>
      <c r="K48" s="510"/>
      <c r="L48" s="511"/>
      <c r="M48" s="598"/>
      <c r="N48" s="598"/>
      <c r="O48" s="598"/>
    </row>
    <row r="49" spans="1:15" x14ac:dyDescent="0.3">
      <c r="A49" s="402"/>
      <c r="B49" s="510"/>
      <c r="C49" s="510"/>
      <c r="D49" s="510" t="s">
        <v>353</v>
      </c>
      <c r="E49" s="510"/>
      <c r="F49" s="510"/>
      <c r="G49" s="510"/>
      <c r="H49" s="510"/>
      <c r="I49" s="510"/>
      <c r="J49" s="510"/>
      <c r="K49" s="514"/>
      <c r="L49" s="511"/>
      <c r="M49" s="598"/>
      <c r="N49" s="598"/>
      <c r="O49" s="598"/>
    </row>
    <row r="50" spans="1:15" x14ac:dyDescent="0.3">
      <c r="A50" s="402"/>
      <c r="B50" s="510"/>
      <c r="C50" s="510"/>
      <c r="D50" s="670"/>
      <c r="E50" s="510"/>
      <c r="F50" s="510"/>
      <c r="G50" s="510"/>
      <c r="H50" s="510"/>
      <c r="I50" s="510"/>
      <c r="J50" s="510"/>
      <c r="K50" s="510"/>
      <c r="L50" s="511"/>
      <c r="M50" s="598"/>
      <c r="N50" s="598"/>
      <c r="O50" s="598"/>
    </row>
    <row r="51" spans="1:15" x14ac:dyDescent="0.3">
      <c r="A51" s="402"/>
      <c r="B51" s="510"/>
      <c r="C51" s="510"/>
      <c r="D51" s="510"/>
      <c r="E51" s="510"/>
      <c r="F51" s="603"/>
      <c r="G51" s="603"/>
      <c r="H51" s="603"/>
      <c r="I51" s="603"/>
      <c r="J51" s="604"/>
      <c r="K51" s="605"/>
      <c r="L51" s="604"/>
      <c r="M51" s="598"/>
      <c r="N51" s="598"/>
      <c r="O51" s="598"/>
    </row>
    <row r="52" spans="1:15" x14ac:dyDescent="0.3">
      <c r="A52" s="402"/>
      <c r="B52" s="510"/>
      <c r="C52" s="510"/>
      <c r="D52" s="510"/>
      <c r="E52" s="510"/>
      <c r="F52" s="510"/>
      <c r="G52" s="510"/>
      <c r="H52" s="510"/>
      <c r="I52" s="510"/>
      <c r="J52" s="510"/>
      <c r="K52" s="514"/>
      <c r="L52" s="511"/>
      <c r="M52" s="598"/>
      <c r="N52" s="598"/>
      <c r="O52" s="598"/>
    </row>
  </sheetData>
  <sheetProtection algorithmName="SHA-512" hashValue="k1Bm7z76tACipS1lukphMTCwfXsac66YiNCnS0+lfZScTdxgx1R83pA7LuG5eV7daXYPR1qNHZxZUzUIUw26xA==" saltValue="u3ENnpB1mRT7BXJJtQQ0fw==" spinCount="100000" sheet="1" selectLockedCells="1"/>
  <mergeCells count="1">
    <mergeCell ref="C15:N19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T158"/>
  <sheetViews>
    <sheetView showGridLines="0" workbookViewId="0">
      <selection activeCell="D17" sqref="D17"/>
    </sheetView>
  </sheetViews>
  <sheetFormatPr defaultColWidth="9.1796875" defaultRowHeight="13" x14ac:dyDescent="0.3"/>
  <cols>
    <col min="1" max="1" width="9.1796875" style="364"/>
    <col min="2" max="2" width="7.453125" style="364" customWidth="1"/>
    <col min="3" max="6" width="9.1796875" style="364"/>
    <col min="7" max="7" width="6.453125" style="364" customWidth="1"/>
    <col min="8" max="10" width="9.1796875" style="364"/>
    <col min="11" max="13" width="4.7265625" style="364" customWidth="1"/>
    <col min="14" max="16384" width="9.1796875" style="364"/>
  </cols>
  <sheetData>
    <row r="3" spans="2:14" ht="13.5" thickBot="1" x14ac:dyDescent="0.35"/>
    <row r="4" spans="2:14" ht="13.5" thickTop="1" x14ac:dyDescent="0.3">
      <c r="B4" s="410"/>
      <c r="C4" s="411"/>
      <c r="D4" s="412"/>
      <c r="E4" s="413"/>
      <c r="F4" s="414"/>
      <c r="G4" s="415"/>
      <c r="H4" s="416"/>
      <c r="I4" s="415"/>
      <c r="J4" s="417"/>
      <c r="K4" s="415"/>
      <c r="L4" s="558"/>
      <c r="M4" s="402"/>
      <c r="N4" s="365"/>
    </row>
    <row r="5" spans="2:14" x14ac:dyDescent="0.3">
      <c r="B5" s="418"/>
      <c r="C5" s="166"/>
      <c r="D5" s="163"/>
      <c r="E5" s="57"/>
      <c r="F5" s="57"/>
      <c r="G5" s="27"/>
      <c r="H5" s="99"/>
      <c r="I5" s="27"/>
      <c r="J5" s="159"/>
      <c r="K5" s="27"/>
      <c r="L5" s="559"/>
      <c r="M5" s="402"/>
      <c r="N5" s="365"/>
    </row>
    <row r="6" spans="2:14" x14ac:dyDescent="0.3">
      <c r="B6" s="418"/>
      <c r="C6" s="166" t="s">
        <v>227</v>
      </c>
      <c r="D6" s="117"/>
      <c r="E6" s="117"/>
      <c r="F6" s="99"/>
      <c r="G6" s="99"/>
      <c r="H6" s="72" t="s">
        <v>448</v>
      </c>
      <c r="I6" s="712"/>
      <c r="J6" s="713"/>
      <c r="K6" s="380"/>
      <c r="L6" s="557"/>
      <c r="M6" s="405"/>
      <c r="N6" s="381"/>
    </row>
    <row r="7" spans="2:14" x14ac:dyDescent="0.3">
      <c r="B7" s="551"/>
      <c r="C7" s="99"/>
      <c r="D7" s="99"/>
      <c r="E7" s="57"/>
      <c r="F7" s="99"/>
      <c r="G7" s="99"/>
      <c r="H7" s="27"/>
      <c r="I7" s="68" t="s">
        <v>127</v>
      </c>
      <c r="J7" s="99" t="s">
        <v>494</v>
      </c>
      <c r="K7" s="380"/>
      <c r="L7" s="557"/>
      <c r="M7" s="405"/>
    </row>
    <row r="8" spans="2:14" x14ac:dyDescent="0.3">
      <c r="B8" s="551"/>
      <c r="C8" s="169" t="s">
        <v>228</v>
      </c>
      <c r="D8" s="66" t="s">
        <v>115</v>
      </c>
      <c r="E8" s="66" t="s">
        <v>116</v>
      </c>
      <c r="F8" s="27" t="s">
        <v>129</v>
      </c>
      <c r="G8" s="380"/>
      <c r="H8" s="99"/>
      <c r="I8" s="68" t="s">
        <v>128</v>
      </c>
      <c r="J8" s="99" t="s">
        <v>495</v>
      </c>
      <c r="K8" s="380"/>
      <c r="L8" s="557"/>
      <c r="M8" s="405"/>
    </row>
    <row r="9" spans="2:14" x14ac:dyDescent="0.3">
      <c r="B9" s="483"/>
      <c r="C9" s="555" t="s">
        <v>493</v>
      </c>
      <c r="D9" s="96"/>
      <c r="E9" s="556"/>
      <c r="F9" s="96"/>
      <c r="G9" s="380"/>
      <c r="H9" s="322"/>
      <c r="I9" s="99"/>
      <c r="J9" s="27"/>
      <c r="K9" s="60"/>
      <c r="L9" s="560"/>
      <c r="M9" s="405"/>
    </row>
    <row r="10" spans="2:14" x14ac:dyDescent="0.3">
      <c r="B10" s="483"/>
      <c r="C10" s="168"/>
      <c r="D10" s="307"/>
      <c r="E10" s="66" t="s">
        <v>468</v>
      </c>
      <c r="F10" s="27"/>
      <c r="G10" s="361" t="str">
        <f>IF(F9&gt;14, "No Greater than 14","")</f>
        <v/>
      </c>
      <c r="H10" s="27"/>
      <c r="I10" s="99"/>
      <c r="J10" s="27"/>
      <c r="K10" s="99"/>
      <c r="L10" s="560"/>
      <c r="M10" s="405"/>
    </row>
    <row r="11" spans="2:14" x14ac:dyDescent="0.3">
      <c r="B11" s="483"/>
      <c r="C11" s="168"/>
      <c r="D11" s="110"/>
      <c r="E11" s="170"/>
      <c r="F11" s="110"/>
      <c r="G11" s="99"/>
      <c r="H11" s="99"/>
      <c r="I11" s="99"/>
      <c r="J11" s="27"/>
      <c r="K11" s="99"/>
      <c r="L11" s="560"/>
      <c r="M11" s="405"/>
    </row>
    <row r="12" spans="2:14" x14ac:dyDescent="0.3">
      <c r="B12" s="483"/>
      <c r="C12" s="380"/>
      <c r="D12" s="711" t="s">
        <v>498</v>
      </c>
      <c r="E12" s="711"/>
      <c r="F12" s="711"/>
      <c r="G12" s="711"/>
      <c r="H12" s="711"/>
      <c r="I12" s="711"/>
      <c r="J12" s="563"/>
      <c r="K12" s="99"/>
      <c r="L12" s="560"/>
      <c r="M12" s="405"/>
    </row>
    <row r="13" spans="2:14" x14ac:dyDescent="0.3">
      <c r="B13" s="483"/>
      <c r="C13" s="168"/>
      <c r="D13" s="110"/>
      <c r="E13" s="170"/>
      <c r="F13" s="110"/>
      <c r="G13" s="99"/>
      <c r="H13" s="99"/>
      <c r="I13" s="99"/>
      <c r="J13" s="27"/>
      <c r="K13" s="99"/>
      <c r="L13" s="560"/>
      <c r="M13" s="405"/>
    </row>
    <row r="14" spans="2:14" x14ac:dyDescent="0.3">
      <c r="B14" s="418"/>
      <c r="C14" s="171" t="s">
        <v>496</v>
      </c>
      <c r="D14" s="99"/>
      <c r="E14" s="99"/>
      <c r="F14" s="27"/>
      <c r="G14" s="27"/>
      <c r="H14" s="171" t="s">
        <v>229</v>
      </c>
      <c r="I14" s="99"/>
      <c r="J14" s="99"/>
      <c r="K14" s="99"/>
      <c r="L14" s="560"/>
      <c r="M14" s="432"/>
    </row>
    <row r="15" spans="2:14" x14ac:dyDescent="0.3">
      <c r="B15" s="418"/>
      <c r="C15" s="27"/>
      <c r="D15" s="99" t="s">
        <v>492</v>
      </c>
      <c r="E15" s="99"/>
      <c r="F15" s="27"/>
      <c r="G15" s="111"/>
      <c r="H15" s="170"/>
      <c r="I15" s="27"/>
      <c r="J15" s="99"/>
      <c r="K15" s="99"/>
      <c r="L15" s="560"/>
      <c r="M15" s="432"/>
    </row>
    <row r="16" spans="2:14" x14ac:dyDescent="0.3">
      <c r="B16" s="552"/>
      <c r="C16" s="142" t="s">
        <v>20</v>
      </c>
      <c r="D16" s="173" t="s">
        <v>98</v>
      </c>
      <c r="E16" s="99"/>
      <c r="F16" s="83" t="s">
        <v>173</v>
      </c>
      <c r="G16" s="27"/>
      <c r="H16" s="27"/>
      <c r="I16" s="99"/>
      <c r="J16" s="99"/>
      <c r="K16" s="99"/>
      <c r="L16" s="560"/>
      <c r="M16" s="432"/>
    </row>
    <row r="17" spans="2:13" x14ac:dyDescent="0.3">
      <c r="B17" s="553" t="str">
        <f>IF(D17="","",1)</f>
        <v/>
      </c>
      <c r="C17" s="75" t="str">
        <f>IF(D17&lt;&gt;0,2,"")</f>
        <v/>
      </c>
      <c r="D17" s="201"/>
      <c r="E17" s="141" t="s">
        <v>230</v>
      </c>
      <c r="F17" s="84" t="s">
        <v>174</v>
      </c>
      <c r="G17" s="27"/>
      <c r="H17" s="174" t="s">
        <v>97</v>
      </c>
      <c r="I17" s="562" t="s">
        <v>497</v>
      </c>
      <c r="J17" s="142" t="s">
        <v>67</v>
      </c>
      <c r="K17" s="99"/>
      <c r="L17" s="560"/>
      <c r="M17" s="432"/>
    </row>
    <row r="18" spans="2:13" x14ac:dyDescent="0.3">
      <c r="B18" s="553" t="str">
        <f>IF(D18="","",1)</f>
        <v/>
      </c>
      <c r="C18" s="75" t="str">
        <f>IF(D18&lt;&gt;0,4,"")</f>
        <v/>
      </c>
      <c r="D18" s="201"/>
      <c r="E18" s="84" t="s">
        <v>169</v>
      </c>
      <c r="F18" s="84" t="s">
        <v>175</v>
      </c>
      <c r="G18" s="27"/>
      <c r="H18" s="115" t="s">
        <v>99</v>
      </c>
      <c r="I18" s="201"/>
      <c r="J18" s="140" t="str">
        <f>IF(I18&lt;&gt;0,4,"")</f>
        <v/>
      </c>
      <c r="K18" s="155" t="str">
        <f>IF(J18="","",1)</f>
        <v/>
      </c>
      <c r="L18" s="561"/>
      <c r="M18" s="432"/>
    </row>
    <row r="19" spans="2:13" x14ac:dyDescent="0.3">
      <c r="B19" s="553" t="str">
        <f>IF(D19="","",1)</f>
        <v/>
      </c>
      <c r="C19" s="75" t="str">
        <f>IF(D19&lt;&gt;0,6,"")</f>
        <v/>
      </c>
      <c r="D19" s="673"/>
      <c r="E19" s="141" t="s">
        <v>231</v>
      </c>
      <c r="F19" s="84" t="s">
        <v>176</v>
      </c>
      <c r="G19" s="27"/>
      <c r="H19" s="115" t="s">
        <v>100</v>
      </c>
      <c r="I19" s="201"/>
      <c r="J19" s="140" t="str">
        <f>IF(I19&lt;&gt;0,8,"")</f>
        <v/>
      </c>
      <c r="K19" s="155" t="str">
        <f>IF(J19="","",1)</f>
        <v/>
      </c>
      <c r="L19" s="561"/>
      <c r="M19" s="432"/>
    </row>
    <row r="20" spans="2:13" x14ac:dyDescent="0.3">
      <c r="B20" s="553" t="str">
        <f>IF(D20="","",1)</f>
        <v/>
      </c>
      <c r="C20" s="75" t="str">
        <f>IF(D20&lt;&gt;0,8,"")</f>
        <v/>
      </c>
      <c r="D20" s="201"/>
      <c r="E20" s="141" t="s">
        <v>170</v>
      </c>
      <c r="F20" s="84" t="s">
        <v>177</v>
      </c>
      <c r="G20" s="27"/>
      <c r="H20" s="115" t="s">
        <v>101</v>
      </c>
      <c r="I20" s="673"/>
      <c r="J20" s="140" t="str">
        <f>IF(I20&lt;&gt;0,12,"")</f>
        <v/>
      </c>
      <c r="K20" s="155" t="str">
        <f>IF(J20="","",1)</f>
        <v/>
      </c>
      <c r="L20" s="561"/>
      <c r="M20" s="432"/>
    </row>
    <row r="21" spans="2:13" x14ac:dyDescent="0.3">
      <c r="B21" s="553"/>
      <c r="C21" s="75" t="str">
        <f>IF(D21&lt;&gt;0,10,"")</f>
        <v/>
      </c>
      <c r="D21" s="201"/>
      <c r="E21" s="141" t="s">
        <v>171</v>
      </c>
      <c r="F21" s="84" t="s">
        <v>178</v>
      </c>
      <c r="G21" s="27"/>
      <c r="H21" s="115" t="s">
        <v>233</v>
      </c>
      <c r="I21" s="201"/>
      <c r="J21" s="140" t="str">
        <f>IF(I21&lt;&gt;0,16,"")</f>
        <v/>
      </c>
      <c r="K21" s="549" t="str">
        <f>IF(J21="","",1)</f>
        <v/>
      </c>
      <c r="L21" s="561"/>
      <c r="M21" s="432"/>
    </row>
    <row r="22" spans="2:13" x14ac:dyDescent="0.3">
      <c r="B22" s="553"/>
      <c r="C22" s="74">
        <f>IF(C24&gt;1,0,SUM(C17:C21))</f>
        <v>0</v>
      </c>
      <c r="D22" s="60"/>
      <c r="E22" s="99"/>
      <c r="F22" s="84"/>
      <c r="G22" s="27"/>
      <c r="H22" s="99"/>
      <c r="I22" s="99"/>
      <c r="J22" s="74">
        <f>IF(K24&gt;1,0,SUM(J18:J21))</f>
        <v>0</v>
      </c>
      <c r="K22" s="155"/>
      <c r="L22" s="561"/>
      <c r="M22" s="432"/>
    </row>
    <row r="23" spans="2:13" x14ac:dyDescent="0.3">
      <c r="B23" s="554" t="str">
        <f>IF(D21="","",1)</f>
        <v/>
      </c>
      <c r="C23" s="409"/>
      <c r="D23" s="409"/>
      <c r="E23" s="409"/>
      <c r="F23" s="409"/>
      <c r="G23" s="406"/>
      <c r="H23" s="407"/>
      <c r="I23" s="408"/>
      <c r="J23" s="407"/>
      <c r="K23" s="550"/>
      <c r="L23" s="561"/>
      <c r="M23" s="432"/>
    </row>
    <row r="24" spans="2:13" ht="13.5" thickBot="1" x14ac:dyDescent="0.35">
      <c r="B24" s="421"/>
      <c r="C24" s="422">
        <f>SUM(B17:B23)</f>
        <v>0</v>
      </c>
      <c r="D24" s="423"/>
      <c r="E24" s="423"/>
      <c r="F24" s="423"/>
      <c r="G24" s="423"/>
      <c r="H24" s="423"/>
      <c r="I24" s="424"/>
      <c r="J24" s="425"/>
      <c r="K24" s="422">
        <f>SUM(K19:K22)</f>
        <v>0</v>
      </c>
      <c r="L24" s="557"/>
      <c r="M24" s="404"/>
    </row>
    <row r="25" spans="2:13" ht="13.5" thickTop="1" x14ac:dyDescent="0.3"/>
    <row r="35" spans="1:18" x14ac:dyDescent="0.3"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</row>
    <row r="36" spans="1:18" s="491" customFormat="1" ht="11.25" customHeight="1" x14ac:dyDescent="0.3">
      <c r="A36" s="709"/>
      <c r="B36" s="6" t="s">
        <v>524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</row>
    <row r="37" spans="1:18" s="491" customFormat="1" ht="11.25" customHeight="1" x14ac:dyDescent="0.3">
      <c r="A37" s="709"/>
      <c r="B37" s="1" t="s">
        <v>26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</row>
    <row r="38" spans="1:18" s="491" customFormat="1" ht="11.25" customHeight="1" x14ac:dyDescent="0.3">
      <c r="A38" s="709"/>
      <c r="B38" s="1" t="s">
        <v>27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8" s="491" customFormat="1" ht="11.25" customHeight="1" x14ac:dyDescent="0.3">
      <c r="A39" s="70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8" s="491" customFormat="1" ht="11.25" customHeight="1" x14ac:dyDescent="0.3">
      <c r="A40" s="709"/>
      <c r="B40" s="1"/>
      <c r="C40" s="1"/>
      <c r="D40" s="1"/>
      <c r="E40" s="1"/>
      <c r="F40" s="1"/>
      <c r="G40" s="1"/>
      <c r="H40" s="3"/>
      <c r="I40" s="715" t="s">
        <v>354</v>
      </c>
      <c r="J40" s="715"/>
      <c r="K40" s="715"/>
      <c r="L40" s="1"/>
      <c r="M40" s="1"/>
      <c r="R40" s="564"/>
    </row>
    <row r="41" spans="1:18" s="491" customFormat="1" ht="11.25" customHeight="1" x14ac:dyDescent="0.3">
      <c r="A41" s="709"/>
      <c r="B41" s="362" t="s">
        <v>470</v>
      </c>
      <c r="C41" s="5"/>
      <c r="D41" s="5"/>
      <c r="E41" s="5"/>
      <c r="F41" s="5"/>
      <c r="G41" s="1"/>
      <c r="H41" s="1"/>
      <c r="I41" s="715"/>
      <c r="J41" s="715"/>
      <c r="K41" s="715"/>
      <c r="L41" s="5"/>
      <c r="M41" s="1"/>
    </row>
    <row r="42" spans="1:18" s="491" customFormat="1" ht="11.25" customHeight="1" x14ac:dyDescent="0.3">
      <c r="A42" s="709"/>
      <c r="B42" s="1"/>
      <c r="C42" s="1"/>
      <c r="D42" s="1"/>
      <c r="E42" s="1"/>
      <c r="F42" s="1"/>
      <c r="G42" s="1"/>
      <c r="H42" s="1"/>
      <c r="I42" s="715"/>
      <c r="J42" s="715"/>
      <c r="K42" s="715"/>
      <c r="L42" s="1"/>
      <c r="M42" s="1"/>
    </row>
    <row r="43" spans="1:18" s="491" customFormat="1" ht="11.25" customHeight="1" x14ac:dyDescent="0.3">
      <c r="A43" s="70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8" s="491" customFormat="1" ht="11.25" customHeight="1" x14ac:dyDescent="0.3">
      <c r="A44" s="709"/>
      <c r="B44" s="667" t="s">
        <v>28</v>
      </c>
      <c r="C44" s="126">
        <v>0</v>
      </c>
      <c r="D44" s="3"/>
      <c r="E44" s="1" t="s">
        <v>28</v>
      </c>
      <c r="F44" s="1" t="s">
        <v>29</v>
      </c>
      <c r="G44" s="1"/>
      <c r="H44" s="1"/>
      <c r="I44" s="1"/>
      <c r="J44" s="1"/>
      <c r="K44" s="1"/>
      <c r="L44" s="4"/>
      <c r="M44" s="2"/>
      <c r="N44" s="564"/>
    </row>
    <row r="45" spans="1:18" s="491" customFormat="1" ht="11.25" customHeight="1" x14ac:dyDescent="0.3">
      <c r="A45" s="709"/>
      <c r="B45" s="668"/>
      <c r="C45" s="126"/>
      <c r="D45" s="3"/>
      <c r="E45" s="1"/>
      <c r="F45" s="1" t="s">
        <v>30</v>
      </c>
      <c r="G45" s="1"/>
      <c r="H45" s="1"/>
      <c r="I45" s="1"/>
      <c r="J45" s="1"/>
      <c r="K45" s="1"/>
      <c r="L45" s="4"/>
      <c r="M45" s="2"/>
      <c r="N45" s="564"/>
    </row>
    <row r="46" spans="1:18" s="491" customFormat="1" ht="11.25" customHeight="1" x14ac:dyDescent="0.3">
      <c r="A46" s="709"/>
      <c r="B46" s="10"/>
      <c r="C46" s="126"/>
      <c r="D46" s="3"/>
      <c r="E46" s="3"/>
      <c r="F46" s="3"/>
      <c r="G46" s="3"/>
      <c r="H46" s="1"/>
      <c r="I46" s="1"/>
      <c r="J46" s="1"/>
      <c r="K46" s="1"/>
      <c r="L46" s="1"/>
      <c r="M46" s="2"/>
      <c r="N46" s="564"/>
      <c r="O46" s="564"/>
      <c r="P46" s="564"/>
      <c r="Q46" s="564"/>
    </row>
    <row r="47" spans="1:18" s="491" customFormat="1" ht="11.25" customHeight="1" x14ac:dyDescent="0.3">
      <c r="A47" s="709"/>
      <c r="B47" s="668" t="s">
        <v>31</v>
      </c>
      <c r="C47" s="126">
        <v>2</v>
      </c>
      <c r="D47" s="3"/>
      <c r="E47" s="1" t="s">
        <v>31</v>
      </c>
      <c r="F47" s="1" t="s">
        <v>32</v>
      </c>
      <c r="G47" s="1"/>
      <c r="H47" s="1"/>
      <c r="I47" s="1"/>
      <c r="J47" s="1"/>
      <c r="K47" s="1"/>
      <c r="L47" s="4"/>
      <c r="M47" s="2"/>
      <c r="N47" s="564"/>
      <c r="Q47" s="564"/>
    </row>
    <row r="48" spans="1:18" s="491" customFormat="1" ht="11.25" customHeight="1" x14ac:dyDescent="0.3">
      <c r="A48" s="709"/>
      <c r="B48" s="668"/>
      <c r="C48" s="126"/>
      <c r="D48" s="3"/>
      <c r="E48" s="3"/>
      <c r="F48" s="3"/>
      <c r="G48" s="3" t="s">
        <v>33</v>
      </c>
      <c r="H48" s="3"/>
      <c r="I48" s="3"/>
      <c r="J48" s="1"/>
      <c r="K48" s="1"/>
      <c r="L48" s="4"/>
      <c r="M48" s="2"/>
      <c r="N48" s="564"/>
      <c r="O48" s="564"/>
      <c r="P48" s="564"/>
      <c r="Q48" s="564"/>
    </row>
    <row r="49" spans="1:17" s="491" customFormat="1" ht="11.25" customHeight="1" x14ac:dyDescent="0.3">
      <c r="A49" s="709"/>
      <c r="B49" s="10"/>
      <c r="C49" s="126"/>
      <c r="D49" s="3"/>
      <c r="E49" s="3"/>
      <c r="F49" s="3"/>
      <c r="G49" s="3"/>
      <c r="H49" s="1"/>
      <c r="I49" s="1"/>
      <c r="J49" s="1"/>
      <c r="K49" s="1"/>
      <c r="L49" s="1"/>
      <c r="M49" s="2"/>
      <c r="N49" s="564"/>
      <c r="O49" s="564"/>
      <c r="P49" s="564"/>
      <c r="Q49" s="564"/>
    </row>
    <row r="50" spans="1:17" s="491" customFormat="1" ht="11.25" customHeight="1" x14ac:dyDescent="0.3">
      <c r="A50" s="709"/>
      <c r="B50" s="667" t="s">
        <v>34</v>
      </c>
      <c r="C50" s="126">
        <v>4</v>
      </c>
      <c r="D50" s="3"/>
      <c r="E50" s="1" t="s">
        <v>34</v>
      </c>
      <c r="F50" s="1" t="s">
        <v>35</v>
      </c>
      <c r="G50" s="1"/>
      <c r="H50" s="1"/>
      <c r="I50" s="1"/>
      <c r="J50" s="1"/>
      <c r="K50" s="1"/>
      <c r="L50" s="4"/>
      <c r="M50" s="2"/>
      <c r="N50" s="564"/>
    </row>
    <row r="51" spans="1:17" s="491" customFormat="1" ht="11.25" customHeight="1" x14ac:dyDescent="0.3">
      <c r="A51" s="709"/>
      <c r="B51" s="668"/>
      <c r="C51" s="126"/>
      <c r="D51" s="3"/>
      <c r="E51" s="3"/>
      <c r="F51" s="1" t="s">
        <v>36</v>
      </c>
      <c r="G51" s="1"/>
      <c r="H51" s="1"/>
      <c r="I51" s="1"/>
      <c r="J51" s="1"/>
      <c r="K51" s="1"/>
      <c r="L51" s="4"/>
      <c r="M51" s="2"/>
      <c r="N51" s="564"/>
      <c r="O51" s="564"/>
      <c r="Q51" s="564"/>
    </row>
    <row r="52" spans="1:17" s="491" customFormat="1" ht="11.25" customHeight="1" x14ac:dyDescent="0.3">
      <c r="A52" s="709"/>
      <c r="B52" s="668"/>
      <c r="C52" s="126"/>
      <c r="D52" s="3"/>
      <c r="E52" s="3"/>
      <c r="F52" s="1" t="s">
        <v>37</v>
      </c>
      <c r="G52" s="1"/>
      <c r="H52" s="1"/>
      <c r="I52" s="1"/>
      <c r="J52" s="1"/>
      <c r="K52" s="1"/>
      <c r="L52" s="4"/>
      <c r="M52" s="2"/>
      <c r="N52" s="564"/>
      <c r="O52" s="564"/>
      <c r="Q52" s="564"/>
    </row>
    <row r="53" spans="1:17" s="491" customFormat="1" ht="11.25" customHeight="1" x14ac:dyDescent="0.3">
      <c r="A53" s="709"/>
      <c r="B53" s="668" t="s">
        <v>38</v>
      </c>
      <c r="C53" s="126">
        <v>6</v>
      </c>
      <c r="D53" s="3"/>
      <c r="E53" s="1" t="s">
        <v>38</v>
      </c>
      <c r="F53" s="1" t="s">
        <v>39</v>
      </c>
      <c r="G53" s="1"/>
      <c r="H53" s="1"/>
      <c r="I53" s="1"/>
      <c r="J53" s="1"/>
      <c r="K53" s="1"/>
      <c r="L53" s="4"/>
      <c r="M53" s="2"/>
      <c r="N53" s="564"/>
      <c r="Q53" s="564"/>
    </row>
    <row r="54" spans="1:17" s="491" customFormat="1" ht="11.25" customHeight="1" x14ac:dyDescent="0.3">
      <c r="A54" s="709"/>
      <c r="B54" s="668"/>
      <c r="C54" s="126"/>
      <c r="D54" s="3"/>
      <c r="E54" s="3"/>
      <c r="F54" s="1" t="s">
        <v>40</v>
      </c>
      <c r="G54" s="1"/>
      <c r="H54" s="1"/>
      <c r="I54" s="1"/>
      <c r="J54" s="1"/>
      <c r="K54" s="1"/>
      <c r="L54" s="4"/>
      <c r="M54" s="2"/>
      <c r="N54" s="564"/>
      <c r="O54" s="564"/>
      <c r="Q54" s="564"/>
    </row>
    <row r="55" spans="1:17" s="491" customFormat="1" ht="11.25" customHeight="1" x14ac:dyDescent="0.3">
      <c r="A55" s="709"/>
      <c r="B55" s="668"/>
      <c r="C55" s="126"/>
      <c r="D55" s="3"/>
      <c r="E55" s="3"/>
      <c r="F55" s="1" t="s">
        <v>41</v>
      </c>
      <c r="G55" s="1"/>
      <c r="H55" s="1"/>
      <c r="I55" s="1"/>
      <c r="J55" s="1"/>
      <c r="K55" s="1"/>
      <c r="L55" s="4"/>
      <c r="M55" s="2"/>
      <c r="N55" s="564"/>
      <c r="O55" s="564"/>
      <c r="Q55" s="564"/>
    </row>
    <row r="56" spans="1:17" s="491" customFormat="1" ht="11.25" customHeight="1" x14ac:dyDescent="0.3">
      <c r="A56" s="709"/>
      <c r="B56" s="668" t="s">
        <v>42</v>
      </c>
      <c r="C56" s="126">
        <v>8</v>
      </c>
      <c r="D56" s="3"/>
      <c r="E56" s="1" t="s">
        <v>42</v>
      </c>
      <c r="F56" s="1" t="s">
        <v>43</v>
      </c>
      <c r="G56" s="1"/>
      <c r="H56" s="1"/>
      <c r="I56" s="1"/>
      <c r="J56" s="1"/>
      <c r="K56" s="1"/>
      <c r="L56" s="4"/>
      <c r="M56" s="2"/>
      <c r="N56" s="564"/>
    </row>
    <row r="57" spans="1:17" s="491" customFormat="1" ht="11.25" customHeight="1" x14ac:dyDescent="0.3">
      <c r="A57" s="709"/>
      <c r="B57" s="668"/>
      <c r="C57" s="126"/>
      <c r="D57" s="3"/>
      <c r="E57" s="3"/>
      <c r="F57" s="1" t="s">
        <v>44</v>
      </c>
      <c r="G57" s="1"/>
      <c r="H57" s="1"/>
      <c r="I57" s="1"/>
      <c r="J57" s="1"/>
      <c r="K57" s="1"/>
      <c r="L57" s="4"/>
      <c r="M57" s="2"/>
      <c r="N57" s="564"/>
      <c r="O57" s="564"/>
      <c r="Q57" s="564"/>
    </row>
    <row r="58" spans="1:17" s="491" customFormat="1" ht="11.25" customHeight="1" x14ac:dyDescent="0.3">
      <c r="A58" s="709"/>
      <c r="B58" s="668"/>
      <c r="C58" s="126"/>
      <c r="D58" s="3"/>
      <c r="E58" s="1"/>
      <c r="F58" s="1" t="s">
        <v>45</v>
      </c>
      <c r="G58" s="1"/>
      <c r="H58" s="1"/>
      <c r="I58" s="1"/>
      <c r="J58" s="1"/>
      <c r="K58" s="1"/>
      <c r="L58" s="4"/>
      <c r="M58" s="2"/>
      <c r="N58" s="564"/>
    </row>
    <row r="59" spans="1:17" s="491" customFormat="1" ht="11.25" customHeight="1" x14ac:dyDescent="0.3">
      <c r="A59" s="709"/>
      <c r="B59" s="668" t="s">
        <v>46</v>
      </c>
      <c r="C59" s="126">
        <v>10</v>
      </c>
      <c r="D59" s="3"/>
      <c r="E59" s="1" t="s">
        <v>46</v>
      </c>
      <c r="F59" s="1" t="s">
        <v>47</v>
      </c>
      <c r="G59" s="1"/>
      <c r="H59" s="1"/>
      <c r="I59" s="1"/>
      <c r="J59" s="1"/>
      <c r="K59" s="1"/>
      <c r="L59" s="4"/>
      <c r="M59" s="2"/>
      <c r="N59" s="564"/>
      <c r="Q59" s="564"/>
    </row>
    <row r="60" spans="1:17" s="491" customFormat="1" ht="11.25" customHeight="1" x14ac:dyDescent="0.3">
      <c r="A60" s="709"/>
      <c r="B60" s="4"/>
      <c r="C60" s="1"/>
      <c r="D60" s="3"/>
      <c r="E60" s="3"/>
      <c r="F60" s="1" t="s">
        <v>48</v>
      </c>
      <c r="G60" s="1"/>
      <c r="H60" s="1"/>
      <c r="I60" s="1"/>
      <c r="J60" s="1"/>
      <c r="K60" s="1"/>
      <c r="L60" s="4"/>
      <c r="M60" s="1"/>
      <c r="N60" s="564"/>
      <c r="O60" s="564"/>
      <c r="Q60" s="564"/>
    </row>
    <row r="61" spans="1:17" s="491" customFormat="1" ht="11.25" customHeight="1" x14ac:dyDescent="0.3">
      <c r="A61" s="709"/>
      <c r="B61" s="4"/>
      <c r="C61" s="3"/>
      <c r="D61" s="3"/>
      <c r="E61" s="3"/>
      <c r="F61" s="1" t="s">
        <v>49</v>
      </c>
      <c r="G61" s="1"/>
      <c r="H61" s="1"/>
      <c r="I61" s="1"/>
      <c r="J61" s="1"/>
      <c r="K61" s="1"/>
      <c r="L61" s="4"/>
      <c r="M61" s="3"/>
      <c r="N61" s="564"/>
      <c r="O61" s="564"/>
      <c r="Q61" s="564"/>
    </row>
    <row r="62" spans="1:17" s="491" customFormat="1" ht="11.25" customHeight="1" x14ac:dyDescent="0.3">
      <c r="A62" s="709"/>
      <c r="B62" s="4"/>
      <c r="C62" s="189" t="s">
        <v>50</v>
      </c>
      <c r="D62" s="1"/>
      <c r="E62" s="1"/>
      <c r="F62" s="1"/>
      <c r="G62" s="1"/>
      <c r="H62" s="1"/>
      <c r="I62" s="1"/>
      <c r="J62" s="1"/>
      <c r="K62" s="1"/>
      <c r="L62" s="4"/>
      <c r="M62" s="1"/>
    </row>
    <row r="63" spans="1:17" s="491" customFormat="1" ht="11.25" customHeight="1" x14ac:dyDescent="0.3">
      <c r="A63" s="709"/>
      <c r="B63" s="4"/>
      <c r="C63" s="1"/>
      <c r="D63" s="1"/>
      <c r="E63" s="1"/>
      <c r="F63" s="1"/>
      <c r="G63" s="1"/>
      <c r="H63" s="1"/>
      <c r="I63" s="1"/>
      <c r="J63" s="1"/>
      <c r="K63" s="1"/>
      <c r="L63" s="4"/>
      <c r="M63" s="1"/>
    </row>
    <row r="64" spans="1:17" s="491" customFormat="1" ht="11.25" customHeight="1" x14ac:dyDescent="0.3">
      <c r="A64" s="709"/>
      <c r="B64" s="4"/>
      <c r="C64" s="1"/>
      <c r="D64" s="1"/>
      <c r="E64" s="1"/>
      <c r="F64" s="1"/>
      <c r="G64" s="1"/>
      <c r="H64" s="1"/>
      <c r="I64" s="1"/>
      <c r="J64" s="1"/>
      <c r="K64" s="1"/>
      <c r="L64" s="4"/>
      <c r="M64" s="1"/>
    </row>
    <row r="65" spans="1:17" s="491" customFormat="1" ht="11.25" customHeight="1" x14ac:dyDescent="0.3">
      <c r="A65" s="709"/>
      <c r="B65" s="4"/>
      <c r="C65" s="1"/>
      <c r="D65" s="1"/>
      <c r="E65" s="1"/>
      <c r="F65" s="1"/>
      <c r="G65" s="1"/>
      <c r="H65" s="1"/>
      <c r="I65" s="1"/>
      <c r="J65" s="1"/>
      <c r="K65" s="1"/>
      <c r="L65" s="4"/>
      <c r="M65" s="1"/>
    </row>
    <row r="66" spans="1:17" s="491" customFormat="1" ht="11.25" customHeight="1" x14ac:dyDescent="0.3">
      <c r="A66" s="709"/>
      <c r="B66" s="3"/>
      <c r="C66" s="3"/>
      <c r="D66" s="3"/>
      <c r="E66" s="1"/>
      <c r="F66" s="1"/>
      <c r="G66" s="1"/>
      <c r="H66" s="1"/>
      <c r="I66" s="1"/>
      <c r="J66" s="1"/>
      <c r="K66" s="1"/>
      <c r="L66" s="3"/>
      <c r="M66" s="3"/>
      <c r="N66" s="564"/>
    </row>
    <row r="67" spans="1:17" s="491" customFormat="1" ht="11.25" customHeight="1" x14ac:dyDescent="0.3">
      <c r="A67" s="709"/>
      <c r="B67" s="5" t="s">
        <v>472</v>
      </c>
      <c r="C67" s="5"/>
      <c r="D67" s="5"/>
      <c r="E67" s="1" t="s">
        <v>296</v>
      </c>
      <c r="F67" s="1"/>
      <c r="G67" s="3"/>
      <c r="H67" s="1" t="s">
        <v>325</v>
      </c>
      <c r="I67" s="1"/>
      <c r="J67" s="1" t="s">
        <v>326</v>
      </c>
      <c r="K67" s="1"/>
      <c r="L67" s="5"/>
      <c r="M67" s="1"/>
      <c r="Q67" s="564"/>
    </row>
    <row r="68" spans="1:17" s="491" customFormat="1" ht="11.25" customHeight="1" x14ac:dyDescent="0.3">
      <c r="A68" s="709"/>
      <c r="B68" s="5"/>
      <c r="C68" s="1"/>
      <c r="D68" s="1"/>
      <c r="E68" s="1"/>
      <c r="F68" s="1"/>
      <c r="G68" s="1"/>
      <c r="H68" s="1"/>
      <c r="I68" s="1"/>
      <c r="J68" s="1"/>
      <c r="K68" s="1"/>
      <c r="L68" s="5"/>
      <c r="M68" s="1"/>
    </row>
    <row r="69" spans="1:17" s="491" customFormat="1" ht="11.25" customHeight="1" x14ac:dyDescent="0.3">
      <c r="A69" s="709"/>
      <c r="B69" s="5"/>
      <c r="C69" s="1"/>
      <c r="D69" s="1"/>
      <c r="E69" s="1"/>
      <c r="F69" s="1"/>
      <c r="G69" s="1"/>
      <c r="H69" s="1"/>
      <c r="I69" s="1"/>
      <c r="J69" s="1"/>
      <c r="K69" s="1"/>
      <c r="L69" s="5"/>
      <c r="M69" s="1"/>
    </row>
    <row r="70" spans="1:17" s="491" customFormat="1" ht="11.25" customHeight="1" x14ac:dyDescent="0.3">
      <c r="A70" s="709"/>
      <c r="B70" s="5"/>
      <c r="C70" s="1"/>
      <c r="D70" s="1"/>
      <c r="E70" s="1"/>
      <c r="F70" s="1"/>
      <c r="G70" s="1"/>
      <c r="H70" s="1"/>
      <c r="I70" s="1"/>
      <c r="J70" s="1"/>
      <c r="K70" s="1"/>
      <c r="L70" s="5"/>
      <c r="M70" s="1"/>
    </row>
    <row r="71" spans="1:17" s="491" customFormat="1" ht="11.25" customHeight="1" x14ac:dyDescent="0.3">
      <c r="A71" s="709"/>
      <c r="B71" s="5"/>
      <c r="C71" s="1"/>
      <c r="D71" s="1"/>
      <c r="E71" s="1"/>
      <c r="F71" s="1"/>
      <c r="G71" s="1"/>
      <c r="H71" s="1"/>
      <c r="I71" s="1"/>
      <c r="J71" s="1"/>
      <c r="K71" s="1"/>
      <c r="L71" s="5"/>
      <c r="M71" s="1"/>
    </row>
    <row r="72" spans="1:17" s="491" customFormat="1" ht="11.25" customHeight="1" x14ac:dyDescent="0.3">
      <c r="A72" s="70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7" s="491" customFormat="1" ht="11.25" customHeight="1" x14ac:dyDescent="0.3">
      <c r="A73" s="709"/>
      <c r="B73" s="5" t="s">
        <v>471</v>
      </c>
      <c r="C73" s="5"/>
      <c r="D73" s="5"/>
      <c r="E73" s="5"/>
      <c r="F73" s="5"/>
      <c r="G73" s="1"/>
      <c r="H73" s="1"/>
      <c r="I73" s="1"/>
      <c r="J73" s="1"/>
      <c r="K73" s="1"/>
      <c r="L73" s="5"/>
      <c r="M73" s="1"/>
    </row>
    <row r="74" spans="1:17" s="491" customFormat="1" ht="11.25" customHeight="1" x14ac:dyDescent="0.3">
      <c r="A74" s="70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7" s="491" customFormat="1" ht="11.25" customHeight="1" x14ac:dyDescent="0.3">
      <c r="A75" s="489"/>
      <c r="B75" s="1" t="s">
        <v>1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7" s="491" customFormat="1" ht="11.25" customHeight="1" x14ac:dyDescent="0.3">
      <c r="A76" s="489"/>
      <c r="B76" s="667" t="s">
        <v>28</v>
      </c>
      <c r="C76" s="9">
        <v>0</v>
      </c>
      <c r="D76" s="13"/>
      <c r="E76" s="1" t="s">
        <v>28</v>
      </c>
      <c r="F76" s="1" t="s">
        <v>51</v>
      </c>
      <c r="G76" s="1"/>
      <c r="H76" s="1"/>
      <c r="I76" s="1"/>
      <c r="J76" s="1"/>
      <c r="K76" s="1"/>
      <c r="L76" s="4"/>
      <c r="M76" s="2"/>
    </row>
    <row r="77" spans="1:17" s="491" customFormat="1" ht="11.25" customHeight="1" x14ac:dyDescent="0.3">
      <c r="A77" s="489"/>
      <c r="B77" s="668"/>
      <c r="C77" s="9"/>
      <c r="D77" s="3"/>
      <c r="E77" s="1"/>
      <c r="F77" s="1"/>
      <c r="G77" s="1"/>
      <c r="H77" s="1"/>
      <c r="I77" s="1"/>
      <c r="J77" s="1"/>
      <c r="K77" s="1"/>
      <c r="L77" s="4"/>
      <c r="M77" s="2"/>
      <c r="N77" s="564"/>
    </row>
    <row r="78" spans="1:17" s="491" customFormat="1" ht="11.25" customHeight="1" x14ac:dyDescent="0.3">
      <c r="A78" s="489"/>
      <c r="B78" s="668" t="s">
        <v>31</v>
      </c>
      <c r="C78" s="9">
        <v>8</v>
      </c>
      <c r="D78" s="3"/>
      <c r="E78" s="1" t="s">
        <v>31</v>
      </c>
      <c r="F78" s="1" t="s">
        <v>52</v>
      </c>
      <c r="G78" s="1"/>
      <c r="H78" s="1"/>
      <c r="I78" s="1"/>
      <c r="J78" s="1"/>
      <c r="K78" s="1"/>
      <c r="L78" s="4"/>
      <c r="M78" s="2"/>
      <c r="N78" s="564"/>
      <c r="Q78" s="564"/>
    </row>
    <row r="79" spans="1:17" s="491" customFormat="1" ht="11.25" customHeight="1" x14ac:dyDescent="0.3">
      <c r="A79" s="489"/>
      <c r="B79" s="668"/>
      <c r="C79" s="9"/>
      <c r="D79" s="3"/>
      <c r="E79" s="1"/>
      <c r="F79" s="1"/>
      <c r="G79" s="3"/>
      <c r="H79" s="1"/>
      <c r="I79" s="1"/>
      <c r="J79" s="1"/>
      <c r="K79" s="1"/>
      <c r="L79" s="4"/>
      <c r="M79" s="2"/>
      <c r="N79" s="564"/>
      <c r="Q79" s="564"/>
    </row>
    <row r="80" spans="1:17" s="491" customFormat="1" ht="11.25" customHeight="1" x14ac:dyDescent="0.3">
      <c r="A80" s="489"/>
      <c r="B80" s="668" t="s">
        <v>38</v>
      </c>
      <c r="C80" s="9">
        <v>12</v>
      </c>
      <c r="D80" s="3"/>
      <c r="E80" s="1" t="s">
        <v>38</v>
      </c>
      <c r="F80" s="1" t="s">
        <v>53</v>
      </c>
      <c r="G80" s="1"/>
      <c r="H80" s="1"/>
      <c r="I80" s="1"/>
      <c r="J80" s="1"/>
      <c r="K80" s="1"/>
      <c r="L80" s="4"/>
      <c r="M80" s="2"/>
      <c r="N80" s="564"/>
      <c r="Q80" s="564"/>
    </row>
    <row r="81" spans="1:20" s="491" customFormat="1" ht="11.25" customHeight="1" x14ac:dyDescent="0.3">
      <c r="A81" s="489"/>
      <c r="B81" s="669"/>
      <c r="C81" s="9"/>
      <c r="D81" s="3"/>
      <c r="E81" s="3"/>
      <c r="F81" s="1" t="s">
        <v>54</v>
      </c>
      <c r="G81" s="1"/>
      <c r="H81" s="1"/>
      <c r="I81" s="1"/>
      <c r="J81" s="1"/>
      <c r="K81" s="1"/>
      <c r="L81" s="14"/>
      <c r="M81" s="2"/>
      <c r="N81" s="564"/>
      <c r="O81" s="564"/>
      <c r="Q81" s="564"/>
    </row>
    <row r="82" spans="1:20" s="491" customFormat="1" ht="11.25" customHeight="1" x14ac:dyDescent="0.3">
      <c r="A82" s="489"/>
      <c r="B82" s="668" t="s">
        <v>46</v>
      </c>
      <c r="C82" s="9">
        <v>16</v>
      </c>
      <c r="D82" s="3"/>
      <c r="E82" s="1" t="s">
        <v>46</v>
      </c>
      <c r="F82" s="1" t="s">
        <v>55</v>
      </c>
      <c r="G82" s="1"/>
      <c r="H82" s="1"/>
      <c r="I82" s="1"/>
      <c r="J82" s="1"/>
      <c r="K82" s="1"/>
      <c r="L82" s="4"/>
      <c r="M82" s="2"/>
      <c r="N82" s="564"/>
      <c r="Q82" s="564"/>
    </row>
    <row r="83" spans="1:20" s="491" customFormat="1" ht="11.25" customHeight="1" x14ac:dyDescent="0.3">
      <c r="A83" s="489"/>
      <c r="B83" s="669"/>
      <c r="C83" s="9"/>
      <c r="D83" s="3"/>
      <c r="E83" s="3"/>
      <c r="F83" s="1" t="s">
        <v>56</v>
      </c>
      <c r="G83" s="1"/>
      <c r="H83" s="1"/>
      <c r="I83" s="1"/>
      <c r="J83" s="1"/>
      <c r="K83" s="1"/>
      <c r="L83" s="14"/>
      <c r="M83" s="2"/>
      <c r="N83" s="564"/>
      <c r="O83" s="564"/>
      <c r="Q83" s="564"/>
    </row>
    <row r="84" spans="1:20" s="491" customFormat="1" ht="11.25" customHeight="1" x14ac:dyDescent="0.3">
      <c r="A84" s="489"/>
      <c r="B84" s="667" t="s">
        <v>57</v>
      </c>
      <c r="C84" s="9">
        <v>20</v>
      </c>
      <c r="D84" s="15"/>
      <c r="E84" s="1" t="s">
        <v>57</v>
      </c>
      <c r="F84" s="1" t="s">
        <v>58</v>
      </c>
      <c r="G84" s="1"/>
      <c r="H84" s="1"/>
      <c r="I84" s="1"/>
      <c r="J84" s="1"/>
      <c r="K84" s="1"/>
      <c r="L84" s="4"/>
      <c r="M84" s="2"/>
    </row>
    <row r="85" spans="1:20" s="491" customFormat="1" ht="11.25" customHeight="1" x14ac:dyDescent="0.3">
      <c r="A85" s="489"/>
      <c r="B85" s="3"/>
      <c r="C85" s="3"/>
      <c r="D85" s="3"/>
      <c r="E85" s="1"/>
      <c r="F85" s="1" t="s">
        <v>59</v>
      </c>
      <c r="G85" s="1"/>
      <c r="H85" s="1"/>
      <c r="I85" s="1"/>
      <c r="J85" s="1"/>
      <c r="K85" s="1"/>
      <c r="L85" s="3"/>
      <c r="M85" s="3"/>
      <c r="N85" s="564"/>
      <c r="Q85" s="564"/>
    </row>
    <row r="86" spans="1:20" s="491" customFormat="1" ht="11.25" customHeight="1" x14ac:dyDescent="0.3">
      <c r="A86" s="489"/>
      <c r="B86" s="1"/>
      <c r="C86" s="1"/>
      <c r="D86" s="1"/>
      <c r="E86" s="1"/>
      <c r="F86" s="1"/>
      <c r="G86" s="3"/>
      <c r="H86" s="1"/>
      <c r="I86" s="1"/>
      <c r="J86" s="1"/>
      <c r="K86" s="1"/>
      <c r="L86" s="1"/>
      <c r="M86" s="1"/>
      <c r="Q86" s="564"/>
    </row>
    <row r="87" spans="1:20" s="491" customFormat="1" ht="11.25" customHeight="1" x14ac:dyDescent="0.3">
      <c r="A87" s="489"/>
      <c r="B87" s="1"/>
      <c r="C87" s="189" t="s">
        <v>50</v>
      </c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20" s="491" customFormat="1" ht="11.25" customHeight="1" x14ac:dyDescent="0.3">
      <c r="A88" s="48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20" s="491" customFormat="1" ht="11.25" customHeight="1" x14ac:dyDescent="0.3">
      <c r="A89" s="489"/>
      <c r="B89" s="1"/>
      <c r="C89" s="1"/>
      <c r="D89" s="1"/>
      <c r="E89" s="1"/>
      <c r="F89" s="1"/>
      <c r="G89" s="3"/>
      <c r="H89" s="1"/>
      <c r="I89" s="1"/>
      <c r="J89" s="1"/>
      <c r="K89" s="1"/>
      <c r="L89" s="1"/>
      <c r="M89" s="1"/>
      <c r="Q89" s="564"/>
    </row>
    <row r="90" spans="1:20" s="491" customFormat="1" ht="11.25" customHeight="1" x14ac:dyDescent="0.3">
      <c r="A90" s="489"/>
      <c r="B90" s="1" t="s">
        <v>3</v>
      </c>
      <c r="C90" s="1"/>
      <c r="D90" s="1"/>
      <c r="E90" s="1"/>
      <c r="F90" s="1"/>
      <c r="G90" s="3"/>
      <c r="H90" s="1" t="s">
        <v>6</v>
      </c>
      <c r="I90" s="1"/>
      <c r="J90" s="1"/>
      <c r="K90" s="16"/>
      <c r="L90" s="1"/>
      <c r="M90" s="1"/>
      <c r="Q90" s="564"/>
      <c r="S90" s="564"/>
    </row>
    <row r="91" spans="1:20" s="491" customFormat="1" ht="11.25" customHeight="1" x14ac:dyDescent="0.3">
      <c r="A91" s="489"/>
      <c r="B91" s="1"/>
      <c r="C91" s="1" t="s">
        <v>25</v>
      </c>
      <c r="D91" s="1"/>
      <c r="E91" s="1"/>
      <c r="F91" s="1"/>
      <c r="G91" s="3"/>
      <c r="H91" s="1" t="s">
        <v>7</v>
      </c>
      <c r="I91" s="3"/>
      <c r="J91" s="1"/>
      <c r="K91" s="17"/>
      <c r="L91" s="1"/>
      <c r="M91" s="1"/>
      <c r="Q91" s="564"/>
      <c r="S91" s="564"/>
    </row>
    <row r="92" spans="1:20" s="491" customFormat="1" ht="11.25" customHeight="1" x14ac:dyDescent="0.3">
      <c r="A92" s="489"/>
      <c r="B92" s="1"/>
      <c r="C92" s="1"/>
      <c r="D92" s="1"/>
      <c r="E92" s="1"/>
      <c r="F92" s="1"/>
      <c r="G92" s="3"/>
      <c r="H92" s="1" t="s">
        <v>8</v>
      </c>
      <c r="I92" s="1"/>
      <c r="J92" s="1"/>
      <c r="K92" s="17"/>
      <c r="L92" s="1"/>
      <c r="M92" s="1"/>
      <c r="Q92" s="564"/>
      <c r="S92" s="564"/>
    </row>
    <row r="93" spans="1:20" s="491" customFormat="1" ht="11.25" customHeight="1" thickBot="1" x14ac:dyDescent="0.35">
      <c r="A93" s="489"/>
      <c r="B93" s="1"/>
      <c r="C93" s="1"/>
      <c r="D93" s="1"/>
      <c r="E93" s="1"/>
      <c r="F93" s="1"/>
      <c r="G93" s="3"/>
      <c r="H93" s="1"/>
      <c r="I93" s="1"/>
      <c r="J93" s="1"/>
      <c r="K93" s="1"/>
      <c r="L93" s="1"/>
      <c r="M93" s="1"/>
      <c r="Q93" s="564"/>
    </row>
    <row r="94" spans="1:20" s="491" customFormat="1" ht="11.25" customHeight="1" thickBot="1" x14ac:dyDescent="0.35">
      <c r="A94" s="489"/>
      <c r="B94" s="1"/>
      <c r="C94" s="1"/>
      <c r="D94" s="1"/>
      <c r="E94" s="1"/>
      <c r="F94" s="3"/>
      <c r="G94" s="3"/>
      <c r="H94" s="3"/>
      <c r="I94" s="1"/>
      <c r="J94" s="8" t="s">
        <v>60</v>
      </c>
      <c r="K94" s="19">
        <f>IF(STRUCTURE!D9&gt;40,40,STRUCTURE!D9)</f>
        <v>0</v>
      </c>
      <c r="L94" s="1"/>
      <c r="M94" s="1"/>
      <c r="P94" s="564"/>
      <c r="Q94" s="564"/>
      <c r="R94" s="564"/>
      <c r="T94" s="565"/>
    </row>
    <row r="95" spans="1:20" s="491" customFormat="1" ht="11.25" customHeight="1" x14ac:dyDescent="0.3">
      <c r="A95" s="489"/>
      <c r="B95" s="1"/>
      <c r="C95" s="1"/>
      <c r="D95" s="1"/>
      <c r="E95" s="1"/>
      <c r="F95" s="1"/>
      <c r="G95" s="3"/>
      <c r="H95" s="10" t="s">
        <v>61</v>
      </c>
      <c r="I95" s="10"/>
      <c r="J95" s="10"/>
      <c r="K95" s="10"/>
      <c r="L95" s="1"/>
      <c r="M95" s="1"/>
      <c r="Q95" s="564"/>
      <c r="R95" s="500"/>
    </row>
    <row r="96" spans="1:20" s="491" customFormat="1" ht="11.25" customHeight="1" x14ac:dyDescent="0.3">
      <c r="A96" s="489"/>
      <c r="B96" s="1"/>
      <c r="C96" s="1"/>
      <c r="D96" s="1"/>
      <c r="E96" s="1"/>
      <c r="F96" s="1"/>
      <c r="G96" s="3"/>
      <c r="H96" s="10"/>
      <c r="I96" s="10"/>
      <c r="J96" s="10"/>
      <c r="K96" s="10"/>
      <c r="L96" s="1"/>
      <c r="M96" s="1"/>
      <c r="Q96" s="564"/>
      <c r="R96" s="500"/>
    </row>
    <row r="97" spans="1:18" s="491" customFormat="1" ht="11.25" customHeight="1" x14ac:dyDescent="0.3">
      <c r="A97" s="489"/>
      <c r="B97" s="1"/>
      <c r="C97" s="1"/>
      <c r="D97" s="1"/>
      <c r="E97" s="1"/>
      <c r="F97" s="1"/>
      <c r="G97" s="3"/>
      <c r="H97" s="10"/>
      <c r="I97" s="10"/>
      <c r="J97" s="10"/>
      <c r="K97" s="10"/>
      <c r="L97" s="1"/>
      <c r="M97" s="1"/>
      <c r="Q97" s="564"/>
      <c r="R97" s="500"/>
    </row>
    <row r="98" spans="1:18" s="491" customFormat="1" ht="11.25" customHeight="1" x14ac:dyDescent="0.3">
      <c r="A98" s="489"/>
      <c r="B98" s="20"/>
      <c r="C98" s="20"/>
      <c r="D98" s="20"/>
      <c r="E98" s="20"/>
      <c r="F98" s="20"/>
      <c r="G98" s="20"/>
      <c r="H98" s="1"/>
      <c r="I98" s="1"/>
      <c r="J98" s="718" t="s">
        <v>322</v>
      </c>
      <c r="K98" s="718"/>
      <c r="L98" s="718"/>
      <c r="M98" s="1"/>
    </row>
    <row r="99" spans="1:18" s="491" customFormat="1" ht="11.25" customHeight="1" x14ac:dyDescent="0.3">
      <c r="A99" s="489"/>
      <c r="B99" s="20"/>
      <c r="C99" s="20"/>
      <c r="D99" s="20"/>
      <c r="E99" s="20"/>
      <c r="F99" s="20"/>
      <c r="G99" s="20"/>
      <c r="H99" s="1"/>
      <c r="I99" s="1"/>
      <c r="J99" s="718"/>
      <c r="K99" s="718"/>
      <c r="L99" s="718"/>
      <c r="M99" s="1"/>
    </row>
    <row r="100" spans="1:18" s="491" customFormat="1" ht="11.25" customHeight="1" x14ac:dyDescent="0.3">
      <c r="A100" s="709"/>
      <c r="B100" s="179" t="s">
        <v>523</v>
      </c>
      <c r="C100" s="20"/>
      <c r="D100" s="20"/>
      <c r="E100" s="20"/>
      <c r="F100" s="20"/>
      <c r="G100" s="20"/>
      <c r="H100" s="1"/>
      <c r="I100" s="1"/>
      <c r="J100" s="718"/>
      <c r="K100" s="718"/>
      <c r="L100" s="718"/>
      <c r="M100" s="1"/>
    </row>
    <row r="101" spans="1:18" s="491" customFormat="1" ht="11.25" customHeight="1" x14ac:dyDescent="0.3">
      <c r="A101" s="709"/>
      <c r="B101" s="21"/>
      <c r="C101" s="20" t="s">
        <v>89</v>
      </c>
      <c r="D101" s="20"/>
      <c r="E101" s="20"/>
      <c r="F101" s="20"/>
      <c r="G101" s="20"/>
      <c r="H101" s="20"/>
      <c r="I101" s="20"/>
      <c r="J101" s="714" t="s">
        <v>354</v>
      </c>
      <c r="K101" s="714"/>
      <c r="L101" s="714"/>
      <c r="M101" s="1"/>
    </row>
    <row r="102" spans="1:18" s="491" customFormat="1" ht="11.25" customHeight="1" x14ac:dyDescent="0.3">
      <c r="A102" s="709"/>
      <c r="B102" s="21"/>
      <c r="C102" s="20" t="s">
        <v>27</v>
      </c>
      <c r="D102" s="20"/>
      <c r="E102" s="20"/>
      <c r="F102" s="20"/>
      <c r="G102" s="20"/>
      <c r="H102" s="20"/>
      <c r="I102" s="20"/>
      <c r="J102" s="714"/>
      <c r="K102" s="714"/>
      <c r="L102" s="714"/>
      <c r="M102" s="1"/>
    </row>
    <row r="103" spans="1:18" s="491" customFormat="1" ht="11.25" customHeight="1" x14ac:dyDescent="0.65">
      <c r="A103" s="709"/>
      <c r="B103" s="20"/>
      <c r="C103" s="20"/>
      <c r="D103" s="20"/>
      <c r="E103" s="20"/>
      <c r="F103" s="20"/>
      <c r="G103" s="20"/>
      <c r="H103" s="20"/>
      <c r="I103" s="20"/>
      <c r="J103" s="284"/>
      <c r="K103" s="284"/>
      <c r="L103" s="284"/>
      <c r="M103" s="1"/>
    </row>
    <row r="104" spans="1:18" s="491" customFormat="1" ht="11.25" customHeight="1" x14ac:dyDescent="0.65">
      <c r="A104" s="709"/>
      <c r="B104" s="285" t="s">
        <v>474</v>
      </c>
      <c r="C104" s="286"/>
      <c r="D104" s="286"/>
      <c r="E104" s="286"/>
      <c r="F104" s="287" t="s">
        <v>90</v>
      </c>
      <c r="G104" s="286"/>
      <c r="H104" s="227"/>
      <c r="I104" s="227"/>
      <c r="J104" s="288"/>
      <c r="K104" s="288"/>
      <c r="L104" s="289"/>
      <c r="M104" s="1"/>
    </row>
    <row r="105" spans="1:18" s="491" customFormat="1" ht="11.25" customHeight="1" x14ac:dyDescent="0.3">
      <c r="A105" s="709"/>
      <c r="B105" s="104"/>
      <c r="C105" s="27"/>
      <c r="D105" s="27"/>
      <c r="E105" s="27"/>
      <c r="F105" s="27"/>
      <c r="G105" s="27"/>
      <c r="H105" s="27"/>
      <c r="I105" s="27"/>
      <c r="J105" s="27"/>
      <c r="K105" s="27"/>
      <c r="L105" s="290"/>
      <c r="M105" s="1"/>
    </row>
    <row r="106" spans="1:18" s="491" customFormat="1" ht="11.25" customHeight="1" x14ac:dyDescent="0.3">
      <c r="A106" s="709"/>
      <c r="B106" s="291" t="s">
        <v>31</v>
      </c>
      <c r="C106" s="75">
        <v>0</v>
      </c>
      <c r="D106" s="24"/>
      <c r="E106" s="102" t="s">
        <v>31</v>
      </c>
      <c r="F106" s="27" t="s">
        <v>62</v>
      </c>
      <c r="G106" s="27"/>
      <c r="H106" s="27"/>
      <c r="I106" s="27"/>
      <c r="J106" s="27"/>
      <c r="K106" s="27"/>
      <c r="L106" s="290"/>
      <c r="M106" s="1"/>
    </row>
    <row r="107" spans="1:18" s="491" customFormat="1" ht="11.25" customHeight="1" x14ac:dyDescent="0.3">
      <c r="A107" s="709"/>
      <c r="B107" s="291"/>
      <c r="C107" s="75"/>
      <c r="D107" s="102"/>
      <c r="E107" s="102"/>
      <c r="F107" s="27"/>
      <c r="G107" s="27" t="s">
        <v>63</v>
      </c>
      <c r="H107" s="27"/>
      <c r="I107" s="27"/>
      <c r="J107" s="27"/>
      <c r="K107" s="27"/>
      <c r="L107" s="290"/>
      <c r="M107" s="1"/>
    </row>
    <row r="108" spans="1:18" s="491" customFormat="1" ht="11.25" customHeight="1" x14ac:dyDescent="0.3">
      <c r="A108" s="709"/>
      <c r="B108" s="291"/>
      <c r="C108" s="75"/>
      <c r="D108" s="102"/>
      <c r="E108" s="102"/>
      <c r="F108" s="27"/>
      <c r="G108" s="27"/>
      <c r="H108" s="27"/>
      <c r="I108" s="27"/>
      <c r="J108" s="27"/>
      <c r="K108" s="27"/>
      <c r="L108" s="290"/>
      <c r="M108" s="1"/>
    </row>
    <row r="109" spans="1:18" s="491" customFormat="1" ht="11.25" customHeight="1" x14ac:dyDescent="0.3">
      <c r="A109" s="709"/>
      <c r="B109" s="291" t="s">
        <v>38</v>
      </c>
      <c r="C109" s="75">
        <v>2</v>
      </c>
      <c r="D109" s="102"/>
      <c r="E109" s="102" t="s">
        <v>38</v>
      </c>
      <c r="F109" s="27" t="s">
        <v>64</v>
      </c>
      <c r="G109" s="27"/>
      <c r="H109" s="27"/>
      <c r="I109" s="27"/>
      <c r="J109" s="27"/>
      <c r="K109" s="27"/>
      <c r="L109" s="290"/>
      <c r="M109" s="1"/>
    </row>
    <row r="110" spans="1:18" s="491" customFormat="1" ht="11.25" customHeight="1" x14ac:dyDescent="0.3">
      <c r="A110" s="709"/>
      <c r="B110" s="291"/>
      <c r="C110" s="75"/>
      <c r="D110" s="102"/>
      <c r="E110" s="102"/>
      <c r="F110" s="27"/>
      <c r="G110" s="27" t="s">
        <v>65</v>
      </c>
      <c r="H110" s="27"/>
      <c r="I110" s="27"/>
      <c r="J110" s="27"/>
      <c r="K110" s="27"/>
      <c r="L110" s="290"/>
      <c r="M110" s="1"/>
    </row>
    <row r="111" spans="1:18" s="491" customFormat="1" ht="11.25" customHeight="1" x14ac:dyDescent="0.3">
      <c r="A111" s="709"/>
      <c r="B111" s="291"/>
      <c r="C111" s="75"/>
      <c r="D111" s="102"/>
      <c r="E111" s="102"/>
      <c r="F111" s="27"/>
      <c r="G111" s="27"/>
      <c r="H111" s="27"/>
      <c r="I111" s="27"/>
      <c r="J111" s="27"/>
      <c r="K111" s="27"/>
      <c r="L111" s="290"/>
      <c r="M111" s="1"/>
    </row>
    <row r="112" spans="1:18" s="491" customFormat="1" ht="11.25" customHeight="1" x14ac:dyDescent="0.3">
      <c r="A112" s="709"/>
      <c r="B112" s="291" t="s">
        <v>46</v>
      </c>
      <c r="C112" s="75">
        <v>4</v>
      </c>
      <c r="D112" s="25"/>
      <c r="E112" s="102" t="s">
        <v>46</v>
      </c>
      <c r="F112" s="27" t="s">
        <v>66</v>
      </c>
      <c r="G112" s="27"/>
      <c r="H112" s="27"/>
      <c r="I112" s="27"/>
      <c r="J112" s="27"/>
      <c r="K112" s="27"/>
      <c r="L112" s="290"/>
      <c r="M112" s="1"/>
    </row>
    <row r="113" spans="1:17" s="491" customFormat="1" ht="11.25" customHeight="1" x14ac:dyDescent="0.3">
      <c r="A113" s="709"/>
      <c r="B113" s="291"/>
      <c r="C113" s="66"/>
      <c r="D113" s="102"/>
      <c r="E113" s="102"/>
      <c r="F113" s="27"/>
      <c r="G113" s="27"/>
      <c r="H113" s="27"/>
      <c r="I113" s="27"/>
      <c r="J113" s="27"/>
      <c r="K113" s="27"/>
      <c r="L113" s="290"/>
      <c r="M113" s="1"/>
    </row>
    <row r="114" spans="1:17" s="491" customFormat="1" ht="11.25" customHeight="1" x14ac:dyDescent="0.3">
      <c r="A114" s="709"/>
      <c r="B114" s="716" t="s">
        <v>355</v>
      </c>
      <c r="C114" s="717"/>
      <c r="D114" s="717"/>
      <c r="E114" s="27"/>
      <c r="F114" s="27" t="s">
        <v>522</v>
      </c>
      <c r="G114" s="27"/>
      <c r="H114" s="27"/>
      <c r="I114" s="27"/>
      <c r="J114" s="27"/>
      <c r="K114" s="27"/>
      <c r="L114" s="290"/>
      <c r="M114" s="1"/>
    </row>
    <row r="115" spans="1:17" s="491" customFormat="1" ht="11.25" customHeight="1" x14ac:dyDescent="0.3">
      <c r="A115" s="709"/>
      <c r="B115" s="716"/>
      <c r="C115" s="717"/>
      <c r="D115" s="717"/>
      <c r="E115" s="27"/>
      <c r="F115" s="27" t="s">
        <v>521</v>
      </c>
      <c r="G115" s="27"/>
      <c r="H115" s="27"/>
      <c r="I115" s="27"/>
      <c r="J115" s="27"/>
      <c r="K115" s="27"/>
      <c r="L115" s="290"/>
      <c r="M115" s="1"/>
    </row>
    <row r="116" spans="1:17" s="491" customFormat="1" ht="11.25" customHeight="1" x14ac:dyDescent="0.3">
      <c r="A116" s="709"/>
      <c r="B116" s="104"/>
      <c r="C116" s="27"/>
      <c r="D116" s="27"/>
      <c r="E116" s="27"/>
      <c r="F116" s="27"/>
      <c r="G116" s="27"/>
      <c r="H116" s="27"/>
      <c r="I116" s="27"/>
      <c r="J116" s="27"/>
      <c r="K116" s="27"/>
      <c r="L116" s="290"/>
      <c r="M116" s="1"/>
    </row>
    <row r="117" spans="1:17" s="491" customFormat="1" ht="11.25" customHeight="1" x14ac:dyDescent="0.3">
      <c r="A117" s="709"/>
      <c r="B117" s="104"/>
      <c r="C117" s="27"/>
      <c r="D117" s="27"/>
      <c r="E117" s="27"/>
      <c r="F117" s="27"/>
      <c r="G117" s="27"/>
      <c r="H117" s="27"/>
      <c r="I117" s="27"/>
      <c r="J117" s="27"/>
      <c r="K117" s="27"/>
      <c r="L117" s="290"/>
      <c r="M117" s="1"/>
    </row>
    <row r="118" spans="1:17" s="491" customFormat="1" ht="11.25" customHeight="1" x14ac:dyDescent="0.3">
      <c r="A118" s="709"/>
      <c r="B118" s="104"/>
      <c r="C118" s="27"/>
      <c r="D118" s="27"/>
      <c r="E118" s="27"/>
      <c r="F118" s="27"/>
      <c r="G118" s="27"/>
      <c r="H118" s="99"/>
      <c r="I118" s="29" t="s">
        <v>91</v>
      </c>
      <c r="J118" s="62"/>
      <c r="K118" s="664" t="s">
        <v>92</v>
      </c>
      <c r="L118" s="290"/>
      <c r="M118" s="1"/>
    </row>
    <row r="119" spans="1:17" s="491" customFormat="1" ht="11.25" customHeight="1" x14ac:dyDescent="0.3">
      <c r="A119" s="709"/>
      <c r="B119" s="292"/>
      <c r="C119" s="27"/>
      <c r="D119" s="27"/>
      <c r="E119" s="27"/>
      <c r="F119" s="27"/>
      <c r="G119" s="27"/>
      <c r="H119" s="99"/>
      <c r="I119" s="99"/>
      <c r="J119" s="99"/>
      <c r="K119" s="665"/>
      <c r="L119" s="290"/>
      <c r="M119" s="1"/>
    </row>
    <row r="120" spans="1:17" s="491" customFormat="1" ht="11.25" customHeight="1" x14ac:dyDescent="0.3">
      <c r="A120" s="709"/>
      <c r="B120" s="292"/>
      <c r="C120" s="27"/>
      <c r="D120" s="27"/>
      <c r="E120" s="27"/>
      <c r="F120" s="27"/>
      <c r="G120" s="27"/>
      <c r="H120" s="99"/>
      <c r="I120" s="99"/>
      <c r="J120" s="99"/>
      <c r="K120" s="665"/>
      <c r="L120" s="290"/>
      <c r="M120" s="1"/>
    </row>
    <row r="121" spans="1:17" s="491" customFormat="1" ht="11.25" customHeight="1" x14ac:dyDescent="0.3">
      <c r="A121" s="709"/>
      <c r="B121" s="363" t="s">
        <v>475</v>
      </c>
      <c r="C121" s="27"/>
      <c r="D121" s="141"/>
      <c r="E121" s="293" t="s">
        <v>90</v>
      </c>
      <c r="F121" s="27"/>
      <c r="G121" s="27"/>
      <c r="H121" s="27"/>
      <c r="I121" s="294"/>
      <c r="J121" s="27"/>
      <c r="K121" s="666"/>
      <c r="L121" s="290"/>
      <c r="M121" s="1"/>
    </row>
    <row r="122" spans="1:17" s="491" customFormat="1" ht="11.25" customHeight="1" x14ac:dyDescent="0.3">
      <c r="A122" s="709"/>
      <c r="B122" s="295"/>
      <c r="C122" s="27"/>
      <c r="D122" s="175"/>
      <c r="E122" s="27"/>
      <c r="F122" s="27"/>
      <c r="G122" s="27"/>
      <c r="H122" s="27"/>
      <c r="I122" s="296"/>
      <c r="J122" s="297"/>
      <c r="K122" s="666"/>
      <c r="L122" s="290"/>
      <c r="M122" s="1"/>
    </row>
    <row r="123" spans="1:17" s="491" customFormat="1" ht="11.25" customHeight="1" x14ac:dyDescent="0.3">
      <c r="A123" s="709"/>
      <c r="B123" s="291" t="s">
        <v>31</v>
      </c>
      <c r="C123" s="75">
        <v>0</v>
      </c>
      <c r="D123" s="296"/>
      <c r="E123" s="27"/>
      <c r="F123" s="27"/>
      <c r="G123" s="27"/>
      <c r="H123" s="27"/>
      <c r="I123" s="296"/>
      <c r="J123" s="60"/>
      <c r="K123" s="665"/>
      <c r="L123" s="290"/>
      <c r="M123" s="127"/>
      <c r="N123" s="566"/>
      <c r="O123" s="567"/>
    </row>
    <row r="124" spans="1:17" s="491" customFormat="1" ht="11.25" customHeight="1" x14ac:dyDescent="0.3">
      <c r="A124" s="709"/>
      <c r="B124" s="291" t="s">
        <v>38</v>
      </c>
      <c r="C124" s="75">
        <v>6</v>
      </c>
      <c r="D124" s="298" t="s">
        <v>109</v>
      </c>
      <c r="E124" s="18"/>
      <c r="F124" s="27"/>
      <c r="G124" s="27"/>
      <c r="H124" s="27"/>
      <c r="I124" s="29" t="s">
        <v>110</v>
      </c>
      <c r="J124" s="62"/>
      <c r="K124" s="664" t="s">
        <v>92</v>
      </c>
      <c r="L124" s="290"/>
      <c r="M124" s="127"/>
      <c r="N124" s="567"/>
      <c r="O124" s="567"/>
    </row>
    <row r="125" spans="1:17" s="491" customFormat="1" ht="11.25" customHeight="1" x14ac:dyDescent="0.3">
      <c r="A125" s="709"/>
      <c r="B125" s="291" t="s">
        <v>46</v>
      </c>
      <c r="C125" s="75">
        <v>10</v>
      </c>
      <c r="D125" s="296"/>
      <c r="E125" s="27"/>
      <c r="F125" s="294"/>
      <c r="G125" s="294"/>
      <c r="H125" s="294"/>
      <c r="I125" s="294"/>
      <c r="J125" s="60"/>
      <c r="K125" s="665"/>
      <c r="L125" s="290"/>
      <c r="M125" s="128"/>
      <c r="N125" s="568"/>
      <c r="O125" s="568"/>
      <c r="Q125" s="564"/>
    </row>
    <row r="126" spans="1:17" s="491" customFormat="1" ht="11.25" customHeight="1" x14ac:dyDescent="0.3">
      <c r="A126" s="709"/>
      <c r="B126" s="104"/>
      <c r="C126" s="27"/>
      <c r="D126" s="296"/>
      <c r="E126" s="27"/>
      <c r="F126" s="294"/>
      <c r="G126" s="294"/>
      <c r="H126" s="294"/>
      <c r="I126" s="294"/>
      <c r="J126" s="299"/>
      <c r="K126" s="666"/>
      <c r="L126" s="300"/>
      <c r="M126" s="128"/>
      <c r="N126" s="568"/>
      <c r="O126" s="568"/>
      <c r="Q126" s="564"/>
    </row>
    <row r="127" spans="1:17" s="491" customFormat="1" ht="11.25" customHeight="1" x14ac:dyDescent="0.3">
      <c r="A127" s="489"/>
      <c r="B127" s="104"/>
      <c r="C127" s="27"/>
      <c r="D127" s="296"/>
      <c r="E127" s="27"/>
      <c r="F127" s="294"/>
      <c r="G127" s="294"/>
      <c r="H127" s="294"/>
      <c r="I127" s="156" t="s">
        <v>130</v>
      </c>
      <c r="J127" s="62">
        <f>SUM(J118,J124)</f>
        <v>0</v>
      </c>
      <c r="K127" s="664" t="s">
        <v>92</v>
      </c>
      <c r="L127" s="300"/>
      <c r="M127" s="129"/>
      <c r="N127" s="569"/>
      <c r="O127" s="569"/>
    </row>
    <row r="128" spans="1:17" s="571" customFormat="1" ht="11.25" customHeight="1" x14ac:dyDescent="0.3">
      <c r="A128" s="548"/>
      <c r="B128" s="116"/>
      <c r="C128" s="76"/>
      <c r="D128" s="301"/>
      <c r="E128" s="76"/>
      <c r="F128" s="302"/>
      <c r="G128" s="302"/>
      <c r="H128" s="302"/>
      <c r="I128" s="302"/>
      <c r="J128" s="303"/>
      <c r="K128" s="304"/>
      <c r="L128" s="305"/>
      <c r="M128" s="7"/>
      <c r="N128" s="570"/>
      <c r="O128" s="570"/>
    </row>
    <row r="129" spans="1:15" s="571" customFormat="1" ht="11.25" customHeight="1" x14ac:dyDescent="0.3">
      <c r="A129" s="710"/>
      <c r="B129" s="20"/>
      <c r="C129" s="20"/>
      <c r="D129" s="33"/>
      <c r="E129" s="20"/>
      <c r="F129" s="31"/>
      <c r="G129" s="31"/>
      <c r="H129" s="31"/>
      <c r="I129" s="31"/>
      <c r="J129" s="34"/>
      <c r="K129" s="32"/>
      <c r="L129" s="130"/>
      <c r="M129" s="7"/>
      <c r="N129" s="570"/>
      <c r="O129" s="570"/>
    </row>
    <row r="130" spans="1:15" s="571" customFormat="1" ht="11.25" customHeight="1" x14ac:dyDescent="0.3">
      <c r="A130" s="710"/>
      <c r="B130" s="100" t="s">
        <v>473</v>
      </c>
      <c r="C130" s="20"/>
      <c r="D130" s="20"/>
      <c r="E130" s="20"/>
      <c r="F130" s="20"/>
      <c r="G130" s="20"/>
      <c r="H130" s="6"/>
      <c r="I130" s="20"/>
      <c r="J130" s="20"/>
      <c r="K130" s="20"/>
      <c r="L130" s="130"/>
      <c r="M130" s="7"/>
      <c r="N130" s="570"/>
      <c r="O130" s="570"/>
    </row>
    <row r="131" spans="1:15" s="491" customFormat="1" ht="11.25" customHeight="1" x14ac:dyDescent="0.3">
      <c r="A131" s="710"/>
      <c r="B131" s="20"/>
      <c r="C131" s="20"/>
      <c r="D131" s="20"/>
      <c r="E131" s="20"/>
      <c r="F131" s="20"/>
      <c r="G131" s="20"/>
      <c r="H131" s="20"/>
      <c r="I131" s="35" t="s">
        <v>93</v>
      </c>
      <c r="J131" s="20"/>
      <c r="K131" s="20"/>
      <c r="L131" s="130"/>
      <c r="M131" s="129"/>
      <c r="N131" s="569"/>
      <c r="O131" s="569"/>
    </row>
    <row r="132" spans="1:15" s="491" customFormat="1" ht="11.25" customHeight="1" x14ac:dyDescent="0.3">
      <c r="A132" s="710"/>
      <c r="B132" s="36"/>
      <c r="C132" s="20" t="s">
        <v>94</v>
      </c>
      <c r="D132" s="20"/>
      <c r="E132" s="20"/>
      <c r="F132" s="20"/>
      <c r="G132" s="20"/>
      <c r="H132" s="20"/>
      <c r="I132" s="20"/>
      <c r="J132" s="20"/>
      <c r="K132" s="20"/>
      <c r="L132" s="130"/>
      <c r="M132" s="129"/>
      <c r="N132" s="569"/>
      <c r="O132" s="569"/>
    </row>
    <row r="133" spans="1:15" s="491" customFormat="1" ht="11.25" customHeight="1" x14ac:dyDescent="0.3">
      <c r="A133" s="710"/>
      <c r="B133" s="20"/>
      <c r="C133" s="20"/>
      <c r="D133" s="20" t="s">
        <v>95</v>
      </c>
      <c r="E133" s="20"/>
      <c r="F133" s="20"/>
      <c r="G133" s="20"/>
      <c r="H133" s="20"/>
      <c r="I133" s="20"/>
      <c r="J133" s="20"/>
      <c r="K133" s="20"/>
      <c r="L133" s="130"/>
      <c r="M133" s="131"/>
      <c r="N133" s="569"/>
      <c r="O133" s="569"/>
    </row>
    <row r="134" spans="1:15" s="491" customFormat="1" ht="11.25" customHeight="1" x14ac:dyDescent="0.3">
      <c r="A134" s="710"/>
      <c r="B134" s="20"/>
      <c r="C134" s="20" t="s">
        <v>2</v>
      </c>
      <c r="D134" s="20"/>
      <c r="E134" s="20"/>
      <c r="F134" s="20"/>
      <c r="G134" s="20"/>
      <c r="H134" s="20"/>
      <c r="I134" s="20"/>
      <c r="J134" s="1"/>
      <c r="K134" s="32"/>
      <c r="L134" s="130"/>
      <c r="M134" s="131"/>
      <c r="N134" s="569"/>
      <c r="O134" s="569"/>
    </row>
    <row r="135" spans="1:15" s="491" customFormat="1" ht="11.25" customHeight="1" x14ac:dyDescent="0.3">
      <c r="A135" s="710"/>
      <c r="B135" s="20"/>
      <c r="C135" s="5" t="s">
        <v>0</v>
      </c>
      <c r="D135" s="20"/>
      <c r="E135" s="20"/>
      <c r="F135" s="20"/>
      <c r="G135" s="20"/>
      <c r="H135" s="20"/>
      <c r="I135" s="45" t="s">
        <v>108</v>
      </c>
      <c r="J135" s="58" t="s">
        <v>111</v>
      </c>
      <c r="K135" s="1"/>
      <c r="L135" s="127"/>
      <c r="M135" s="131"/>
      <c r="N135" s="569"/>
      <c r="O135" s="569"/>
    </row>
    <row r="136" spans="1:15" s="491" customFormat="1" ht="11.25" customHeight="1" x14ac:dyDescent="0.3">
      <c r="A136" s="710"/>
      <c r="B136" s="22" t="s">
        <v>31</v>
      </c>
      <c r="C136" s="23">
        <v>2</v>
      </c>
      <c r="D136" s="55" t="s">
        <v>5</v>
      </c>
      <c r="E136" s="1"/>
      <c r="F136" s="20"/>
      <c r="G136" s="30"/>
      <c r="H136" s="30"/>
      <c r="I136" s="62" t="str">
        <f>IF(STRUCTURE!D17&lt;&gt;"","X","")</f>
        <v/>
      </c>
      <c r="J136" s="23" t="str">
        <f>IF(I136&lt;&gt;"",2,"")</f>
        <v/>
      </c>
      <c r="K136" s="73" t="str">
        <f>IF(I136="","",1)</f>
        <v/>
      </c>
      <c r="L136" s="132"/>
      <c r="M136" s="131"/>
      <c r="N136" s="569"/>
      <c r="O136" s="569"/>
    </row>
    <row r="137" spans="1:15" s="491" customFormat="1" ht="11.25" customHeight="1" x14ac:dyDescent="0.3">
      <c r="A137" s="710"/>
      <c r="B137" s="1"/>
      <c r="C137" s="9">
        <v>4</v>
      </c>
      <c r="D137" s="1" t="s">
        <v>169</v>
      </c>
      <c r="E137" s="1"/>
      <c r="F137" s="30"/>
      <c r="G137" s="37"/>
      <c r="H137" s="38"/>
      <c r="I137" s="62" t="str">
        <f>IF(STRUCTURE!D18&lt;&gt;"","X","")</f>
        <v/>
      </c>
      <c r="J137" s="23" t="str">
        <f>IF(I137&lt;&gt;"",4,"")</f>
        <v/>
      </c>
      <c r="K137" s="73" t="str">
        <f>IF(I137="","",1)</f>
        <v/>
      </c>
      <c r="L137" s="132"/>
      <c r="M137" s="131"/>
      <c r="N137" s="569"/>
      <c r="O137" s="569"/>
    </row>
    <row r="138" spans="1:15" s="491" customFormat="1" ht="11.25" customHeight="1" x14ac:dyDescent="0.3">
      <c r="A138" s="710"/>
      <c r="B138" s="22" t="s">
        <v>38</v>
      </c>
      <c r="C138" s="23">
        <v>6</v>
      </c>
      <c r="D138" s="55" t="s">
        <v>290</v>
      </c>
      <c r="E138" s="1"/>
      <c r="F138" s="30"/>
      <c r="G138" s="37"/>
      <c r="H138" s="38"/>
      <c r="I138" s="62" t="str">
        <f>IF(STRUCTURE!D19&lt;&gt;"","X","")</f>
        <v/>
      </c>
      <c r="J138" s="23" t="str">
        <f>IF(I138&lt;&gt;"",6,"")</f>
        <v/>
      </c>
      <c r="K138" s="73" t="str">
        <f>IF(I138="","",1)</f>
        <v/>
      </c>
      <c r="L138" s="132"/>
      <c r="M138" s="131"/>
      <c r="N138" s="569"/>
      <c r="O138" s="569"/>
    </row>
    <row r="139" spans="1:15" s="491" customFormat="1" ht="11.25" customHeight="1" x14ac:dyDescent="0.3">
      <c r="A139" s="710"/>
      <c r="B139" s="30"/>
      <c r="C139" s="23">
        <v>8</v>
      </c>
      <c r="D139" s="56" t="s">
        <v>170</v>
      </c>
      <c r="E139" s="1"/>
      <c r="F139" s="39"/>
      <c r="G139" s="40"/>
      <c r="H139" s="40"/>
      <c r="I139" s="62" t="str">
        <f>IF(STRUCTURE!D20&lt;&gt;"","X","")</f>
        <v/>
      </c>
      <c r="J139" s="23" t="str">
        <f>IF(I139&lt;&gt;"",8,"")</f>
        <v/>
      </c>
      <c r="K139" s="73" t="str">
        <f>IF(I139="","",1)</f>
        <v/>
      </c>
      <c r="L139" s="132"/>
      <c r="M139" s="131"/>
      <c r="N139" s="569"/>
      <c r="O139" s="569"/>
    </row>
    <row r="140" spans="1:15" s="491" customFormat="1" ht="11.25" customHeight="1" x14ac:dyDescent="0.3">
      <c r="A140" s="710"/>
      <c r="B140" s="22" t="s">
        <v>46</v>
      </c>
      <c r="C140" s="23">
        <v>10</v>
      </c>
      <c r="D140" s="55" t="s">
        <v>171</v>
      </c>
      <c r="E140" s="1"/>
      <c r="F140" s="39"/>
      <c r="G140" s="40"/>
      <c r="H140" s="40"/>
      <c r="I140" s="62" t="str">
        <f>IF(STRUCTURE!D21&lt;&gt;"","X","")</f>
        <v/>
      </c>
      <c r="J140" s="23" t="str">
        <f>IF(I140&lt;&gt;"",10,"")</f>
        <v/>
      </c>
      <c r="K140" s="73" t="str">
        <f>IF(I140="","",1)</f>
        <v/>
      </c>
      <c r="L140" s="132"/>
      <c r="M140" s="131"/>
      <c r="N140" s="569"/>
      <c r="O140" s="569"/>
    </row>
    <row r="141" spans="1:15" s="491" customFormat="1" ht="11.25" customHeight="1" x14ac:dyDescent="0.3">
      <c r="A141" s="710"/>
      <c r="B141" s="1"/>
      <c r="C141" s="1"/>
      <c r="D141" s="1"/>
      <c r="E141" s="1"/>
      <c r="F141" s="1"/>
      <c r="G141" s="1"/>
      <c r="H141" s="1"/>
      <c r="I141" s="1"/>
      <c r="J141" s="74">
        <f>IF(K141&gt;1,0,SUM(J136:J140))</f>
        <v>0</v>
      </c>
      <c r="K141" s="73">
        <f>SUM(K136:K140)</f>
        <v>0</v>
      </c>
      <c r="L141" s="132"/>
      <c r="M141" s="131"/>
      <c r="N141" s="569"/>
      <c r="O141" s="569"/>
    </row>
    <row r="142" spans="1:15" s="491" customFormat="1" ht="11.25" customHeight="1" x14ac:dyDescent="0.3">
      <c r="A142" s="710"/>
      <c r="B142" s="1"/>
      <c r="C142" s="1"/>
      <c r="D142" s="1"/>
      <c r="E142" s="1"/>
      <c r="F142" s="1"/>
      <c r="G142" s="1"/>
      <c r="H142" s="1"/>
      <c r="I142" s="1"/>
      <c r="J142" s="23"/>
      <c r="K142" s="73"/>
      <c r="L142" s="132"/>
      <c r="M142" s="131"/>
      <c r="N142" s="569"/>
      <c r="O142" s="569"/>
    </row>
    <row r="143" spans="1:15" s="491" customFormat="1" ht="11.25" customHeight="1" x14ac:dyDescent="0.3">
      <c r="A143" s="710"/>
      <c r="B143" s="30"/>
      <c r="C143" s="39"/>
      <c r="D143" s="30"/>
      <c r="E143" s="39"/>
      <c r="F143" s="39"/>
      <c r="G143" s="40"/>
      <c r="H143" s="40"/>
      <c r="I143" s="40"/>
      <c r="J143" s="34"/>
      <c r="K143" s="40"/>
      <c r="L143" s="132"/>
      <c r="M143" s="131"/>
      <c r="N143" s="569"/>
      <c r="O143" s="569"/>
    </row>
    <row r="144" spans="1:15" s="491" customFormat="1" ht="11.25" customHeight="1" x14ac:dyDescent="0.3">
      <c r="A144" s="710"/>
      <c r="B144" s="100" t="s">
        <v>476</v>
      </c>
      <c r="C144" s="41"/>
      <c r="D144" s="31"/>
      <c r="E144" s="31"/>
      <c r="F144" s="1"/>
      <c r="G144" s="42" t="s">
        <v>96</v>
      </c>
      <c r="H144" s="1"/>
      <c r="I144" s="31"/>
      <c r="J144" s="31"/>
      <c r="K144" s="31"/>
      <c r="L144" s="132"/>
      <c r="M144" s="131"/>
      <c r="N144" s="569"/>
      <c r="O144" s="569"/>
    </row>
    <row r="145" spans="1:20" s="491" customFormat="1" ht="11.25" customHeight="1" x14ac:dyDescent="0.3">
      <c r="A145" s="710"/>
      <c r="B145" s="43"/>
      <c r="C145" s="41"/>
      <c r="D145" s="31"/>
      <c r="E145" s="28"/>
      <c r="F145" s="32"/>
      <c r="G145" s="31"/>
      <c r="H145" s="31"/>
      <c r="I145" s="31"/>
      <c r="J145" s="31"/>
      <c r="K145" s="31"/>
      <c r="L145" s="132"/>
      <c r="M145" s="131"/>
      <c r="N145" s="569"/>
      <c r="O145" s="569"/>
    </row>
    <row r="146" spans="1:20" s="491" customFormat="1" ht="11.25" customHeight="1" x14ac:dyDescent="0.3">
      <c r="A146" s="710"/>
      <c r="B146" s="44" t="s">
        <v>97</v>
      </c>
      <c r="C146" s="45" t="s">
        <v>98</v>
      </c>
      <c r="D146" s="1"/>
      <c r="E146" s="28" t="s">
        <v>106</v>
      </c>
      <c r="F146" s="44" t="s">
        <v>107</v>
      </c>
      <c r="G146" s="1"/>
      <c r="H146" s="31"/>
      <c r="I146" s="31"/>
      <c r="J146" s="31"/>
      <c r="K146" s="31"/>
      <c r="L146" s="132"/>
      <c r="M146" s="131"/>
      <c r="N146" s="569"/>
      <c r="O146" s="569"/>
    </row>
    <row r="147" spans="1:20" s="491" customFormat="1" ht="11.25" customHeight="1" x14ac:dyDescent="0.3">
      <c r="A147" s="710"/>
      <c r="B147" s="46" t="s">
        <v>99</v>
      </c>
      <c r="C147" s="62" t="str">
        <f>IF(STRUCTURE!I18&lt;&gt;"","x","")</f>
        <v/>
      </c>
      <c r="D147" s="1"/>
      <c r="E147" s="26">
        <v>4</v>
      </c>
      <c r="F147" s="47" t="str">
        <f>IF(C147&lt;&gt;"",4,"")</f>
        <v/>
      </c>
      <c r="G147" s="73" t="str">
        <f>IF(C147="","",1)</f>
        <v/>
      </c>
      <c r="H147" s="31"/>
      <c r="I147" s="31"/>
      <c r="J147" s="31"/>
      <c r="K147" s="31"/>
      <c r="L147" s="132"/>
      <c r="M147" s="131"/>
      <c r="N147" s="569"/>
      <c r="O147" s="569"/>
    </row>
    <row r="148" spans="1:20" s="491" customFormat="1" ht="11.25" customHeight="1" x14ac:dyDescent="0.3">
      <c r="A148" s="710"/>
      <c r="B148" s="46" t="s">
        <v>100</v>
      </c>
      <c r="C148" s="62" t="str">
        <f>IF(STRUCTURE!I19&lt;&gt;"","x","")</f>
        <v/>
      </c>
      <c r="D148" s="1"/>
      <c r="E148" s="26">
        <v>8</v>
      </c>
      <c r="F148" s="47" t="str">
        <f>IF(C148&lt;&gt;"",8,"")</f>
        <v/>
      </c>
      <c r="G148" s="73" t="str">
        <f>IF(C148="","",1)</f>
        <v/>
      </c>
      <c r="H148" s="31"/>
      <c r="I148" s="33"/>
      <c r="J148" s="31"/>
      <c r="K148" s="33"/>
      <c r="L148" s="132"/>
      <c r="M148" s="132"/>
      <c r="N148" s="567"/>
      <c r="O148" s="567"/>
    </row>
    <row r="149" spans="1:20" s="491" customFormat="1" ht="11.25" customHeight="1" x14ac:dyDescent="0.3">
      <c r="A149" s="710"/>
      <c r="B149" s="46" t="s">
        <v>101</v>
      </c>
      <c r="C149" s="62" t="str">
        <f>IF(STRUCTURE!I20&lt;&gt;"","x","")</f>
        <v/>
      </c>
      <c r="D149" s="1"/>
      <c r="E149" s="26">
        <v>12</v>
      </c>
      <c r="F149" s="47" t="str">
        <f>IF(C149&lt;&gt;"",12,"")</f>
        <v/>
      </c>
      <c r="G149" s="73" t="str">
        <f>IF(C149="","",1)</f>
        <v/>
      </c>
      <c r="H149" s="31"/>
      <c r="I149" s="33"/>
      <c r="J149" s="31"/>
      <c r="K149" s="31"/>
      <c r="L149" s="132"/>
      <c r="M149" s="131"/>
      <c r="N149" s="569"/>
      <c r="O149" s="569"/>
    </row>
    <row r="150" spans="1:20" s="491" customFormat="1" ht="11.25" customHeight="1" x14ac:dyDescent="0.3">
      <c r="A150" s="710"/>
      <c r="B150" s="46" t="s">
        <v>102</v>
      </c>
      <c r="C150" s="62" t="str">
        <f>IF(STRUCTURE!I21&lt;&gt;"","x","")</f>
        <v/>
      </c>
      <c r="D150" s="1"/>
      <c r="E150" s="57">
        <v>16</v>
      </c>
      <c r="F150" s="78" t="str">
        <f>IF(C150&lt;&gt;"",16,"")</f>
        <v/>
      </c>
      <c r="G150" s="73" t="str">
        <f>IF(C150="","",1)</f>
        <v/>
      </c>
      <c r="H150" s="1"/>
      <c r="I150" s="1"/>
      <c r="J150" s="1"/>
      <c r="K150" s="1"/>
      <c r="L150" s="132"/>
      <c r="M150" s="1"/>
      <c r="Q150" s="564"/>
      <c r="T150" s="564"/>
    </row>
    <row r="151" spans="1:20" s="491" customFormat="1" ht="11.25" customHeight="1" x14ac:dyDescent="0.3">
      <c r="A151" s="710"/>
      <c r="B151" s="46"/>
      <c r="C151" s="63"/>
      <c r="D151" s="1"/>
      <c r="E151" s="57"/>
      <c r="F151" s="47">
        <f>IF(G151&gt;1,0,SUM(F147:F150))</f>
        <v>0</v>
      </c>
      <c r="G151" s="73">
        <f>SUM(G147:G150)</f>
        <v>0</v>
      </c>
      <c r="H151" s="1"/>
      <c r="I151" s="1"/>
      <c r="J151" s="1"/>
      <c r="K151" s="1"/>
      <c r="L151" s="132"/>
      <c r="M151" s="1"/>
      <c r="Q151" s="564"/>
      <c r="T151" s="564"/>
    </row>
    <row r="152" spans="1:20" s="491" customFormat="1" ht="11.25" customHeight="1" x14ac:dyDescent="0.3">
      <c r="A152" s="710"/>
      <c r="B152" s="46"/>
      <c r="C152" s="60"/>
      <c r="D152" s="28"/>
      <c r="E152" s="26"/>
      <c r="F152" s="28"/>
      <c r="G152" s="21"/>
      <c r="H152" s="20" t="s">
        <v>112</v>
      </c>
      <c r="I152" s="20"/>
      <c r="J152" s="49">
        <f>J127</f>
        <v>0</v>
      </c>
      <c r="K152" s="50" t="s">
        <v>84</v>
      </c>
      <c r="L152" s="1"/>
      <c r="M152" s="1"/>
      <c r="Q152" s="564"/>
      <c r="T152" s="564"/>
    </row>
    <row r="153" spans="1:20" s="491" customFormat="1" ht="11.25" customHeight="1" x14ac:dyDescent="0.3">
      <c r="A153" s="710"/>
      <c r="B153" s="20"/>
      <c r="C153" s="64"/>
      <c r="D153" s="20"/>
      <c r="E153" s="20"/>
      <c r="F153" s="28"/>
      <c r="G153" s="21"/>
      <c r="H153" s="20" t="s">
        <v>103</v>
      </c>
      <c r="I153" s="20"/>
      <c r="J153" s="51">
        <f>J141</f>
        <v>0</v>
      </c>
      <c r="K153" s="1"/>
      <c r="L153" s="1"/>
      <c r="M153" s="1"/>
      <c r="N153" s="564"/>
      <c r="Q153" s="564"/>
      <c r="T153" s="564"/>
    </row>
    <row r="154" spans="1:20" s="491" customFormat="1" ht="11.25" customHeight="1" x14ac:dyDescent="0.3">
      <c r="A154" s="710"/>
      <c r="B154" s="20"/>
      <c r="C154" s="64"/>
      <c r="D154" s="20"/>
      <c r="E154" s="20"/>
      <c r="F154" s="28"/>
      <c r="G154" s="53"/>
      <c r="H154" s="20" t="s">
        <v>104</v>
      </c>
      <c r="I154" s="20"/>
      <c r="J154" s="51">
        <f>F151</f>
        <v>0</v>
      </c>
      <c r="K154" s="52"/>
      <c r="L154" s="1"/>
      <c r="M154" s="1"/>
      <c r="N154" s="564"/>
      <c r="Q154" s="564"/>
      <c r="T154" s="564"/>
    </row>
    <row r="155" spans="1:20" s="491" customFormat="1" ht="11.25" customHeight="1" x14ac:dyDescent="0.3">
      <c r="A155" s="710"/>
      <c r="B155" s="20"/>
      <c r="C155" s="28"/>
      <c r="D155" s="20"/>
      <c r="E155" s="20"/>
      <c r="F155" s="28"/>
      <c r="G155" s="1"/>
      <c r="H155" s="1"/>
      <c r="I155" s="1"/>
      <c r="J155" s="1"/>
      <c r="K155" s="52"/>
      <c r="L155" s="1"/>
      <c r="M155" s="1"/>
      <c r="N155" s="564"/>
      <c r="Q155" s="564"/>
      <c r="R155" s="564"/>
      <c r="T155" s="564"/>
    </row>
    <row r="156" spans="1:20" s="491" customFormat="1" ht="11.25" customHeight="1" x14ac:dyDescent="0.3">
      <c r="A156" s="710"/>
      <c r="B156" s="20"/>
      <c r="C156" s="48"/>
      <c r="D156" s="20"/>
      <c r="E156" s="20"/>
      <c r="F156" s="28"/>
      <c r="G156" s="28"/>
      <c r="H156" s="21"/>
      <c r="I156" s="28"/>
      <c r="J156" s="28"/>
      <c r="K156" s="20"/>
      <c r="L156" s="1"/>
      <c r="M156" s="1"/>
      <c r="Q156" s="564"/>
      <c r="R156" s="500"/>
      <c r="S156" s="564"/>
      <c r="T156" s="564"/>
    </row>
    <row r="157" spans="1:20" s="491" customFormat="1" ht="11.25" customHeight="1" x14ac:dyDescent="0.3">
      <c r="A157" s="489"/>
      <c r="B157" s="20"/>
      <c r="C157" s="20"/>
      <c r="D157" s="20"/>
      <c r="E157" s="20"/>
      <c r="F157" s="20"/>
      <c r="G157" s="28"/>
      <c r="H157" s="28"/>
      <c r="I157" s="53" t="s">
        <v>105</v>
      </c>
      <c r="J157" s="54">
        <f>SUM(J152:J154)</f>
        <v>0</v>
      </c>
      <c r="K157" s="28"/>
      <c r="L157" s="1"/>
      <c r="M157" s="1"/>
      <c r="Q157" s="564"/>
      <c r="R157" s="564"/>
      <c r="S157" s="564"/>
      <c r="T157" s="564"/>
    </row>
    <row r="158" spans="1:20" s="491" customFormat="1" ht="11.25" customHeight="1" x14ac:dyDescent="0.3">
      <c r="A158" s="489"/>
      <c r="B158" s="1"/>
      <c r="C158" s="1"/>
      <c r="D158" s="1"/>
      <c r="E158" s="1"/>
      <c r="F158" s="1"/>
      <c r="G158" s="3"/>
      <c r="H158" s="3"/>
      <c r="I158" s="61"/>
      <c r="J158" s="133"/>
      <c r="K158" s="1"/>
      <c r="L158" s="1"/>
      <c r="M158" s="1"/>
      <c r="Q158" s="564"/>
      <c r="R158" s="564"/>
      <c r="S158" s="564"/>
      <c r="T158" s="564"/>
    </row>
  </sheetData>
  <sheetProtection algorithmName="SHA-512" hashValue="5xfBmVnIkLpXIG76OjZWMiwFZi4zyWo3hwbGLWmRAyZ73a9YGIHRr4Xq7FhiqIyb6Jev1+b9IFRYdVeYMf1f0w==" saltValue="Imaoq+heKgSYGkuEzoM9DQ==" spinCount="100000" sheet="1" selectLockedCells="1"/>
  <mergeCells count="9">
    <mergeCell ref="A36:A74"/>
    <mergeCell ref="A129:A156"/>
    <mergeCell ref="A100:A126"/>
    <mergeCell ref="D12:I12"/>
    <mergeCell ref="I6:J6"/>
    <mergeCell ref="J101:L102"/>
    <mergeCell ref="I40:K42"/>
    <mergeCell ref="B114:D115"/>
    <mergeCell ref="J98:L100"/>
  </mergeCells>
  <conditionalFormatting sqref="C152">
    <cfRule type="expression" dxfId="15" priority="1" stopIfTrue="1">
      <formula>ISERROR(#REF!)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117"/>
  <sheetViews>
    <sheetView showGridLines="0" workbookViewId="0">
      <selection activeCell="A52" sqref="A52:A81"/>
    </sheetView>
  </sheetViews>
  <sheetFormatPr defaultColWidth="9.1796875" defaultRowHeight="13" x14ac:dyDescent="0.3"/>
  <cols>
    <col min="1" max="1" width="2.7265625" style="364" customWidth="1"/>
    <col min="2" max="2" width="1.7265625" style="364" customWidth="1"/>
    <col min="3" max="8" width="7.7265625" style="364" customWidth="1"/>
    <col min="9" max="9" width="5.453125" style="364" customWidth="1"/>
    <col min="10" max="13" width="7.7265625" style="364" customWidth="1"/>
    <col min="14" max="14" width="7" style="364" customWidth="1"/>
    <col min="15" max="16384" width="9.1796875" style="364"/>
  </cols>
  <sheetData>
    <row r="2" spans="2:26" ht="13.5" thickBot="1" x14ac:dyDescent="0.35">
      <c r="B2" s="402"/>
      <c r="C2" s="402"/>
      <c r="D2" s="404"/>
      <c r="E2" s="426"/>
      <c r="F2" s="427"/>
      <c r="G2" s="405"/>
      <c r="H2" s="402"/>
      <c r="I2" s="402"/>
      <c r="J2" s="402"/>
      <c r="K2" s="402"/>
      <c r="L2" s="405"/>
      <c r="M2" s="405"/>
      <c r="N2" s="426"/>
      <c r="O2" s="404"/>
      <c r="P2" s="403"/>
    </row>
    <row r="3" spans="2:26" ht="12.75" customHeight="1" x14ac:dyDescent="0.3">
      <c r="B3" s="402"/>
      <c r="C3" s="657"/>
      <c r="D3" s="211"/>
      <c r="E3" s="211"/>
      <c r="F3" s="211"/>
      <c r="G3" s="730" t="s">
        <v>504</v>
      </c>
      <c r="H3" s="730"/>
      <c r="I3" s="730"/>
      <c r="J3" s="211"/>
      <c r="K3" s="211"/>
      <c r="L3" s="211"/>
      <c r="M3" s="211"/>
      <c r="N3" s="211"/>
      <c r="O3" s="582"/>
      <c r="P3" s="583"/>
      <c r="Q3" s="403"/>
      <c r="R3" s="530"/>
      <c r="S3" s="530"/>
      <c r="T3" s="530"/>
      <c r="U3" s="530"/>
      <c r="V3" s="530"/>
      <c r="W3" s="531"/>
      <c r="X3" s="531"/>
      <c r="Y3" s="530"/>
      <c r="Z3" s="632"/>
    </row>
    <row r="4" spans="2:26" ht="12.75" customHeight="1" x14ac:dyDescent="0.3">
      <c r="B4" s="365"/>
      <c r="C4" s="658"/>
      <c r="D4" s="298"/>
      <c r="E4" s="205" t="s">
        <v>235</v>
      </c>
      <c r="F4" s="298"/>
      <c r="G4" s="720" t="s">
        <v>509</v>
      </c>
      <c r="H4" s="731"/>
      <c r="I4" s="731"/>
      <c r="J4" s="27"/>
      <c r="K4" s="27"/>
      <c r="L4" s="27"/>
      <c r="M4" s="138"/>
      <c r="N4" s="138"/>
      <c r="O4" s="584"/>
      <c r="P4" s="580"/>
      <c r="Q4" s="365"/>
      <c r="R4" s="530"/>
      <c r="S4" s="633"/>
      <c r="T4" s="633"/>
      <c r="U4" s="633"/>
      <c r="V4" s="633"/>
      <c r="W4" s="530"/>
      <c r="X4" s="530"/>
      <c r="Y4" s="530"/>
      <c r="Z4" s="530"/>
    </row>
    <row r="5" spans="2:26" ht="12.75" customHeight="1" x14ac:dyDescent="0.3">
      <c r="B5" s="365"/>
      <c r="C5" s="658"/>
      <c r="D5" s="27"/>
      <c r="E5" s="98" t="s">
        <v>124</v>
      </c>
      <c r="F5" s="626" t="s">
        <v>87</v>
      </c>
      <c r="G5" s="731"/>
      <c r="H5" s="731"/>
      <c r="I5" s="731"/>
      <c r="J5" s="27"/>
      <c r="K5" s="652" t="s">
        <v>236</v>
      </c>
      <c r="L5" s="653" t="s">
        <v>2</v>
      </c>
      <c r="M5" s="627"/>
      <c r="N5" s="628"/>
      <c r="O5" s="585"/>
      <c r="P5" s="580"/>
      <c r="Q5" s="428"/>
      <c r="R5" s="733" t="s">
        <v>504</v>
      </c>
      <c r="S5" s="733"/>
      <c r="T5" s="733"/>
      <c r="U5" s="733"/>
      <c r="V5" s="733"/>
      <c r="W5" s="733"/>
      <c r="X5" s="733"/>
      <c r="Y5" s="733"/>
      <c r="Z5" s="733"/>
    </row>
    <row r="6" spans="2:26" x14ac:dyDescent="0.3">
      <c r="B6" s="365"/>
      <c r="C6" s="658"/>
      <c r="D6" s="27"/>
      <c r="E6" s="96"/>
      <c r="F6" s="84" t="s">
        <v>79</v>
      </c>
      <c r="G6" s="27"/>
      <c r="H6" s="96"/>
      <c r="I6" s="84" t="s">
        <v>132</v>
      </c>
      <c r="J6" s="84"/>
      <c r="K6" s="26" t="s">
        <v>69</v>
      </c>
      <c r="L6" s="26">
        <v>5</v>
      </c>
      <c r="M6" s="629"/>
      <c r="N6" s="202"/>
      <c r="O6" s="585"/>
      <c r="P6" s="580"/>
      <c r="Q6" s="428"/>
      <c r="R6" s="530"/>
      <c r="S6" s="634"/>
      <c r="T6" s="635"/>
      <c r="U6" s="635"/>
      <c r="V6" s="635" t="s">
        <v>503</v>
      </c>
      <c r="W6" s="635"/>
      <c r="X6" s="635"/>
      <c r="Y6" s="635"/>
      <c r="Z6" s="635"/>
    </row>
    <row r="7" spans="2:26" x14ac:dyDescent="0.3">
      <c r="B7" s="365"/>
      <c r="C7" s="658"/>
      <c r="D7" s="27"/>
      <c r="E7" s="96"/>
      <c r="F7" s="84" t="s">
        <v>80</v>
      </c>
      <c r="G7" s="27"/>
      <c r="H7" s="96"/>
      <c r="I7" s="84" t="s">
        <v>131</v>
      </c>
      <c r="J7" s="84"/>
      <c r="K7" s="26" t="s">
        <v>70</v>
      </c>
      <c r="L7" s="26">
        <v>10</v>
      </c>
      <c r="M7" s="629"/>
      <c r="N7" s="202"/>
      <c r="O7" s="585"/>
      <c r="P7" s="580"/>
      <c r="Q7" s="428"/>
      <c r="R7" s="634"/>
      <c r="S7" s="634"/>
      <c r="T7" s="634"/>
      <c r="U7" s="634"/>
      <c r="V7" s="634"/>
      <c r="W7" s="634"/>
      <c r="X7" s="634"/>
      <c r="Y7" s="634"/>
      <c r="Z7" s="634"/>
    </row>
    <row r="8" spans="2:26" ht="13.5" thickBot="1" x14ac:dyDescent="0.35">
      <c r="B8" s="365"/>
      <c r="C8" s="658"/>
      <c r="D8" s="27"/>
      <c r="E8" s="96"/>
      <c r="F8" s="84" t="s">
        <v>81</v>
      </c>
      <c r="G8" s="27"/>
      <c r="H8" s="59" t="str">
        <f>GEOMETRY!R13</f>
        <v/>
      </c>
      <c r="I8" s="84" t="s">
        <v>238</v>
      </c>
      <c r="J8" s="84"/>
      <c r="K8" s="53" t="s">
        <v>516</v>
      </c>
      <c r="L8" s="26">
        <v>15</v>
      </c>
      <c r="M8" s="629"/>
      <c r="N8" s="202"/>
      <c r="O8" s="585"/>
      <c r="P8" s="580"/>
      <c r="Q8" s="428"/>
      <c r="R8" s="636">
        <f>GEOMETRY!H6</f>
        <v>0</v>
      </c>
      <c r="S8" s="637" t="s">
        <v>505</v>
      </c>
      <c r="T8" s="638"/>
      <c r="U8" s="638"/>
      <c r="V8" s="530" t="s">
        <v>291</v>
      </c>
      <c r="W8" s="546" t="s">
        <v>88</v>
      </c>
      <c r="X8" s="530"/>
      <c r="Y8" s="546" t="s">
        <v>236</v>
      </c>
      <c r="Z8" s="546" t="s">
        <v>2</v>
      </c>
    </row>
    <row r="9" spans="2:26" ht="13.5" thickBot="1" x14ac:dyDescent="0.35">
      <c r="B9" s="365"/>
      <c r="C9" s="658"/>
      <c r="D9" s="27"/>
      <c r="E9" s="57"/>
      <c r="F9" s="84"/>
      <c r="G9" s="27"/>
      <c r="H9" s="66"/>
      <c r="I9" s="84"/>
      <c r="J9" s="84"/>
      <c r="K9" s="138"/>
      <c r="L9" s="26"/>
      <c r="M9" s="26"/>
      <c r="N9" s="202"/>
      <c r="O9" s="585"/>
      <c r="P9" s="580"/>
      <c r="Q9" s="428"/>
      <c r="R9" s="638"/>
      <c r="S9" s="638"/>
      <c r="T9" s="638"/>
      <c r="U9" s="638"/>
      <c r="V9" s="639">
        <f>IF(H7&gt;H8,H8-H6,IF(H6&gt;H8,H8-H7,H7-H6))</f>
        <v>0</v>
      </c>
      <c r="W9" s="640">
        <f>IF(AND(ROUND(V9,0)=2,ROUND(V9,0)&lt;&gt;0),5,W10)</f>
        <v>0</v>
      </c>
      <c r="X9" s="530"/>
      <c r="Y9" s="546" t="s">
        <v>69</v>
      </c>
      <c r="Z9" s="546">
        <v>5</v>
      </c>
    </row>
    <row r="10" spans="2:26" ht="13.5" thickBot="1" x14ac:dyDescent="0.35">
      <c r="B10" s="365"/>
      <c r="C10" s="658"/>
      <c r="D10" s="27"/>
      <c r="E10" s="57"/>
      <c r="F10" s="84"/>
      <c r="G10" s="27"/>
      <c r="H10" s="66"/>
      <c r="I10" s="380"/>
      <c r="J10" s="70" t="s">
        <v>292</v>
      </c>
      <c r="K10" s="630">
        <f>W9</f>
        <v>0</v>
      </c>
      <c r="L10" s="26"/>
      <c r="M10" s="26"/>
      <c r="N10" s="202"/>
      <c r="O10" s="585"/>
      <c r="P10" s="580"/>
      <c r="Q10" s="428"/>
      <c r="R10" s="636">
        <f>GEOMETRY!H7</f>
        <v>0</v>
      </c>
      <c r="S10" s="637" t="s">
        <v>506</v>
      </c>
      <c r="T10" s="638"/>
      <c r="U10" s="638"/>
      <c r="V10" s="638"/>
      <c r="W10" s="546">
        <f>IF(AND(ROUND(V9,0)&gt;2,ROUND(V9,0)&lt;5,ROUND(V9,0)&gt;0),10,W11)</f>
        <v>0</v>
      </c>
      <c r="X10" s="530"/>
      <c r="Y10" s="546" t="s">
        <v>70</v>
      </c>
      <c r="Z10" s="546">
        <v>10</v>
      </c>
    </row>
    <row r="11" spans="2:26" x14ac:dyDescent="0.3">
      <c r="B11" s="365"/>
      <c r="C11" s="658"/>
      <c r="D11" s="27"/>
      <c r="E11" s="57"/>
      <c r="F11" s="84"/>
      <c r="G11" s="27"/>
      <c r="H11" s="66"/>
      <c r="I11" s="84"/>
      <c r="J11" s="84"/>
      <c r="K11" s="138"/>
      <c r="L11" s="26"/>
      <c r="M11" s="26"/>
      <c r="N11" s="202"/>
      <c r="O11" s="585"/>
      <c r="P11" s="580"/>
      <c r="Q11" s="428"/>
      <c r="R11" s="638"/>
      <c r="S11" s="638"/>
      <c r="T11" s="638"/>
      <c r="U11" s="638"/>
      <c r="V11" s="638"/>
      <c r="W11" s="546">
        <f>IF(ROUND(V9,0)&gt;=5,15,0)</f>
        <v>0</v>
      </c>
      <c r="X11" s="530"/>
      <c r="Y11" s="546" t="s">
        <v>516</v>
      </c>
      <c r="Z11" s="546">
        <v>15</v>
      </c>
    </row>
    <row r="12" spans="2:26" x14ac:dyDescent="0.3">
      <c r="B12" s="365"/>
      <c r="C12" s="658"/>
      <c r="D12" s="27"/>
      <c r="E12" s="57"/>
      <c r="F12" s="84"/>
      <c r="G12" s="27"/>
      <c r="H12" s="66"/>
      <c r="I12" s="84"/>
      <c r="J12" s="84"/>
      <c r="K12" s="138"/>
      <c r="L12" s="26"/>
      <c r="M12" s="26"/>
      <c r="N12" s="202"/>
      <c r="O12" s="585"/>
      <c r="P12" s="580"/>
      <c r="Q12" s="366"/>
      <c r="R12" s="637" t="s">
        <v>501</v>
      </c>
      <c r="S12" s="638"/>
      <c r="T12" s="638"/>
      <c r="U12" s="638"/>
      <c r="V12" s="638"/>
      <c r="W12" s="638"/>
      <c r="X12" s="638"/>
      <c r="Y12" s="638"/>
      <c r="Z12" s="732"/>
    </row>
    <row r="13" spans="2:26" x14ac:dyDescent="0.3">
      <c r="B13" s="365"/>
      <c r="C13" s="658"/>
      <c r="D13" s="27"/>
      <c r="E13" s="57"/>
      <c r="F13" s="84"/>
      <c r="G13" s="27"/>
      <c r="H13" s="66"/>
      <c r="I13" s="84"/>
      <c r="J13" s="84"/>
      <c r="K13" s="138"/>
      <c r="L13" s="26"/>
      <c r="M13" s="26"/>
      <c r="N13" s="202"/>
      <c r="O13" s="585"/>
      <c r="P13" s="580"/>
      <c r="Q13" s="429"/>
      <c r="R13" s="641" t="str">
        <f>IF(AND(E6=0,E7=0,E8=0),"",R20)</f>
        <v/>
      </c>
      <c r="S13" s="634" t="s">
        <v>502</v>
      </c>
      <c r="T13" s="638"/>
      <c r="U13" s="638"/>
      <c r="V13" s="638"/>
      <c r="W13" s="638"/>
      <c r="X13" s="638"/>
      <c r="Y13" s="638"/>
      <c r="Z13" s="732"/>
    </row>
    <row r="14" spans="2:26" x14ac:dyDescent="0.3">
      <c r="B14" s="365"/>
      <c r="C14" s="658"/>
      <c r="D14" s="27"/>
      <c r="E14" s="27"/>
      <c r="F14" s="734" t="s">
        <v>293</v>
      </c>
      <c r="G14" s="734"/>
      <c r="H14" s="734"/>
      <c r="I14" s="734"/>
      <c r="J14" s="734"/>
      <c r="K14" s="734"/>
      <c r="L14" s="734"/>
      <c r="M14" s="66" t="s">
        <v>417</v>
      </c>
      <c r="N14" s="139"/>
      <c r="O14" s="586"/>
      <c r="P14" s="580"/>
      <c r="Q14" s="579"/>
      <c r="R14" s="638"/>
      <c r="S14" s="638"/>
      <c r="T14" s="638"/>
      <c r="U14" s="638"/>
      <c r="V14" s="638"/>
      <c r="W14" s="638"/>
      <c r="X14" s="638"/>
      <c r="Y14" s="638"/>
      <c r="Z14" s="732"/>
    </row>
    <row r="15" spans="2:26" x14ac:dyDescent="0.3">
      <c r="B15" s="365"/>
      <c r="C15" s="658"/>
      <c r="D15" s="656"/>
      <c r="E15" s="215"/>
      <c r="F15" s="735" t="s">
        <v>510</v>
      </c>
      <c r="G15" s="735"/>
      <c r="H15" s="735"/>
      <c r="I15" s="735"/>
      <c r="J15" s="735"/>
      <c r="K15" s="735"/>
      <c r="L15" s="735"/>
      <c r="M15" s="66" t="s">
        <v>72</v>
      </c>
      <c r="N15" s="215"/>
      <c r="O15" s="587"/>
      <c r="P15" s="588"/>
      <c r="Q15" s="434"/>
      <c r="R15" s="530"/>
      <c r="S15" s="530"/>
      <c r="T15" s="530"/>
      <c r="U15" s="530"/>
      <c r="V15" s="530"/>
      <c r="W15" s="530"/>
      <c r="X15" s="530"/>
      <c r="Y15" s="530"/>
      <c r="Z15" s="732"/>
    </row>
    <row r="16" spans="2:26" ht="12.75" customHeight="1" x14ac:dyDescent="0.3">
      <c r="B16" s="365"/>
      <c r="C16" s="658"/>
      <c r="D16" s="57"/>
      <c r="E16" s="677" t="s">
        <v>384</v>
      </c>
      <c r="F16" s="677"/>
      <c r="G16" s="677"/>
      <c r="H16" s="66"/>
      <c r="I16" s="728" t="s">
        <v>385</v>
      </c>
      <c r="J16" s="728"/>
      <c r="K16" s="728"/>
      <c r="L16" s="728"/>
      <c r="M16" s="66" t="s">
        <v>237</v>
      </c>
      <c r="N16" s="329"/>
      <c r="O16" s="589"/>
      <c r="P16" s="583"/>
      <c r="Q16" s="434"/>
      <c r="R16" s="727" t="s">
        <v>133</v>
      </c>
      <c r="S16" s="727"/>
      <c r="T16" s="727"/>
      <c r="U16" s="727"/>
      <c r="V16" s="634"/>
      <c r="W16" s="614"/>
      <c r="X16" s="614"/>
      <c r="Y16" s="614"/>
      <c r="Z16" s="732"/>
    </row>
    <row r="17" spans="2:26" ht="12.75" customHeight="1" x14ac:dyDescent="0.3">
      <c r="B17" s="365"/>
      <c r="C17" s="658"/>
      <c r="D17" s="57"/>
      <c r="E17" s="720" t="s">
        <v>518</v>
      </c>
      <c r="F17" s="720"/>
      <c r="G17" s="655"/>
      <c r="H17" s="66"/>
      <c r="I17" s="3"/>
      <c r="J17" s="720" t="s">
        <v>517</v>
      </c>
      <c r="K17" s="720"/>
      <c r="L17" s="720"/>
      <c r="M17" s="306" t="str">
        <f>GEOMETRY!U31</f>
        <v/>
      </c>
      <c r="N17" s="215"/>
      <c r="O17" s="590"/>
      <c r="P17" s="583"/>
      <c r="Q17" s="434"/>
      <c r="R17" s="642"/>
      <c r="S17" s="635"/>
      <c r="T17" s="634"/>
      <c r="U17" s="634"/>
      <c r="V17" s="634"/>
      <c r="W17" s="643"/>
      <c r="X17" s="608"/>
      <c r="Y17" s="608"/>
      <c r="Z17" s="732"/>
    </row>
    <row r="18" spans="2:26" x14ac:dyDescent="0.3">
      <c r="B18" s="365"/>
      <c r="C18" s="658"/>
      <c r="D18" s="57"/>
      <c r="E18" s="720"/>
      <c r="F18" s="720"/>
      <c r="G18" s="655"/>
      <c r="H18" s="66"/>
      <c r="I18" s="3"/>
      <c r="J18" s="720"/>
      <c r="K18" s="720"/>
      <c r="L18" s="720"/>
      <c r="M18" s="654"/>
      <c r="N18" s="215"/>
      <c r="O18" s="590"/>
      <c r="P18" s="583"/>
      <c r="Q18" s="434"/>
      <c r="R18" s="642"/>
      <c r="S18" s="635"/>
      <c r="T18" s="634"/>
      <c r="U18" s="634"/>
      <c r="V18" s="634"/>
      <c r="W18" s="643"/>
      <c r="X18" s="608"/>
      <c r="Y18" s="608"/>
      <c r="Z18" s="732"/>
    </row>
    <row r="19" spans="2:26" x14ac:dyDescent="0.3">
      <c r="B19" s="365"/>
      <c r="C19" s="658"/>
      <c r="D19" s="57"/>
      <c r="E19" s="27"/>
      <c r="F19" s="66"/>
      <c r="G19" s="66"/>
      <c r="H19" s="66"/>
      <c r="I19" s="66"/>
      <c r="J19" s="66"/>
      <c r="K19" s="66"/>
      <c r="L19" s="66"/>
      <c r="M19" s="203"/>
      <c r="N19" s="216"/>
      <c r="O19" s="591"/>
      <c r="P19" s="583"/>
      <c r="Q19" s="434"/>
      <c r="R19" s="644" t="s">
        <v>134</v>
      </c>
      <c r="S19" s="644" t="s">
        <v>135</v>
      </c>
      <c r="T19" s="644" t="s">
        <v>136</v>
      </c>
      <c r="U19" s="644" t="s">
        <v>68</v>
      </c>
      <c r="V19" s="634"/>
      <c r="W19" s="611"/>
      <c r="X19" s="611"/>
      <c r="Y19" s="611"/>
      <c r="Z19" s="732"/>
    </row>
    <row r="20" spans="2:26" ht="13.5" thickBot="1" x14ac:dyDescent="0.35">
      <c r="B20" s="365"/>
      <c r="C20" s="658"/>
      <c r="D20" s="57"/>
      <c r="E20" s="217" t="str">
        <f>M17</f>
        <v/>
      </c>
      <c r="F20" s="218" t="s">
        <v>248</v>
      </c>
      <c r="G20" s="66"/>
      <c r="H20" s="20"/>
      <c r="I20" s="20"/>
      <c r="J20" s="661"/>
      <c r="K20" s="219">
        <f>GEOMETRY!P92</f>
        <v>12</v>
      </c>
      <c r="L20" s="218" t="s">
        <v>386</v>
      </c>
      <c r="M20" s="66"/>
      <c r="N20" s="66"/>
      <c r="O20" s="590"/>
      <c r="P20" s="583"/>
      <c r="Q20" s="434"/>
      <c r="R20" s="645">
        <f>IF(AND(U31&lt;=50,'TRAFFIC &amp; ACCIDENTS'!G35&lt;400),24,R21)</f>
        <v>26</v>
      </c>
      <c r="S20" s="635">
        <f>IF(AND(U31&lt;=30,'TRAFFIC &amp; ACCIDENTS'!G35&lt;1501),30,S21)</f>
        <v>32</v>
      </c>
      <c r="T20" s="635">
        <f>IF(AND(U31&lt;=50,'TRAFFIC &amp; ACCIDENTS'!G35&lt;2001),34,T21)</f>
        <v>36</v>
      </c>
      <c r="U20" s="635">
        <f>IF('TRAFFIC &amp; ACCIDENTS'!G35&gt;2000,40,0)</f>
        <v>0</v>
      </c>
      <c r="V20" s="634"/>
      <c r="W20" s="646"/>
      <c r="X20" s="611"/>
      <c r="Y20" s="611"/>
      <c r="Z20" s="732"/>
    </row>
    <row r="21" spans="2:26" ht="13.5" thickBot="1" x14ac:dyDescent="0.35">
      <c r="B21" s="365"/>
      <c r="C21" s="729" t="s">
        <v>222</v>
      </c>
      <c r="D21" s="719"/>
      <c r="E21" s="631">
        <f>GEOMETRY!K79*G45</f>
        <v>0</v>
      </c>
      <c r="F21" s="218" t="s">
        <v>387</v>
      </c>
      <c r="G21" s="66"/>
      <c r="H21" s="20"/>
      <c r="I21" s="20"/>
      <c r="J21" s="66"/>
      <c r="K21" s="631">
        <f>GEOMETRY!Y113*N45</f>
        <v>0</v>
      </c>
      <c r="L21" s="218" t="s">
        <v>387</v>
      </c>
      <c r="M21" s="66"/>
      <c r="N21" s="66"/>
      <c r="O21" s="590"/>
      <c r="P21" s="581"/>
      <c r="Q21" s="434"/>
      <c r="R21" s="635">
        <f>IF(AND(U31&gt;50,'TRAFFIC &amp; ACCIDENTS'!G35&lt;400),26,S20)</f>
        <v>26</v>
      </c>
      <c r="S21" s="635">
        <f>IF(AND(U31&gt;=35,'TRAFFIC &amp; ACCIDENTS'!G35&lt;1501),32,T20)</f>
        <v>32</v>
      </c>
      <c r="T21" s="635">
        <f>IF(AND(U31&gt;=55,'TRAFFIC &amp; ACCIDENTS'!G35&lt;2001),36,U20)</f>
        <v>36</v>
      </c>
      <c r="U21" s="642"/>
      <c r="V21" s="634"/>
      <c r="W21" s="611"/>
      <c r="X21" s="611"/>
      <c r="Y21" s="611"/>
      <c r="Z21" s="732"/>
    </row>
    <row r="22" spans="2:26" x14ac:dyDescent="0.3">
      <c r="B22" s="365"/>
      <c r="C22" s="729"/>
      <c r="D22" s="719"/>
      <c r="E22" s="27"/>
      <c r="F22" s="66"/>
      <c r="G22" s="66"/>
      <c r="H22" s="20"/>
      <c r="I22" s="20"/>
      <c r="J22" s="66"/>
      <c r="K22" s="66"/>
      <c r="L22" s="66"/>
      <c r="M22" s="66"/>
      <c r="N22" s="218" t="s">
        <v>388</v>
      </c>
      <c r="O22" s="590"/>
      <c r="P22" s="581"/>
      <c r="Q22" s="434"/>
      <c r="R22" s="635"/>
      <c r="S22" s="635"/>
      <c r="T22" s="635"/>
      <c r="U22" s="642"/>
      <c r="V22" s="634"/>
      <c r="W22" s="643"/>
      <c r="X22" s="611"/>
      <c r="Y22" s="611"/>
      <c r="Z22" s="732"/>
    </row>
    <row r="23" spans="2:26" x14ac:dyDescent="0.3">
      <c r="B23" s="365"/>
      <c r="C23" s="729"/>
      <c r="D23" s="719"/>
      <c r="E23" s="220" t="s">
        <v>378</v>
      </c>
      <c r="F23" s="333" t="s">
        <v>71</v>
      </c>
      <c r="G23" s="218" t="s">
        <v>389</v>
      </c>
      <c r="H23" s="20"/>
      <c r="I23" s="20"/>
      <c r="J23" s="218"/>
      <c r="K23" s="221" t="s">
        <v>390</v>
      </c>
      <c r="L23" s="221" t="s">
        <v>86</v>
      </c>
      <c r="M23" s="221" t="s">
        <v>71</v>
      </c>
      <c r="N23" s="218" t="s">
        <v>391</v>
      </c>
      <c r="O23" s="592"/>
      <c r="P23" s="581"/>
      <c r="Q23" s="434"/>
      <c r="R23" s="530"/>
      <c r="S23" s="530"/>
      <c r="T23" s="530"/>
      <c r="U23" s="530"/>
      <c r="V23" s="530"/>
      <c r="W23" s="530"/>
      <c r="X23" s="530"/>
      <c r="Y23" s="530"/>
      <c r="Z23" s="732"/>
    </row>
    <row r="24" spans="2:26" x14ac:dyDescent="0.3">
      <c r="B24" s="365"/>
      <c r="C24" s="729"/>
      <c r="D24" s="719"/>
      <c r="E24" s="222" t="s">
        <v>392</v>
      </c>
      <c r="F24" s="333" t="s">
        <v>78</v>
      </c>
      <c r="G24" s="223" t="s">
        <v>393</v>
      </c>
      <c r="H24" s="20"/>
      <c r="I24" s="20"/>
      <c r="J24" s="223"/>
      <c r="K24" s="224" t="s">
        <v>394</v>
      </c>
      <c r="L24" s="225" t="s">
        <v>395</v>
      </c>
      <c r="M24" s="224" t="s">
        <v>394</v>
      </c>
      <c r="N24" s="223" t="s">
        <v>396</v>
      </c>
      <c r="O24" s="593"/>
      <c r="P24" s="581"/>
      <c r="Q24" s="434"/>
      <c r="R24" s="530"/>
      <c r="S24" s="530"/>
      <c r="T24" s="530"/>
      <c r="U24" s="530"/>
      <c r="V24" s="530"/>
      <c r="W24" s="530"/>
      <c r="X24" s="530"/>
      <c r="Y24" s="530"/>
      <c r="Z24" s="732"/>
    </row>
    <row r="25" spans="2:26" ht="12.75" customHeight="1" x14ac:dyDescent="0.3">
      <c r="B25" s="365"/>
      <c r="C25" s="660">
        <v>1</v>
      </c>
      <c r="D25" s="659" t="str">
        <f>IF(AND(F25&lt;&gt;0,F25&lt;$E$20),"*","")</f>
        <v/>
      </c>
      <c r="E25" s="96"/>
      <c r="F25" s="96"/>
      <c r="G25" s="607">
        <f>IF($M$17="",0,IF(AND(F25&gt;=E25,E25&lt;$M$17,F25&lt;&gt;0),H25,""))</f>
        <v>0</v>
      </c>
      <c r="H25" s="606" t="e">
        <f>IF(F25&gt;M17,1,(F25-E25)/(M17-E25))</f>
        <v>#VALUE!</v>
      </c>
      <c r="I25" s="20"/>
      <c r="J25" s="380"/>
      <c r="K25" s="201"/>
      <c r="L25" s="201"/>
      <c r="M25" s="201"/>
      <c r="N25" s="607" t="str">
        <f>IF($K$20=0,0,IF(AND(M25&lt;=K25,K25&gt;$K$20,M25&lt;&gt;0),O25*(L25/$L$45),""))</f>
        <v/>
      </c>
      <c r="O25" s="594">
        <f>IF(M25&lt;K20,1,(K25-M25)/(K25-K20))</f>
        <v>1</v>
      </c>
      <c r="P25" s="581"/>
      <c r="Q25" s="434"/>
      <c r="R25" s="530"/>
      <c r="S25" s="546" t="s">
        <v>433</v>
      </c>
      <c r="T25" s="546" t="s">
        <v>527</v>
      </c>
      <c r="U25" s="546"/>
      <c r="V25" s="530" t="s">
        <v>528</v>
      </c>
      <c r="W25" s="530"/>
      <c r="X25" s="647"/>
      <c r="Y25" s="647"/>
      <c r="Z25" s="732"/>
    </row>
    <row r="26" spans="2:26" ht="12.75" customHeight="1" x14ac:dyDescent="0.3">
      <c r="B26" s="365"/>
      <c r="C26" s="660">
        <v>2</v>
      </c>
      <c r="D26" s="659" t="str">
        <f t="shared" ref="D26:D44" si="0">IF(AND(F26&lt;&gt;0,F26&lt;$E$20),"*","")</f>
        <v/>
      </c>
      <c r="E26" s="96"/>
      <c r="F26" s="96"/>
      <c r="G26" s="607">
        <f t="shared" ref="G26:G44" si="1">IF($M$17="",0,IF(AND(F26&gt;=E26,E26&lt;$M$17,F26&lt;&gt;0),H26,""))</f>
        <v>0</v>
      </c>
      <c r="H26" s="606" t="e">
        <f>IF(F26&gt;M17,1,(F26-E26)/(M17-E26))</f>
        <v>#VALUE!</v>
      </c>
      <c r="I26" s="20"/>
      <c r="J26" s="380"/>
      <c r="K26" s="201"/>
      <c r="L26" s="201"/>
      <c r="M26" s="201"/>
      <c r="N26" s="607" t="str">
        <f t="shared" ref="N26:N44" si="2">IF($K$20=0,0,IF(AND(M26&lt;=K26,K26&gt;$K$20,M26&lt;&gt;0),O26*(L26/$L$45),""))</f>
        <v/>
      </c>
      <c r="O26" s="594">
        <f>IF(M26&lt;K20,1,(K26-M26)/(K26-K20))</f>
        <v>1</v>
      </c>
      <c r="P26" s="581"/>
      <c r="Q26" s="434"/>
      <c r="R26" s="648" t="s">
        <v>73</v>
      </c>
      <c r="S26" s="648"/>
      <c r="T26" s="648"/>
      <c r="U26" s="546"/>
      <c r="V26" s="530"/>
      <c r="W26" s="530"/>
      <c r="X26" s="647"/>
      <c r="Y26" s="647"/>
      <c r="Z26" s="732"/>
    </row>
    <row r="27" spans="2:26" ht="12.75" customHeight="1" x14ac:dyDescent="0.3">
      <c r="B27" s="365"/>
      <c r="C27" s="660">
        <v>3</v>
      </c>
      <c r="D27" s="659" t="str">
        <f t="shared" si="0"/>
        <v/>
      </c>
      <c r="E27" s="96"/>
      <c r="F27" s="96"/>
      <c r="G27" s="607">
        <f t="shared" si="1"/>
        <v>0</v>
      </c>
      <c r="H27" s="606" t="e">
        <f>IF(F27&gt;M17,1,(F27-E27)/(M17-E27))</f>
        <v>#VALUE!</v>
      </c>
      <c r="I27" s="20"/>
      <c r="J27" s="380"/>
      <c r="K27" s="201"/>
      <c r="L27" s="201"/>
      <c r="M27" s="201"/>
      <c r="N27" s="607" t="str">
        <f t="shared" si="2"/>
        <v/>
      </c>
      <c r="O27" s="594">
        <f>IF(M27&lt;K20,1,(K27-M27)/(K27-K20))</f>
        <v>1</v>
      </c>
      <c r="P27" s="581"/>
      <c r="Q27" s="434"/>
      <c r="R27" s="635">
        <f>IF(E6&lt;&gt;0,S27,R28)</f>
        <v>20</v>
      </c>
      <c r="S27" s="635">
        <f>IF('TRAFFIC &amp; ACCIDENTS'!G35&lt;400,40,T27)</f>
        <v>40</v>
      </c>
      <c r="T27" s="635">
        <f>IF('TRAFFIC &amp; ACCIDENTS'!G35&lt;2001,40,50)</f>
        <v>40</v>
      </c>
      <c r="U27" s="546"/>
      <c r="V27" s="530" t="s">
        <v>74</v>
      </c>
      <c r="W27" s="530"/>
      <c r="X27" s="647"/>
      <c r="Y27" s="647"/>
      <c r="Z27" s="732"/>
    </row>
    <row r="28" spans="2:26" ht="12.75" customHeight="1" x14ac:dyDescent="0.3">
      <c r="B28" s="365"/>
      <c r="C28" s="660">
        <v>4</v>
      </c>
      <c r="D28" s="659" t="str">
        <f t="shared" si="0"/>
        <v/>
      </c>
      <c r="E28" s="96"/>
      <c r="F28" s="96"/>
      <c r="G28" s="607">
        <f t="shared" si="1"/>
        <v>0</v>
      </c>
      <c r="H28" s="606" t="e">
        <f>IF(F28&gt;M17,1,(F28-E28)/(M17-E28))</f>
        <v>#VALUE!</v>
      </c>
      <c r="I28" s="20"/>
      <c r="J28" s="380"/>
      <c r="K28" s="201"/>
      <c r="L28" s="201"/>
      <c r="M28" s="201"/>
      <c r="N28" s="607" t="str">
        <f t="shared" si="2"/>
        <v/>
      </c>
      <c r="O28" s="594">
        <f>IF(M28&lt;K20,1,(K28-M28)/(K28-K20))</f>
        <v>1</v>
      </c>
      <c r="P28" s="581"/>
      <c r="Q28" s="434"/>
      <c r="R28" s="635">
        <f>IF(E7&lt;&gt;0,S28,R29)</f>
        <v>20</v>
      </c>
      <c r="S28" s="635">
        <f>IF('TRAFFIC &amp; ACCIDENTS'!G35&lt;400,30,T28)</f>
        <v>30</v>
      </c>
      <c r="T28" s="635">
        <f>IF('TRAFFIC &amp; ACCIDENTS'!G35&lt;2001,40,50)</f>
        <v>40</v>
      </c>
      <c r="U28" s="546"/>
      <c r="V28" s="530" t="s">
        <v>75</v>
      </c>
      <c r="W28" s="530"/>
      <c r="X28" s="647"/>
      <c r="Y28" s="647"/>
      <c r="Z28" s="732"/>
    </row>
    <row r="29" spans="2:26" ht="12.75" customHeight="1" x14ac:dyDescent="0.3">
      <c r="B29" s="365"/>
      <c r="C29" s="660">
        <v>5</v>
      </c>
      <c r="D29" s="659" t="str">
        <f t="shared" si="0"/>
        <v/>
      </c>
      <c r="E29" s="96"/>
      <c r="F29" s="96"/>
      <c r="G29" s="607">
        <f t="shared" si="1"/>
        <v>0</v>
      </c>
      <c r="H29" s="606" t="e">
        <f>IF(F29&gt;M17,1,(F29-E29)/(M17-E29))</f>
        <v>#VALUE!</v>
      </c>
      <c r="I29" s="20"/>
      <c r="J29" s="380"/>
      <c r="K29" s="201"/>
      <c r="L29" s="201"/>
      <c r="M29" s="201"/>
      <c r="N29" s="607" t="str">
        <f t="shared" si="2"/>
        <v/>
      </c>
      <c r="O29" s="594">
        <f>IF(M29&lt;K20,1,(K29-M29)/(K29-K20))</f>
        <v>1</v>
      </c>
      <c r="P29" s="581"/>
      <c r="Q29" s="434"/>
      <c r="R29" s="635">
        <f>S29</f>
        <v>20</v>
      </c>
      <c r="S29" s="635">
        <f>IF('TRAFFIC &amp; ACCIDENTS'!G35&lt;400,20,T29)</f>
        <v>20</v>
      </c>
      <c r="T29" s="635">
        <f>IF('TRAFFIC &amp; ACCIDENTS'!G35&lt;2001,30,40)</f>
        <v>30</v>
      </c>
      <c r="U29" s="546"/>
      <c r="V29" s="530" t="s">
        <v>76</v>
      </c>
      <c r="W29" s="530"/>
      <c r="X29" s="647"/>
      <c r="Y29" s="647"/>
      <c r="Z29" s="647"/>
    </row>
    <row r="30" spans="2:26" ht="12.75" customHeight="1" x14ac:dyDescent="0.3">
      <c r="B30" s="365"/>
      <c r="C30" s="660">
        <v>6</v>
      </c>
      <c r="D30" s="659" t="str">
        <f t="shared" si="0"/>
        <v/>
      </c>
      <c r="E30" s="96"/>
      <c r="F30" s="96"/>
      <c r="G30" s="607">
        <f t="shared" si="1"/>
        <v>0</v>
      </c>
      <c r="H30" s="606" t="e">
        <f>IF(F30&gt;M17,1,(F30-E30)/(M17-E30))</f>
        <v>#VALUE!</v>
      </c>
      <c r="I30" s="20"/>
      <c r="J30" s="380"/>
      <c r="K30" s="201"/>
      <c r="L30" s="201"/>
      <c r="M30" s="201"/>
      <c r="N30" s="607" t="str">
        <f t="shared" si="2"/>
        <v/>
      </c>
      <c r="O30" s="594">
        <f>IF(M30&lt;K20,1,(K30-M30)/(K30-K20))</f>
        <v>1</v>
      </c>
      <c r="P30" s="581"/>
      <c r="Q30" s="405"/>
      <c r="R30" s="530"/>
      <c r="S30" s="530"/>
      <c r="T30" s="530"/>
      <c r="U30" s="546"/>
      <c r="V30" s="674"/>
      <c r="W30" s="674"/>
      <c r="X30" s="675"/>
      <c r="Y30" s="675"/>
      <c r="Z30" s="675"/>
    </row>
    <row r="31" spans="2:26" ht="12.75" customHeight="1" x14ac:dyDescent="0.3">
      <c r="B31" s="365"/>
      <c r="C31" s="660">
        <v>7</v>
      </c>
      <c r="D31" s="659" t="str">
        <f t="shared" si="0"/>
        <v/>
      </c>
      <c r="E31" s="96"/>
      <c r="F31" s="96"/>
      <c r="G31" s="607">
        <f t="shared" si="1"/>
        <v>0</v>
      </c>
      <c r="H31" s="606" t="e">
        <f>IF(F31&gt;M17,1,(F31-E31)/(M17-E31))</f>
        <v>#VALUE!</v>
      </c>
      <c r="I31" s="20"/>
      <c r="J31" s="380"/>
      <c r="K31" s="201"/>
      <c r="L31" s="201"/>
      <c r="M31" s="201"/>
      <c r="N31" s="607" t="str">
        <f t="shared" si="2"/>
        <v/>
      </c>
      <c r="O31" s="594">
        <f>IF(M31&lt;K20,1,(K31-M31)/(K31-K20))</f>
        <v>1</v>
      </c>
      <c r="P31" s="581"/>
      <c r="Q31" s="381"/>
      <c r="R31" s="546"/>
      <c r="S31" s="530"/>
      <c r="T31" s="533" t="s">
        <v>77</v>
      </c>
      <c r="U31" s="649" t="str">
        <f>IF(AND(E6=0,E7=0,E8=0),"",R27)</f>
        <v/>
      </c>
      <c r="V31" s="676"/>
      <c r="W31" s="676"/>
      <c r="X31" s="674"/>
      <c r="Y31" s="674"/>
      <c r="Z31" s="674"/>
    </row>
    <row r="32" spans="2:26" ht="12.75" customHeight="1" x14ac:dyDescent="0.3">
      <c r="B32" s="365"/>
      <c r="C32" s="660">
        <v>8</v>
      </c>
      <c r="D32" s="659" t="str">
        <f t="shared" si="0"/>
        <v/>
      </c>
      <c r="E32" s="96"/>
      <c r="F32" s="96"/>
      <c r="G32" s="607">
        <f t="shared" si="1"/>
        <v>0</v>
      </c>
      <c r="H32" s="606" t="e">
        <f>IF(F32&gt;M17,1,(F32-E32)/(M17-E32))</f>
        <v>#VALUE!</v>
      </c>
      <c r="I32" s="20"/>
      <c r="J32" s="380"/>
      <c r="K32" s="201"/>
      <c r="L32" s="201"/>
      <c r="M32" s="201"/>
      <c r="N32" s="607" t="str">
        <f t="shared" si="2"/>
        <v/>
      </c>
      <c r="O32" s="594">
        <f>IF(M32&lt;K20,1,(K32-M32)/(K32-K20))</f>
        <v>1</v>
      </c>
      <c r="P32" s="581"/>
      <c r="Q32" s="381"/>
      <c r="R32" s="530"/>
      <c r="S32" s="530"/>
      <c r="T32" s="530"/>
      <c r="U32" s="530"/>
      <c r="V32" s="674"/>
      <c r="W32" s="674"/>
      <c r="X32" s="674"/>
      <c r="Y32" s="674"/>
      <c r="Z32" s="674"/>
    </row>
    <row r="33" spans="2:26" ht="12.75" customHeight="1" x14ac:dyDescent="0.3">
      <c r="B33" s="365"/>
      <c r="C33" s="660">
        <v>9</v>
      </c>
      <c r="D33" s="659" t="str">
        <f t="shared" si="0"/>
        <v/>
      </c>
      <c r="E33" s="96"/>
      <c r="F33" s="96"/>
      <c r="G33" s="607">
        <f t="shared" si="1"/>
        <v>0</v>
      </c>
      <c r="H33" s="606" t="e">
        <f>IF(F33&gt;M17,1,(F33-E33)/(M17-E33))</f>
        <v>#VALUE!</v>
      </c>
      <c r="I33" s="20"/>
      <c r="J33" s="380"/>
      <c r="K33" s="201"/>
      <c r="L33" s="201"/>
      <c r="M33" s="201"/>
      <c r="N33" s="607" t="str">
        <f t="shared" si="2"/>
        <v/>
      </c>
      <c r="O33" s="594">
        <f>IF(M33&lt;K20,1,(K33-M33)/(K33-K20))</f>
        <v>1</v>
      </c>
      <c r="P33" s="581"/>
      <c r="Q33" s="381"/>
      <c r="R33" s="530"/>
      <c r="S33" s="530"/>
      <c r="T33" s="530"/>
      <c r="U33" s="530"/>
      <c r="V33" s="674"/>
      <c r="W33" s="674"/>
      <c r="X33" s="674"/>
      <c r="Y33" s="674"/>
      <c r="Z33" s="674"/>
    </row>
    <row r="34" spans="2:26" ht="12.75" customHeight="1" x14ac:dyDescent="0.3">
      <c r="B34" s="365"/>
      <c r="C34" s="660">
        <v>10</v>
      </c>
      <c r="D34" s="659" t="str">
        <f t="shared" si="0"/>
        <v/>
      </c>
      <c r="E34" s="96"/>
      <c r="F34" s="96"/>
      <c r="G34" s="607">
        <f t="shared" si="1"/>
        <v>0</v>
      </c>
      <c r="H34" s="606" t="e">
        <f>IF(F34&gt;M17,1,(F34-E34)/(M17-E34))</f>
        <v>#VALUE!</v>
      </c>
      <c r="I34" s="20"/>
      <c r="J34" s="380"/>
      <c r="K34" s="201"/>
      <c r="L34" s="201"/>
      <c r="M34" s="201"/>
      <c r="N34" s="607" t="str">
        <f t="shared" si="2"/>
        <v/>
      </c>
      <c r="O34" s="594">
        <f>IF(M34&lt;K20,1,(K34-M34)/(K34-K20))</f>
        <v>1</v>
      </c>
      <c r="P34" s="581"/>
      <c r="Q34" s="381"/>
      <c r="R34" s="530"/>
      <c r="S34" s="530"/>
      <c r="T34" s="530"/>
      <c r="U34" s="530"/>
      <c r="V34" s="546"/>
      <c r="W34" s="546"/>
      <c r="X34" s="546"/>
      <c r="Y34" s="530"/>
      <c r="Z34" s="530"/>
    </row>
    <row r="35" spans="2:26" ht="12.75" customHeight="1" x14ac:dyDescent="0.3">
      <c r="B35" s="365"/>
      <c r="C35" s="660">
        <v>11</v>
      </c>
      <c r="D35" s="659" t="str">
        <f t="shared" si="0"/>
        <v/>
      </c>
      <c r="E35" s="96"/>
      <c r="F35" s="96"/>
      <c r="G35" s="607">
        <f t="shared" si="1"/>
        <v>0</v>
      </c>
      <c r="H35" s="606" t="e">
        <f>IF(F35&gt;M17,1,(F35-E35)/(M17-E35))</f>
        <v>#VALUE!</v>
      </c>
      <c r="I35" s="20"/>
      <c r="J35" s="380"/>
      <c r="K35" s="201"/>
      <c r="L35" s="201"/>
      <c r="M35" s="201"/>
      <c r="N35" s="607" t="str">
        <f t="shared" si="2"/>
        <v/>
      </c>
      <c r="O35" s="594">
        <f>IF(M35&lt;K20,1,(M35-K35)/(K20-K35))</f>
        <v>1</v>
      </c>
      <c r="P35" s="583"/>
      <c r="Q35" s="381"/>
    </row>
    <row r="36" spans="2:26" ht="12.75" customHeight="1" x14ac:dyDescent="0.3">
      <c r="B36" s="365"/>
      <c r="C36" s="660">
        <v>12</v>
      </c>
      <c r="D36" s="659" t="str">
        <f t="shared" si="0"/>
        <v/>
      </c>
      <c r="E36" s="96"/>
      <c r="F36" s="96"/>
      <c r="G36" s="607">
        <f t="shared" si="1"/>
        <v>0</v>
      </c>
      <c r="H36" s="606" t="e">
        <f>IF(F36&gt;M17,1,(F36-E36)/(M17-E36))</f>
        <v>#VALUE!</v>
      </c>
      <c r="I36" s="20"/>
      <c r="J36" s="380"/>
      <c r="K36" s="201"/>
      <c r="L36" s="201"/>
      <c r="M36" s="201"/>
      <c r="N36" s="607" t="str">
        <f t="shared" si="2"/>
        <v/>
      </c>
      <c r="O36" s="594">
        <f>IF(M36&lt;K20,1,(M36-K36)/(K20-K36))</f>
        <v>1</v>
      </c>
      <c r="P36" s="583"/>
      <c r="Q36" s="381"/>
    </row>
    <row r="37" spans="2:26" ht="12.75" customHeight="1" x14ac:dyDescent="0.3">
      <c r="B37" s="365"/>
      <c r="C37" s="660">
        <v>13</v>
      </c>
      <c r="D37" s="659" t="str">
        <f t="shared" si="0"/>
        <v/>
      </c>
      <c r="E37" s="226"/>
      <c r="F37" s="226"/>
      <c r="G37" s="607">
        <f t="shared" si="1"/>
        <v>0</v>
      </c>
      <c r="H37" s="606" t="e">
        <f>IF(F37&gt;M17,1,(F37-E37)/(M17-E37))</f>
        <v>#VALUE!</v>
      </c>
      <c r="I37" s="20"/>
      <c r="J37" s="380"/>
      <c r="K37" s="201"/>
      <c r="L37" s="201"/>
      <c r="M37" s="201"/>
      <c r="N37" s="607" t="str">
        <f t="shared" si="2"/>
        <v/>
      </c>
      <c r="O37" s="594">
        <f>IF(M37&lt;K20,1,(M37-K37)/(K20-K37))</f>
        <v>1</v>
      </c>
      <c r="P37" s="583"/>
      <c r="Q37" s="381"/>
    </row>
    <row r="38" spans="2:26" ht="12.75" customHeight="1" x14ac:dyDescent="0.3">
      <c r="B38" s="365"/>
      <c r="C38" s="660">
        <v>14</v>
      </c>
      <c r="D38" s="659" t="str">
        <f t="shared" si="0"/>
        <v/>
      </c>
      <c r="E38" s="226"/>
      <c r="F38" s="226"/>
      <c r="G38" s="607">
        <f t="shared" si="1"/>
        <v>0</v>
      </c>
      <c r="H38" s="606" t="e">
        <f>IF(F38&gt;M17,1,(F38-E38)/(M17-E38))</f>
        <v>#VALUE!</v>
      </c>
      <c r="I38" s="20"/>
      <c r="J38" s="380"/>
      <c r="K38" s="201"/>
      <c r="L38" s="201"/>
      <c r="M38" s="201"/>
      <c r="N38" s="607" t="str">
        <f t="shared" si="2"/>
        <v/>
      </c>
      <c r="O38" s="594">
        <f>IF(M38&lt;K20,1,(M38-K38)/(K20-K38))</f>
        <v>1</v>
      </c>
      <c r="P38" s="583"/>
      <c r="Q38" s="381"/>
    </row>
    <row r="39" spans="2:26" ht="12.75" customHeight="1" x14ac:dyDescent="0.3">
      <c r="B39" s="365"/>
      <c r="C39" s="660">
        <v>15</v>
      </c>
      <c r="D39" s="659" t="str">
        <f t="shared" si="0"/>
        <v/>
      </c>
      <c r="E39" s="226"/>
      <c r="F39" s="226"/>
      <c r="G39" s="607">
        <f t="shared" si="1"/>
        <v>0</v>
      </c>
      <c r="H39" s="606" t="e">
        <f>IF(F39&gt;M17,1,(F39-E39)/(M17-E39))</f>
        <v>#VALUE!</v>
      </c>
      <c r="I39" s="20"/>
      <c r="J39" s="380"/>
      <c r="K39" s="201"/>
      <c r="L39" s="201"/>
      <c r="M39" s="201"/>
      <c r="N39" s="607" t="str">
        <f t="shared" si="2"/>
        <v/>
      </c>
      <c r="O39" s="594">
        <f>IF(M39&lt;K20,1,(M39-K39)/(K20-K39))</f>
        <v>1</v>
      </c>
      <c r="P39" s="583"/>
      <c r="Q39" s="381"/>
    </row>
    <row r="40" spans="2:26" ht="12.75" customHeight="1" x14ac:dyDescent="0.3">
      <c r="B40" s="365"/>
      <c r="C40" s="660">
        <v>16</v>
      </c>
      <c r="D40" s="659" t="str">
        <f t="shared" si="0"/>
        <v/>
      </c>
      <c r="E40" s="226"/>
      <c r="F40" s="226"/>
      <c r="G40" s="607">
        <f t="shared" si="1"/>
        <v>0</v>
      </c>
      <c r="H40" s="606" t="e">
        <f>IF(F40&gt;M17,1,(F40-E40)/(M17-E40))</f>
        <v>#VALUE!</v>
      </c>
      <c r="I40" s="20"/>
      <c r="J40" s="380"/>
      <c r="K40" s="201"/>
      <c r="L40" s="201"/>
      <c r="M40" s="201"/>
      <c r="N40" s="607" t="str">
        <f t="shared" si="2"/>
        <v/>
      </c>
      <c r="O40" s="594">
        <f>IF(M40&lt;K20,1,(M40-K40)/(K20-K40))</f>
        <v>1</v>
      </c>
      <c r="P40" s="583"/>
      <c r="Q40" s="381"/>
    </row>
    <row r="41" spans="2:26" ht="12.75" customHeight="1" x14ac:dyDescent="0.3">
      <c r="B41" s="365"/>
      <c r="C41" s="660">
        <v>17</v>
      </c>
      <c r="D41" s="659" t="str">
        <f t="shared" si="0"/>
        <v/>
      </c>
      <c r="E41" s="226"/>
      <c r="F41" s="226"/>
      <c r="G41" s="607">
        <f t="shared" si="1"/>
        <v>0</v>
      </c>
      <c r="H41" s="606" t="e">
        <f>IF(F41&gt;M17,1,(F41-E41)/(M17-E41))</f>
        <v>#VALUE!</v>
      </c>
      <c r="I41" s="20"/>
      <c r="J41" s="380"/>
      <c r="K41" s="201"/>
      <c r="L41" s="201"/>
      <c r="M41" s="201"/>
      <c r="N41" s="607" t="str">
        <f t="shared" si="2"/>
        <v/>
      </c>
      <c r="O41" s="594">
        <f>IF(M41&lt;K20,1,(M41-K41)/(K20-K41))</f>
        <v>1</v>
      </c>
      <c r="P41" s="583"/>
      <c r="Q41" s="381"/>
    </row>
    <row r="42" spans="2:26" ht="12.75" customHeight="1" x14ac:dyDescent="0.3">
      <c r="B42" s="365"/>
      <c r="C42" s="660">
        <v>18</v>
      </c>
      <c r="D42" s="659" t="str">
        <f t="shared" si="0"/>
        <v/>
      </c>
      <c r="E42" s="226"/>
      <c r="F42" s="226"/>
      <c r="G42" s="607">
        <f t="shared" si="1"/>
        <v>0</v>
      </c>
      <c r="H42" s="606" t="e">
        <f>IF(F42&gt;M17,1,(F42-E42)/(M17-E42))</f>
        <v>#VALUE!</v>
      </c>
      <c r="I42" s="20"/>
      <c r="J42" s="380"/>
      <c r="K42" s="201"/>
      <c r="L42" s="201"/>
      <c r="M42" s="201"/>
      <c r="N42" s="607" t="str">
        <f t="shared" si="2"/>
        <v/>
      </c>
      <c r="O42" s="594">
        <f>IF(M42&lt;K20,1,(M42-K42)/(K20-K42))</f>
        <v>1</v>
      </c>
      <c r="P42" s="583"/>
      <c r="Q42" s="381"/>
    </row>
    <row r="43" spans="2:26" ht="12.75" customHeight="1" x14ac:dyDescent="0.3">
      <c r="B43" s="365"/>
      <c r="C43" s="660">
        <v>19</v>
      </c>
      <c r="D43" s="659" t="str">
        <f t="shared" si="0"/>
        <v/>
      </c>
      <c r="E43" s="226"/>
      <c r="F43" s="226"/>
      <c r="G43" s="607">
        <f t="shared" si="1"/>
        <v>0</v>
      </c>
      <c r="H43" s="606" t="e">
        <f>IF(F43&gt;M17,1,(F43-E43)/(M17-E43))</f>
        <v>#VALUE!</v>
      </c>
      <c r="I43" s="20"/>
      <c r="J43" s="380"/>
      <c r="K43" s="201"/>
      <c r="L43" s="201"/>
      <c r="M43" s="201"/>
      <c r="N43" s="607" t="str">
        <f t="shared" si="2"/>
        <v/>
      </c>
      <c r="O43" s="594">
        <f>IF(M43&lt;K20,1,(M43-K43)/(K20-K43))</f>
        <v>1</v>
      </c>
      <c r="P43" s="583"/>
      <c r="Q43" s="381"/>
    </row>
    <row r="44" spans="2:26" ht="12.75" customHeight="1" x14ac:dyDescent="0.3">
      <c r="B44" s="365"/>
      <c r="C44" s="660">
        <v>20</v>
      </c>
      <c r="D44" s="659" t="str">
        <f t="shared" si="0"/>
        <v/>
      </c>
      <c r="E44" s="226"/>
      <c r="F44" s="226"/>
      <c r="G44" s="607">
        <f t="shared" si="1"/>
        <v>0</v>
      </c>
      <c r="H44" s="606" t="e">
        <f>IF(F44&gt;M17,1,(F44-E44)/(M17-E44))</f>
        <v>#VALUE!</v>
      </c>
      <c r="I44" s="20"/>
      <c r="J44" s="380"/>
      <c r="K44" s="201"/>
      <c r="L44" s="201"/>
      <c r="M44" s="201"/>
      <c r="N44" s="607" t="str">
        <f t="shared" si="2"/>
        <v/>
      </c>
      <c r="O44" s="594">
        <f>IF(M44&lt;K20,1,(M44-K44)/(K20-K44))</f>
        <v>1</v>
      </c>
      <c r="P44" s="583"/>
      <c r="Q44" s="365"/>
    </row>
    <row r="45" spans="2:26" x14ac:dyDescent="0.3">
      <c r="B45" s="365"/>
      <c r="C45" s="658"/>
      <c r="D45" s="57"/>
      <c r="E45" s="227"/>
      <c r="F45" s="68" t="s">
        <v>379</v>
      </c>
      <c r="G45" s="228">
        <f>IF(SUM(G25:G44)=0,0.00000001,(SUM(G25:G44)/(COUNT(G25:G44))))</f>
        <v>1E-8</v>
      </c>
      <c r="H45" s="20"/>
      <c r="I45" s="20"/>
      <c r="J45" s="228"/>
      <c r="K45" s="66">
        <f>COUNT(K25:K43)</f>
        <v>0</v>
      </c>
      <c r="L45" s="229">
        <f>SUM(L25:L44)</f>
        <v>0</v>
      </c>
      <c r="M45" s="68" t="s">
        <v>397</v>
      </c>
      <c r="N45" s="228">
        <f>IF(SUM(N25:N44)=0,0.0000001,(SUM(N25:N44)))</f>
        <v>9.9999999999999995E-8</v>
      </c>
      <c r="O45" s="595"/>
      <c r="P45" s="583"/>
    </row>
    <row r="46" spans="2:26" ht="12.75" customHeight="1" x14ac:dyDescent="0.3">
      <c r="B46" s="365"/>
      <c r="C46" s="658"/>
      <c r="D46" s="783"/>
      <c r="E46" s="784"/>
      <c r="F46" s="57"/>
      <c r="G46" s="57"/>
      <c r="H46" s="785"/>
      <c r="I46" s="20"/>
      <c r="J46" s="66"/>
      <c r="K46" s="66" t="s">
        <v>380</v>
      </c>
      <c r="L46" s="66" t="s">
        <v>380</v>
      </c>
      <c r="M46" s="66"/>
      <c r="N46" s="66"/>
      <c r="O46" s="590"/>
      <c r="P46" s="583"/>
    </row>
    <row r="47" spans="2:26" ht="13.5" thickBot="1" x14ac:dyDescent="0.35">
      <c r="B47" s="365"/>
      <c r="C47" s="318"/>
      <c r="D47" s="57"/>
      <c r="E47" s="27"/>
      <c r="F47" s="66"/>
      <c r="G47" s="66"/>
      <c r="H47" s="20"/>
      <c r="I47" s="20"/>
      <c r="J47" s="66"/>
      <c r="K47" s="66" t="s">
        <v>398</v>
      </c>
      <c r="L47" s="66" t="s">
        <v>399</v>
      </c>
      <c r="M47" s="66"/>
      <c r="N47" s="66"/>
      <c r="O47" s="590"/>
      <c r="P47" s="596"/>
    </row>
    <row r="48" spans="2:26" x14ac:dyDescent="0.3">
      <c r="B48" s="365"/>
      <c r="C48" s="431"/>
      <c r="D48" s="431"/>
      <c r="E48" s="431"/>
      <c r="F48" s="431"/>
      <c r="G48" s="431"/>
      <c r="H48" s="431"/>
      <c r="I48" s="431"/>
      <c r="J48" s="431"/>
      <c r="K48" s="431"/>
      <c r="L48" s="431"/>
      <c r="M48" s="431"/>
      <c r="N48" s="402"/>
      <c r="O48" s="402"/>
      <c r="P48" s="233">
        <f>'TRAFFIC &amp; ACCIDENTS'!D9</f>
        <v>0</v>
      </c>
      <c r="Q48" s="231" t="s">
        <v>17</v>
      </c>
      <c r="R48" s="121"/>
      <c r="S48" s="121"/>
      <c r="T48" s="27"/>
      <c r="U48" s="27"/>
      <c r="V48" s="27"/>
      <c r="W48" s="234" t="s">
        <v>400</v>
      </c>
      <c r="X48" s="66"/>
      <c r="Y48" s="66"/>
      <c r="Z48" s="66"/>
    </row>
    <row r="49" spans="1:26" x14ac:dyDescent="0.3">
      <c r="C49" s="432"/>
      <c r="D49" s="432"/>
      <c r="E49" s="432"/>
      <c r="F49" s="432"/>
      <c r="G49" s="432"/>
      <c r="H49" s="432"/>
      <c r="I49" s="432"/>
      <c r="J49" s="432"/>
      <c r="K49" s="432"/>
      <c r="L49" s="432"/>
      <c r="M49" s="432"/>
      <c r="N49" s="432"/>
      <c r="O49" s="432"/>
      <c r="P49" s="176"/>
      <c r="Q49" s="176"/>
      <c r="R49" s="176"/>
      <c r="S49" s="121"/>
      <c r="T49" s="27"/>
      <c r="U49" s="27"/>
      <c r="V49" s="27"/>
      <c r="W49" s="27"/>
      <c r="X49" s="172"/>
      <c r="Y49" s="27"/>
      <c r="Z49" s="27"/>
    </row>
    <row r="50" spans="1:26" x14ac:dyDescent="0.3">
      <c r="C50" s="367"/>
      <c r="D50" s="367"/>
      <c r="E50" s="435"/>
      <c r="F50" s="435"/>
      <c r="G50" s="435"/>
      <c r="H50" s="435"/>
      <c r="I50" s="435"/>
      <c r="J50" s="435"/>
      <c r="K50" s="435"/>
      <c r="L50" s="435"/>
      <c r="M50" s="435"/>
      <c r="P50" s="121"/>
      <c r="Q50" s="121"/>
      <c r="R50" s="121"/>
      <c r="S50" s="121"/>
      <c r="T50" s="27"/>
      <c r="U50" s="27" t="s">
        <v>402</v>
      </c>
      <c r="V50" s="75"/>
      <c r="W50" s="27"/>
      <c r="X50" s="27"/>
      <c r="Y50" s="121"/>
      <c r="Z50" s="66"/>
    </row>
    <row r="51" spans="1:26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P51" s="150"/>
      <c r="Q51" s="150"/>
      <c r="R51" s="150"/>
      <c r="S51" s="121"/>
      <c r="T51" s="27"/>
      <c r="U51" s="27" t="s">
        <v>378</v>
      </c>
      <c r="V51" s="237" t="s">
        <v>405</v>
      </c>
      <c r="W51" s="237" t="s">
        <v>406</v>
      </c>
      <c r="X51" s="237" t="s">
        <v>407</v>
      </c>
      <c r="Y51" s="237" t="s">
        <v>406</v>
      </c>
      <c r="Z51" s="66"/>
    </row>
    <row r="52" spans="1:26" x14ac:dyDescent="0.3">
      <c r="A52" s="709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4"/>
      <c r="P52" s="27"/>
      <c r="Q52" s="154"/>
      <c r="R52" s="154"/>
      <c r="S52" s="121"/>
      <c r="T52" s="150" t="s">
        <v>82</v>
      </c>
      <c r="U52" s="150" t="s">
        <v>78</v>
      </c>
      <c r="V52" s="237" t="s">
        <v>410</v>
      </c>
      <c r="W52" s="237" t="s">
        <v>411</v>
      </c>
      <c r="X52" s="237" t="s">
        <v>412</v>
      </c>
      <c r="Y52" s="237" t="s">
        <v>413</v>
      </c>
      <c r="Z52" s="27"/>
    </row>
    <row r="53" spans="1:26" x14ac:dyDescent="0.3">
      <c r="A53" s="709"/>
      <c r="C53" s="183"/>
      <c r="D53" s="183"/>
      <c r="E53" s="183"/>
      <c r="F53" s="183"/>
      <c r="G53" s="183"/>
      <c r="H53" s="183"/>
      <c r="I53" s="183"/>
      <c r="J53" s="183"/>
      <c r="K53" s="193"/>
      <c r="L53" s="183"/>
      <c r="M53" s="184"/>
      <c r="P53" s="27"/>
      <c r="Q53" s="240"/>
      <c r="R53" s="27"/>
      <c r="S53" s="121"/>
      <c r="T53" s="27"/>
      <c r="U53" s="241" t="s">
        <v>382</v>
      </c>
      <c r="V53" s="195" t="s">
        <v>416</v>
      </c>
      <c r="W53" s="195" t="s">
        <v>417</v>
      </c>
      <c r="X53" s="195" t="s">
        <v>418</v>
      </c>
      <c r="Y53" s="195" t="s">
        <v>418</v>
      </c>
      <c r="Z53" s="121"/>
    </row>
    <row r="54" spans="1:26" x14ac:dyDescent="0.3">
      <c r="A54" s="709"/>
      <c r="C54" s="194"/>
      <c r="D54" s="194"/>
      <c r="E54" s="194"/>
      <c r="F54" s="194"/>
      <c r="G54" s="194"/>
      <c r="H54" s="194"/>
      <c r="I54" s="183"/>
      <c r="J54" s="183"/>
      <c r="K54" s="183"/>
      <c r="L54" s="183"/>
      <c r="M54" s="185"/>
      <c r="P54" s="27"/>
      <c r="Q54" s="27"/>
      <c r="R54" s="27"/>
      <c r="S54" s="121"/>
      <c r="T54" s="66">
        <v>1</v>
      </c>
      <c r="U54" s="49">
        <f>MROUND(GEOMETRY!E25,5)</f>
        <v>0</v>
      </c>
      <c r="V54" s="191">
        <f>IF(AND(U54&lt;&gt;0,R61&gt;U54),R61-U54,0)</f>
        <v>0</v>
      </c>
      <c r="W54" s="191">
        <f t="shared" ref="W54:W73" si="3">IF(V54&lt;=0,1,X54)</f>
        <v>1</v>
      </c>
      <c r="X54" s="191" t="str">
        <f t="shared" ref="X54:X73" si="4">IF(AND(V54&lt;=15,V54&gt;0),1,Y54)</f>
        <v/>
      </c>
      <c r="Y54" s="191" t="str">
        <f t="shared" ref="Y54:Y73" si="5">IF(AND(V54&lt;&gt;"",V54&gt;15),1,"")</f>
        <v/>
      </c>
      <c r="Z54" s="66"/>
    </row>
    <row r="55" spans="1:26" x14ac:dyDescent="0.3">
      <c r="A55" s="709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5"/>
      <c r="P55" s="27" t="s">
        <v>124</v>
      </c>
      <c r="Q55" s="27"/>
      <c r="R55" s="27"/>
      <c r="S55" s="121"/>
      <c r="T55" s="66">
        <v>2</v>
      </c>
      <c r="U55" s="49">
        <f>MROUND(GEOMETRY!E26,5)</f>
        <v>0</v>
      </c>
      <c r="V55" s="191">
        <f>IF(AND(U55&lt;&gt;0,R61&gt;U55),R61-U55,0)</f>
        <v>0</v>
      </c>
      <c r="W55" s="191">
        <f t="shared" si="3"/>
        <v>1</v>
      </c>
      <c r="X55" s="191" t="str">
        <f t="shared" si="4"/>
        <v/>
      </c>
      <c r="Y55" s="191" t="str">
        <f t="shared" si="5"/>
        <v/>
      </c>
      <c r="Z55" s="176"/>
    </row>
    <row r="56" spans="1:26" x14ac:dyDescent="0.3">
      <c r="A56" s="709"/>
      <c r="C56" s="232" t="s">
        <v>480</v>
      </c>
      <c r="D56" s="183"/>
      <c r="E56" s="183"/>
      <c r="F56" s="183"/>
      <c r="G56" s="183"/>
      <c r="H56" s="183"/>
      <c r="I56" s="183"/>
      <c r="J56" s="183"/>
      <c r="K56" s="183"/>
      <c r="L56" s="185"/>
      <c r="M56" s="184"/>
      <c r="P56" s="49">
        <f>GEOMETRY!E6</f>
        <v>0</v>
      </c>
      <c r="Q56" s="27" t="s">
        <v>74</v>
      </c>
      <c r="R56" s="27"/>
      <c r="S56" s="279"/>
      <c r="T56" s="66">
        <v>3</v>
      </c>
      <c r="U56" s="49">
        <f>MROUND(GEOMETRY!E27,5)</f>
        <v>0</v>
      </c>
      <c r="V56" s="191">
        <f>IF(AND(U56&lt;&gt;0,R61&gt;U56),R61-U56,0)</f>
        <v>0</v>
      </c>
      <c r="W56" s="191">
        <f t="shared" si="3"/>
        <v>1</v>
      </c>
      <c r="X56" s="191" t="str">
        <f t="shared" si="4"/>
        <v/>
      </c>
      <c r="Y56" s="191" t="str">
        <f t="shared" si="5"/>
        <v/>
      </c>
      <c r="Z56" s="176"/>
    </row>
    <row r="57" spans="1:26" x14ac:dyDescent="0.3">
      <c r="A57" s="709"/>
      <c r="C57" s="183"/>
      <c r="D57" s="183"/>
      <c r="E57" s="183"/>
      <c r="F57" s="235"/>
      <c r="G57" s="183"/>
      <c r="H57" s="183"/>
      <c r="I57" s="183"/>
      <c r="J57" s="183"/>
      <c r="K57" s="183"/>
      <c r="L57" s="185"/>
      <c r="M57" s="184"/>
      <c r="P57" s="49">
        <f>GEOMETRY!E7</f>
        <v>0</v>
      </c>
      <c r="Q57" s="27" t="s">
        <v>75</v>
      </c>
      <c r="R57" s="27"/>
      <c r="S57" s="121"/>
      <c r="T57" s="66">
        <v>4</v>
      </c>
      <c r="U57" s="49">
        <f>MROUND(GEOMETRY!E28,5)</f>
        <v>0</v>
      </c>
      <c r="V57" s="191">
        <f>IF(AND(U57&lt;&gt;0,R61&gt;U57),R61-U57,0)</f>
        <v>0</v>
      </c>
      <c r="W57" s="191">
        <f t="shared" si="3"/>
        <v>1</v>
      </c>
      <c r="X57" s="191" t="str">
        <f t="shared" si="4"/>
        <v/>
      </c>
      <c r="Y57" s="191" t="str">
        <f t="shared" si="5"/>
        <v/>
      </c>
      <c r="Z57" s="176"/>
    </row>
    <row r="58" spans="1:26" x14ac:dyDescent="0.3">
      <c r="A58" s="709"/>
      <c r="C58" s="183"/>
      <c r="D58" s="183" t="s">
        <v>401</v>
      </c>
      <c r="E58" s="183"/>
      <c r="F58" s="183"/>
      <c r="G58" s="183"/>
      <c r="H58" s="183"/>
      <c r="I58" s="183"/>
      <c r="J58" s="183"/>
      <c r="K58" s="183"/>
      <c r="L58" s="185"/>
      <c r="M58" s="184"/>
      <c r="P58" s="49">
        <f>GEOMETRY!E8</f>
        <v>0</v>
      </c>
      <c r="Q58" s="27" t="s">
        <v>76</v>
      </c>
      <c r="R58" s="27"/>
      <c r="S58" s="121"/>
      <c r="T58" s="66">
        <v>5</v>
      </c>
      <c r="U58" s="49">
        <f>MROUND(GEOMETRY!E29,5)</f>
        <v>0</v>
      </c>
      <c r="V58" s="191">
        <f>IF(AND(U58&lt;&gt;0,R61&gt;U58),R61-U58,0)</f>
        <v>0</v>
      </c>
      <c r="W58" s="191">
        <f t="shared" si="3"/>
        <v>1</v>
      </c>
      <c r="X58" s="191" t="str">
        <f t="shared" si="4"/>
        <v/>
      </c>
      <c r="Y58" s="191" t="str">
        <f t="shared" si="5"/>
        <v/>
      </c>
      <c r="Z58" s="176"/>
    </row>
    <row r="59" spans="1:26" x14ac:dyDescent="0.3">
      <c r="A59" s="709"/>
      <c r="C59" s="183"/>
      <c r="D59" s="236" t="s">
        <v>403</v>
      </c>
      <c r="E59" s="235" t="s">
        <v>404</v>
      </c>
      <c r="F59" s="235"/>
      <c r="G59" s="183"/>
      <c r="H59" s="183"/>
      <c r="I59" s="183"/>
      <c r="J59" s="183"/>
      <c r="K59" s="183"/>
      <c r="L59" s="185"/>
      <c r="M59" s="184"/>
      <c r="P59" s="27"/>
      <c r="Q59" s="27"/>
      <c r="R59" s="27"/>
      <c r="S59" s="121"/>
      <c r="T59" s="66">
        <v>6</v>
      </c>
      <c r="U59" s="49">
        <f>MROUND(GEOMETRY!E30,5)</f>
        <v>0</v>
      </c>
      <c r="V59" s="191">
        <f>IF(AND(U59&lt;&gt;0,R61&gt;U59),R61-U59,0)</f>
        <v>0</v>
      </c>
      <c r="W59" s="191">
        <f t="shared" si="3"/>
        <v>1</v>
      </c>
      <c r="X59" s="191" t="str">
        <f t="shared" si="4"/>
        <v/>
      </c>
      <c r="Y59" s="191" t="str">
        <f t="shared" si="5"/>
        <v/>
      </c>
      <c r="Z59" s="176"/>
    </row>
    <row r="60" spans="1:26" x14ac:dyDescent="0.3">
      <c r="A60" s="709"/>
      <c r="C60" s="238"/>
      <c r="D60" s="236" t="s">
        <v>408</v>
      </c>
      <c r="E60" s="183" t="s">
        <v>409</v>
      </c>
      <c r="F60" s="183"/>
      <c r="G60" s="238"/>
      <c r="H60" s="239"/>
      <c r="I60" s="239"/>
      <c r="J60" s="239"/>
      <c r="K60" s="239"/>
      <c r="L60" s="239"/>
      <c r="M60" s="239"/>
      <c r="P60" s="27"/>
      <c r="Q60" s="27"/>
      <c r="R60" s="27"/>
      <c r="S60" s="121"/>
      <c r="T60" s="66">
        <v>7</v>
      </c>
      <c r="U60" s="49">
        <f>MROUND(GEOMETRY!E31,5)</f>
        <v>0</v>
      </c>
      <c r="V60" s="191">
        <f>IF(AND(U60&lt;&gt;0,R61&gt;U60),R61-U60,0)</f>
        <v>0</v>
      </c>
      <c r="W60" s="191">
        <f t="shared" si="3"/>
        <v>1</v>
      </c>
      <c r="X60" s="191" t="str">
        <f t="shared" si="4"/>
        <v/>
      </c>
      <c r="Y60" s="191" t="str">
        <f t="shared" si="5"/>
        <v/>
      </c>
      <c r="Z60" s="176"/>
    </row>
    <row r="61" spans="1:26" x14ac:dyDescent="0.3">
      <c r="A61" s="709"/>
      <c r="C61" s="239"/>
      <c r="D61" s="236" t="s">
        <v>414</v>
      </c>
      <c r="E61" s="239" t="s">
        <v>415</v>
      </c>
      <c r="F61" s="239"/>
      <c r="G61" s="239"/>
      <c r="H61" s="239"/>
      <c r="I61" s="239"/>
      <c r="J61" s="239"/>
      <c r="K61" s="239"/>
      <c r="L61" s="239"/>
      <c r="M61" s="239"/>
      <c r="P61" s="27"/>
      <c r="Q61" s="68" t="s">
        <v>77</v>
      </c>
      <c r="R61" s="59">
        <f>P64</f>
        <v>20</v>
      </c>
      <c r="S61" s="121"/>
      <c r="T61" s="66">
        <v>8</v>
      </c>
      <c r="U61" s="49">
        <f>MROUND(GEOMETRY!E32,5)</f>
        <v>0</v>
      </c>
      <c r="V61" s="191">
        <f>IF(AND(U61&lt;&gt;0,R61&gt;U61),R61-U61,0)</f>
        <v>0</v>
      </c>
      <c r="W61" s="191">
        <f t="shared" si="3"/>
        <v>1</v>
      </c>
      <c r="X61" s="191" t="str">
        <f t="shared" si="4"/>
        <v/>
      </c>
      <c r="Y61" s="191" t="str">
        <f t="shared" si="5"/>
        <v/>
      </c>
      <c r="Z61" s="176"/>
    </row>
    <row r="62" spans="1:26" x14ac:dyDescent="0.3">
      <c r="A62" s="709"/>
      <c r="C62" s="242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P62" s="27"/>
      <c r="Q62" s="27"/>
      <c r="R62" s="27"/>
      <c r="S62" s="121"/>
      <c r="T62" s="66">
        <v>9</v>
      </c>
      <c r="U62" s="49">
        <f>MROUND(GEOMETRY!E33,5)</f>
        <v>0</v>
      </c>
      <c r="V62" s="191">
        <f>IF(AND(U62&lt;&gt;0,R61&gt;U62),R61-U62,0)</f>
        <v>0</v>
      </c>
      <c r="W62" s="191">
        <f t="shared" si="3"/>
        <v>1</v>
      </c>
      <c r="X62" s="191" t="str">
        <f t="shared" si="4"/>
        <v/>
      </c>
      <c r="Y62" s="191" t="str">
        <f t="shared" si="5"/>
        <v/>
      </c>
      <c r="Z62" s="176"/>
    </row>
    <row r="63" spans="1:26" x14ac:dyDescent="0.3">
      <c r="A63" s="709"/>
      <c r="C63" s="242"/>
      <c r="D63" s="239"/>
      <c r="E63" s="239"/>
      <c r="F63" s="239"/>
      <c r="G63" s="239"/>
      <c r="H63" s="239"/>
      <c r="I63" s="239"/>
      <c r="J63" s="239"/>
      <c r="K63" s="239"/>
      <c r="L63" s="239"/>
      <c r="M63" s="239"/>
      <c r="P63" s="244" t="s">
        <v>383</v>
      </c>
      <c r="Q63" s="244"/>
      <c r="R63" s="244"/>
      <c r="S63" s="121"/>
      <c r="T63" s="66">
        <v>10</v>
      </c>
      <c r="U63" s="49">
        <f>MROUND(GEOMETRY!E34,5)</f>
        <v>0</v>
      </c>
      <c r="V63" s="191">
        <f>IF(AND(U63&lt;&gt;0,R61&gt;U63),R61-U63,0)</f>
        <v>0</v>
      </c>
      <c r="W63" s="191">
        <f t="shared" si="3"/>
        <v>1</v>
      </c>
      <c r="X63" s="191" t="str">
        <f t="shared" si="4"/>
        <v/>
      </c>
      <c r="Y63" s="191" t="str">
        <f t="shared" si="5"/>
        <v/>
      </c>
      <c r="Z63" s="176"/>
    </row>
    <row r="64" spans="1:26" x14ac:dyDescent="0.3">
      <c r="A64" s="709"/>
      <c r="C64" s="197" t="s">
        <v>67</v>
      </c>
      <c r="D64" s="197"/>
      <c r="E64" s="197" t="s">
        <v>419</v>
      </c>
      <c r="F64" s="197"/>
      <c r="G64" s="239"/>
      <c r="H64" s="239"/>
      <c r="I64" s="239"/>
      <c r="J64" s="239"/>
      <c r="K64" s="184"/>
      <c r="L64" s="185"/>
      <c r="M64" s="239"/>
      <c r="P64" s="245">
        <f>IF(P56&lt;&gt;0,Q64,P65)</f>
        <v>20</v>
      </c>
      <c r="Q64" s="245">
        <f>IF(P48&lt;400,40,R64)</f>
        <v>40</v>
      </c>
      <c r="R64" s="245">
        <f>IF(P48&lt;2001,40,50)</f>
        <v>40</v>
      </c>
      <c r="S64" s="121"/>
      <c r="T64" s="66">
        <v>11</v>
      </c>
      <c r="U64" s="49">
        <f>MROUND(GEOMETRY!E35,5)</f>
        <v>0</v>
      </c>
      <c r="V64" s="191">
        <f>IF(AND(U64&lt;&gt;0,R61&gt;U64),R61-U64,0)</f>
        <v>0</v>
      </c>
      <c r="W64" s="191">
        <f t="shared" si="3"/>
        <v>1</v>
      </c>
      <c r="X64" s="191" t="str">
        <f t="shared" si="4"/>
        <v/>
      </c>
      <c r="Y64" s="191" t="str">
        <f t="shared" si="5"/>
        <v/>
      </c>
      <c r="Z64" s="176"/>
    </row>
    <row r="65" spans="1:26" x14ac:dyDescent="0.3">
      <c r="A65" s="709"/>
      <c r="C65" s="183"/>
      <c r="D65" s="183"/>
      <c r="E65" s="183"/>
      <c r="F65" s="183"/>
      <c r="G65" s="239"/>
      <c r="H65" s="239"/>
      <c r="I65" s="239"/>
      <c r="J65" s="239"/>
      <c r="K65" s="184"/>
      <c r="L65" s="185"/>
      <c r="M65" s="239"/>
      <c r="P65" s="245">
        <f>IF(P57&lt;&gt;0,Q65,P66)</f>
        <v>20</v>
      </c>
      <c r="Q65" s="245">
        <f>IF(P48&lt;400,30,R65)</f>
        <v>30</v>
      </c>
      <c r="R65" s="245">
        <f>IF(P48&lt;2001,40,50)</f>
        <v>40</v>
      </c>
      <c r="S65" s="121"/>
      <c r="T65" s="66">
        <v>12</v>
      </c>
      <c r="U65" s="49">
        <f>MROUND(GEOMETRY!E36,5)</f>
        <v>0</v>
      </c>
      <c r="V65" s="191">
        <f>IF(AND(U65&lt;&gt;0,R61&gt;U65),R61-U65,0)</f>
        <v>0</v>
      </c>
      <c r="W65" s="191">
        <f t="shared" si="3"/>
        <v>1</v>
      </c>
      <c r="X65" s="191" t="str">
        <f t="shared" si="4"/>
        <v/>
      </c>
      <c r="Y65" s="191" t="str">
        <f t="shared" si="5"/>
        <v/>
      </c>
      <c r="Z65" s="176"/>
    </row>
    <row r="66" spans="1:26" x14ac:dyDescent="0.3">
      <c r="A66" s="709"/>
      <c r="C66" s="243">
        <v>0</v>
      </c>
      <c r="D66" s="183"/>
      <c r="E66" s="183" t="s">
        <v>28</v>
      </c>
      <c r="F66" s="183" t="s">
        <v>420</v>
      </c>
      <c r="G66" s="239"/>
      <c r="H66" s="239"/>
      <c r="I66" s="239"/>
      <c r="J66" s="239"/>
      <c r="K66" s="184"/>
      <c r="L66" s="185"/>
      <c r="M66" s="239"/>
      <c r="P66" s="245">
        <f>Q66</f>
        <v>20</v>
      </c>
      <c r="Q66" s="245">
        <f>IF(P48&lt;400,20,R66)</f>
        <v>20</v>
      </c>
      <c r="R66" s="245">
        <f>IF(P48&lt;2001,30,40)</f>
        <v>30</v>
      </c>
      <c r="S66" s="121"/>
      <c r="T66" s="66">
        <v>13</v>
      </c>
      <c r="U66" s="49">
        <f>MROUND(GEOMETRY!E37,5)</f>
        <v>0</v>
      </c>
      <c r="V66" s="191">
        <f>IF(AND(U66&lt;&gt;0,R61&gt;U66),R61-U66,0)</f>
        <v>0</v>
      </c>
      <c r="W66" s="191">
        <f t="shared" si="3"/>
        <v>1</v>
      </c>
      <c r="X66" s="191" t="str">
        <f t="shared" si="4"/>
        <v/>
      </c>
      <c r="Y66" s="191" t="str">
        <f t="shared" si="5"/>
        <v/>
      </c>
      <c r="Z66" s="176"/>
    </row>
    <row r="67" spans="1:26" x14ac:dyDescent="0.3">
      <c r="A67" s="709"/>
      <c r="C67" s="243"/>
      <c r="D67" s="183"/>
      <c r="E67" s="183"/>
      <c r="F67" s="183"/>
      <c r="G67" s="239"/>
      <c r="H67" s="239"/>
      <c r="I67" s="239"/>
      <c r="J67" s="239"/>
      <c r="K67" s="184"/>
      <c r="L67" s="185"/>
      <c r="M67" s="239"/>
      <c r="P67" s="121"/>
      <c r="Q67" s="121"/>
      <c r="R67" s="121"/>
      <c r="S67" s="121"/>
      <c r="T67" s="66">
        <v>14</v>
      </c>
      <c r="U67" s="49">
        <f>MROUND(GEOMETRY!E38,5)</f>
        <v>0</v>
      </c>
      <c r="V67" s="191">
        <f>IF(AND(U67&lt;&gt;0,R61&gt;U67),R61-U67,0)</f>
        <v>0</v>
      </c>
      <c r="W67" s="191">
        <f t="shared" si="3"/>
        <v>1</v>
      </c>
      <c r="X67" s="191" t="str">
        <f t="shared" si="4"/>
        <v/>
      </c>
      <c r="Y67" s="191" t="str">
        <f t="shared" si="5"/>
        <v/>
      </c>
      <c r="Z67" s="176"/>
    </row>
    <row r="68" spans="1:26" x14ac:dyDescent="0.3">
      <c r="A68" s="709"/>
      <c r="C68" s="277"/>
      <c r="D68" s="277"/>
      <c r="E68" s="277"/>
      <c r="F68" s="277"/>
      <c r="G68" s="277"/>
      <c r="H68" s="277"/>
      <c r="I68" s="277"/>
      <c r="J68" s="277"/>
      <c r="K68" s="277"/>
      <c r="L68" s="277"/>
      <c r="M68" s="239"/>
      <c r="P68" s="20"/>
      <c r="Q68" s="20"/>
      <c r="R68" s="20"/>
      <c r="S68" s="121"/>
      <c r="T68" s="66">
        <v>15</v>
      </c>
      <c r="U68" s="49">
        <f>MROUND(GEOMETRY!E39,5)</f>
        <v>0</v>
      </c>
      <c r="V68" s="191">
        <f>IF(AND(U68&lt;&gt;0,R61&gt;U68),R61-U68,0)</f>
        <v>0</v>
      </c>
      <c r="W68" s="191">
        <f t="shared" si="3"/>
        <v>1</v>
      </c>
      <c r="X68" s="191" t="str">
        <f t="shared" si="4"/>
        <v/>
      </c>
      <c r="Y68" s="191" t="str">
        <f t="shared" si="5"/>
        <v/>
      </c>
      <c r="Z68" s="176"/>
    </row>
    <row r="69" spans="1:26" x14ac:dyDescent="0.3">
      <c r="A69" s="709"/>
      <c r="C69" s="280">
        <v>3</v>
      </c>
      <c r="D69" s="278"/>
      <c r="E69" s="278" t="s">
        <v>46</v>
      </c>
      <c r="F69" s="278" t="s">
        <v>447</v>
      </c>
      <c r="G69" s="281"/>
      <c r="H69" s="281"/>
      <c r="I69" s="282"/>
      <c r="J69" s="282"/>
      <c r="K69" s="277"/>
      <c r="L69" s="283"/>
      <c r="M69" s="239"/>
      <c r="P69" s="20"/>
      <c r="Q69" s="20"/>
      <c r="R69" s="20"/>
      <c r="S69" s="121"/>
      <c r="T69" s="66">
        <v>16</v>
      </c>
      <c r="U69" s="49">
        <f>MROUND(GEOMETRY!E40,5)</f>
        <v>0</v>
      </c>
      <c r="V69" s="191">
        <f>IF(AND(U69&lt;&gt;0,R61&gt;U69),R61-U69,0)</f>
        <v>0</v>
      </c>
      <c r="W69" s="191">
        <f t="shared" si="3"/>
        <v>1</v>
      </c>
      <c r="X69" s="191" t="str">
        <f t="shared" si="4"/>
        <v/>
      </c>
      <c r="Y69" s="191" t="str">
        <f t="shared" si="5"/>
        <v/>
      </c>
      <c r="Z69" s="176"/>
    </row>
    <row r="70" spans="1:26" x14ac:dyDescent="0.3">
      <c r="A70" s="709"/>
      <c r="C70" s="280"/>
      <c r="D70" s="278"/>
      <c r="E70" s="278"/>
      <c r="F70" s="278"/>
      <c r="G70" s="277"/>
      <c r="H70" s="277"/>
      <c r="I70" s="277"/>
      <c r="J70" s="277"/>
      <c r="K70" s="277"/>
      <c r="L70" s="281"/>
      <c r="M70" s="239"/>
      <c r="P70" s="57"/>
      <c r="Q70" s="57"/>
      <c r="R70" s="57"/>
      <c r="S70" s="121"/>
      <c r="T70" s="66">
        <v>17</v>
      </c>
      <c r="U70" s="49">
        <f>MROUND(GEOMETRY!E41,5)</f>
        <v>0</v>
      </c>
      <c r="V70" s="191">
        <f>IF(AND(U70&lt;&gt;0,R61&gt;U70),R61-U70,0)</f>
        <v>0</v>
      </c>
      <c r="W70" s="191">
        <f t="shared" si="3"/>
        <v>1</v>
      </c>
      <c r="X70" s="191" t="str">
        <f t="shared" si="4"/>
        <v/>
      </c>
      <c r="Y70" s="191" t="str">
        <f t="shared" si="5"/>
        <v/>
      </c>
      <c r="Z70" s="176"/>
    </row>
    <row r="71" spans="1:26" x14ac:dyDescent="0.3">
      <c r="A71" s="709"/>
      <c r="C71" s="277"/>
      <c r="D71" s="277"/>
      <c r="E71" s="277"/>
      <c r="F71" s="277"/>
      <c r="G71" s="277"/>
      <c r="H71" s="277"/>
      <c r="I71" s="277"/>
      <c r="J71" s="277"/>
      <c r="K71" s="277"/>
      <c r="L71" s="277"/>
      <c r="M71" s="239"/>
      <c r="P71" s="57"/>
      <c r="Q71" s="57"/>
      <c r="R71" s="57"/>
      <c r="S71" s="121"/>
      <c r="T71" s="66">
        <v>18</v>
      </c>
      <c r="U71" s="49">
        <f>MROUND(GEOMETRY!E42,5)</f>
        <v>0</v>
      </c>
      <c r="V71" s="191">
        <f>IF(AND(U71&lt;&gt;0,R61&gt;U71),R61-U71,0)</f>
        <v>0</v>
      </c>
      <c r="W71" s="191">
        <f t="shared" si="3"/>
        <v>1</v>
      </c>
      <c r="X71" s="191" t="str">
        <f t="shared" si="4"/>
        <v/>
      </c>
      <c r="Y71" s="191" t="str">
        <f t="shared" si="5"/>
        <v/>
      </c>
      <c r="Z71" s="176"/>
    </row>
    <row r="72" spans="1:26" x14ac:dyDescent="0.3">
      <c r="A72" s="709"/>
      <c r="C72" s="243">
        <v>5</v>
      </c>
      <c r="D72" s="183"/>
      <c r="E72" s="183" t="s">
        <v>57</v>
      </c>
      <c r="F72" s="183" t="s">
        <v>446</v>
      </c>
      <c r="G72" s="184"/>
      <c r="H72" s="184"/>
      <c r="I72" s="184"/>
      <c r="J72" s="184"/>
      <c r="K72" s="184"/>
      <c r="L72" s="239"/>
      <c r="M72" s="239"/>
      <c r="P72" s="57"/>
      <c r="Q72" s="57"/>
      <c r="R72" s="57"/>
      <c r="S72" s="121"/>
      <c r="T72" s="66">
        <v>19</v>
      </c>
      <c r="U72" s="49">
        <f>MROUND(GEOMETRY!E43,5)</f>
        <v>0</v>
      </c>
      <c r="V72" s="191">
        <f>IF(AND(U72&lt;&gt;0,R61&gt;U72),R61-U72,0)</f>
        <v>0</v>
      </c>
      <c r="W72" s="191">
        <f t="shared" si="3"/>
        <v>1</v>
      </c>
      <c r="X72" s="191" t="str">
        <f t="shared" si="4"/>
        <v/>
      </c>
      <c r="Y72" s="191" t="str">
        <f t="shared" si="5"/>
        <v/>
      </c>
      <c r="Z72" s="176"/>
    </row>
    <row r="73" spans="1:26" ht="13.5" thickBot="1" x14ac:dyDescent="0.35">
      <c r="A73" s="709"/>
      <c r="C73" s="277"/>
      <c r="D73" s="277"/>
      <c r="E73" s="277"/>
      <c r="F73" s="277"/>
      <c r="G73" s="277"/>
      <c r="H73" s="277"/>
      <c r="I73" s="277"/>
      <c r="J73" s="277"/>
      <c r="K73" s="277"/>
      <c r="L73" s="277"/>
      <c r="M73" s="239"/>
      <c r="P73" s="57"/>
      <c r="Q73" s="57"/>
      <c r="R73" s="57"/>
      <c r="S73" s="121"/>
      <c r="T73" s="66">
        <v>20</v>
      </c>
      <c r="U73" s="49">
        <f>MROUND(GEOMETRY!E44,5)</f>
        <v>0</v>
      </c>
      <c r="V73" s="191">
        <f>IF(AND(U73&lt;&gt;0,R61&gt;U73),R61-U73,0)</f>
        <v>0</v>
      </c>
      <c r="W73" s="191">
        <f t="shared" si="3"/>
        <v>1</v>
      </c>
      <c r="X73" s="191" t="str">
        <f t="shared" si="4"/>
        <v/>
      </c>
      <c r="Y73" s="191" t="str">
        <f t="shared" si="5"/>
        <v/>
      </c>
      <c r="Z73" s="176"/>
    </row>
    <row r="74" spans="1:26" ht="13.5" thickBot="1" x14ac:dyDescent="0.35">
      <c r="A74" s="709"/>
      <c r="C74" s="277"/>
      <c r="D74" s="277"/>
      <c r="E74" s="277"/>
      <c r="F74" s="277"/>
      <c r="G74" s="277"/>
      <c r="H74" s="277"/>
      <c r="I74" s="277"/>
      <c r="J74" s="277"/>
      <c r="K74" s="277"/>
      <c r="L74" s="277"/>
      <c r="M74" s="239"/>
      <c r="P74" s="57"/>
      <c r="Q74" s="57"/>
      <c r="R74" s="57"/>
      <c r="S74" s="121"/>
      <c r="T74" s="121"/>
      <c r="U74" s="27"/>
      <c r="V74" s="231"/>
      <c r="W74" s="250">
        <f>IF(SUM(W54:W73)&gt;0,0,V74)</f>
        <v>0</v>
      </c>
      <c r="X74" s="231">
        <f>IF(SUM(X54:X73)&gt;0,3,W74)</f>
        <v>0</v>
      </c>
      <c r="Y74" s="251">
        <f>IF(SUM(Y54:Y73)&gt;0,5,X74)</f>
        <v>0</v>
      </c>
      <c r="Z74" s="176"/>
    </row>
    <row r="75" spans="1:26" x14ac:dyDescent="0.3">
      <c r="A75" s="709"/>
      <c r="C75" s="242"/>
      <c r="D75" s="184"/>
      <c r="E75" s="184"/>
      <c r="F75" s="184"/>
      <c r="G75" s="184"/>
      <c r="H75" s="184"/>
      <c r="I75" s="184"/>
      <c r="J75" s="184"/>
      <c r="K75" s="184"/>
      <c r="L75" s="239"/>
      <c r="M75" s="239"/>
      <c r="P75" s="57"/>
      <c r="Q75" s="57"/>
      <c r="R75" s="57"/>
      <c r="S75" s="121"/>
      <c r="T75" s="20"/>
      <c r="U75" s="20"/>
      <c r="V75" s="231"/>
      <c r="W75" s="231"/>
      <c r="X75" s="231"/>
      <c r="Y75" s="191" t="s">
        <v>423</v>
      </c>
      <c r="Z75" s="176"/>
    </row>
    <row r="76" spans="1:26" x14ac:dyDescent="0.3">
      <c r="A76" s="709"/>
      <c r="C76" s="242"/>
      <c r="D76" s="184"/>
      <c r="E76" s="184"/>
      <c r="F76" s="184"/>
      <c r="G76" s="184"/>
      <c r="H76" s="184"/>
      <c r="I76" s="184"/>
      <c r="J76" s="184"/>
      <c r="K76" s="184"/>
      <c r="L76" s="239"/>
      <c r="M76" s="239"/>
      <c r="P76" s="57"/>
      <c r="Q76" s="57"/>
      <c r="R76" s="57"/>
      <c r="S76" s="121"/>
      <c r="T76" s="20"/>
      <c r="U76" s="20"/>
      <c r="V76" s="231"/>
      <c r="W76" s="231"/>
      <c r="X76" s="231"/>
      <c r="Y76" s="191" t="s">
        <v>2</v>
      </c>
      <c r="Z76" s="176"/>
    </row>
    <row r="77" spans="1:26" x14ac:dyDescent="0.3">
      <c r="A77" s="709"/>
      <c r="C77" s="242"/>
      <c r="D77" s="184"/>
      <c r="E77" s="184"/>
      <c r="F77" s="184"/>
      <c r="G77" s="184"/>
      <c r="H77" s="184"/>
      <c r="I77" s="184"/>
      <c r="J77" s="184"/>
      <c r="K77" s="184"/>
      <c r="L77" s="246"/>
      <c r="M77" s="239"/>
    </row>
    <row r="78" spans="1:26" x14ac:dyDescent="0.3">
      <c r="A78" s="709"/>
      <c r="C78" s="242"/>
      <c r="D78" s="184"/>
      <c r="E78" s="184"/>
      <c r="F78" s="184"/>
      <c r="G78" s="184"/>
      <c r="H78" s="184"/>
      <c r="I78" s="184"/>
      <c r="J78" s="184"/>
      <c r="K78" s="184"/>
      <c r="L78" s="247"/>
      <c r="M78" s="239"/>
    </row>
    <row r="79" spans="1:26" x14ac:dyDescent="0.3">
      <c r="A79" s="709"/>
      <c r="C79" s="243"/>
      <c r="D79" s="183"/>
      <c r="E79" s="183"/>
      <c r="F79" s="183"/>
      <c r="G79" s="184"/>
      <c r="H79" s="183"/>
      <c r="I79" s="183"/>
      <c r="J79" s="196" t="s">
        <v>421</v>
      </c>
      <c r="K79" s="248">
        <f>GEOMETRY!Y74</f>
        <v>0</v>
      </c>
      <c r="L79" s="183" t="s">
        <v>422</v>
      </c>
      <c r="M79" s="184"/>
    </row>
    <row r="80" spans="1:26" x14ac:dyDescent="0.3">
      <c r="A80" s="709"/>
      <c r="C80" s="243"/>
      <c r="D80" s="183"/>
      <c r="E80" s="183"/>
      <c r="F80" s="183"/>
      <c r="G80" s="184"/>
      <c r="H80" s="184"/>
      <c r="I80" s="183"/>
      <c r="J80" s="184"/>
      <c r="K80" s="249"/>
      <c r="L80" s="185"/>
      <c r="M80" s="184"/>
    </row>
    <row r="81" spans="1:26" x14ac:dyDescent="0.3">
      <c r="A81" s="709"/>
      <c r="C81" s="184"/>
      <c r="D81" s="184"/>
      <c r="E81" s="186"/>
      <c r="F81" s="186"/>
      <c r="G81" s="186"/>
      <c r="H81" s="186"/>
      <c r="I81" s="186"/>
      <c r="J81" s="186"/>
      <c r="K81" s="186"/>
      <c r="L81" s="185"/>
      <c r="M81" s="184"/>
    </row>
    <row r="83" spans="1:26" x14ac:dyDescent="0.3">
      <c r="P83" s="721" t="s">
        <v>425</v>
      </c>
      <c r="Q83" s="722"/>
      <c r="R83" s="722"/>
      <c r="S83" s="722"/>
      <c r="T83" s="722"/>
      <c r="U83" s="722"/>
      <c r="V83" s="722"/>
      <c r="W83" s="722"/>
      <c r="X83" s="722"/>
      <c r="Y83" s="722"/>
      <c r="Z83" s="723"/>
    </row>
    <row r="84" spans="1:26" x14ac:dyDescent="0.3">
      <c r="P84" s="724"/>
      <c r="Q84" s="725"/>
      <c r="R84" s="725"/>
      <c r="S84" s="725"/>
      <c r="T84" s="725"/>
      <c r="U84" s="725"/>
      <c r="V84" s="725"/>
      <c r="W84" s="725"/>
      <c r="X84" s="725"/>
      <c r="Y84" s="725"/>
      <c r="Z84" s="726"/>
    </row>
    <row r="85" spans="1:26" x14ac:dyDescent="0.3">
      <c r="P85" s="255" t="s">
        <v>124</v>
      </c>
      <c r="Q85" s="108"/>
      <c r="R85" s="191"/>
      <c r="S85" s="191"/>
      <c r="T85" s="191"/>
      <c r="U85" s="191"/>
      <c r="V85" s="191"/>
      <c r="W85" s="191"/>
      <c r="X85" s="191"/>
      <c r="Y85" s="101"/>
      <c r="Z85" s="256"/>
    </row>
    <row r="86" spans="1:26" x14ac:dyDescent="0.3">
      <c r="P86" s="257">
        <f>GEOMETRY!E6</f>
        <v>0</v>
      </c>
      <c r="Q86" s="108" t="s">
        <v>74</v>
      </c>
      <c r="R86" s="191"/>
      <c r="S86" s="191"/>
      <c r="T86" s="237"/>
      <c r="U86" s="237" t="s">
        <v>390</v>
      </c>
      <c r="V86" s="191" t="s">
        <v>86</v>
      </c>
      <c r="W86" s="101" t="s">
        <v>380</v>
      </c>
      <c r="X86" s="101"/>
      <c r="Y86" s="191"/>
      <c r="Z86" s="192"/>
    </row>
    <row r="87" spans="1:26" x14ac:dyDescent="0.3">
      <c r="A87" s="709"/>
      <c r="C87" s="183"/>
      <c r="D87" s="183"/>
      <c r="E87" s="252"/>
      <c r="F87" s="252"/>
      <c r="G87" s="252"/>
      <c r="H87" s="252"/>
      <c r="I87" s="252"/>
      <c r="J87" s="252"/>
      <c r="K87" s="252"/>
      <c r="L87" s="185"/>
      <c r="M87" s="184"/>
      <c r="P87" s="257">
        <f>GEOMETRY!E7</f>
        <v>0</v>
      </c>
      <c r="Q87" s="108" t="s">
        <v>75</v>
      </c>
      <c r="R87" s="191"/>
      <c r="S87" s="191"/>
      <c r="T87" s="258" t="s">
        <v>82</v>
      </c>
      <c r="U87" s="195" t="s">
        <v>394</v>
      </c>
      <c r="V87" s="108" t="s">
        <v>431</v>
      </c>
      <c r="W87" s="191" t="s">
        <v>381</v>
      </c>
      <c r="X87" s="191"/>
      <c r="Y87" s="191"/>
      <c r="Z87" s="192"/>
    </row>
    <row r="88" spans="1:26" x14ac:dyDescent="0.3">
      <c r="A88" s="709"/>
      <c r="C88" s="183"/>
      <c r="D88" s="183"/>
      <c r="E88" s="183"/>
      <c r="F88" s="184"/>
      <c r="G88" s="183"/>
      <c r="H88" s="183"/>
      <c r="I88" s="183"/>
      <c r="J88" s="183"/>
      <c r="K88" s="183"/>
      <c r="L88" s="185"/>
      <c r="M88" s="184"/>
      <c r="P88" s="257">
        <f>GEOMETRY!E8</f>
        <v>0</v>
      </c>
      <c r="Q88" s="108" t="s">
        <v>76</v>
      </c>
      <c r="R88" s="191"/>
      <c r="S88" s="191"/>
      <c r="T88" s="101">
        <v>1</v>
      </c>
      <c r="U88" s="257">
        <f>GEOMETRY!K25</f>
        <v>0</v>
      </c>
      <c r="V88" s="257">
        <f>GEOMETRY!L25</f>
        <v>0</v>
      </c>
      <c r="W88" s="191">
        <f>IF(AND(U88&lt;&gt;0,U88&gt;P92),V88,0)</f>
        <v>0</v>
      </c>
      <c r="X88" s="191"/>
      <c r="Y88" s="191"/>
      <c r="Z88" s="192"/>
    </row>
    <row r="89" spans="1:26" x14ac:dyDescent="0.3">
      <c r="A89" s="709"/>
      <c r="C89" s="184"/>
      <c r="D89" s="184"/>
      <c r="E89" s="183"/>
      <c r="F89" s="183"/>
      <c r="G89" s="183"/>
      <c r="H89" s="183"/>
      <c r="I89" s="183"/>
      <c r="J89" s="183"/>
      <c r="K89" s="183"/>
      <c r="L89" s="185"/>
      <c r="M89" s="184"/>
      <c r="P89" s="190"/>
      <c r="Q89" s="191"/>
      <c r="R89" s="191"/>
      <c r="S89" s="191"/>
      <c r="T89" s="101">
        <v>2</v>
      </c>
      <c r="U89" s="257">
        <f>GEOMETRY!K26</f>
        <v>0</v>
      </c>
      <c r="V89" s="257">
        <f>GEOMETRY!L26</f>
        <v>0</v>
      </c>
      <c r="W89" s="191">
        <f>IF(AND(U89&lt;&gt;0,U89&gt;P92),V89,0)</f>
        <v>0</v>
      </c>
      <c r="X89" s="260" t="s">
        <v>434</v>
      </c>
      <c r="Y89" s="191"/>
      <c r="Z89" s="192"/>
    </row>
    <row r="90" spans="1:26" x14ac:dyDescent="0.3">
      <c r="A90" s="709"/>
      <c r="C90" s="232" t="s">
        <v>481</v>
      </c>
      <c r="D90" s="183"/>
      <c r="E90" s="183"/>
      <c r="F90" s="183"/>
      <c r="G90" s="183"/>
      <c r="H90" s="183"/>
      <c r="I90" s="183"/>
      <c r="J90" s="183"/>
      <c r="K90" s="183"/>
      <c r="L90" s="185"/>
      <c r="M90" s="184"/>
      <c r="P90" s="261">
        <f>'TRAFFIC &amp; ACCIDENTS'!D11</f>
        <v>0</v>
      </c>
      <c r="Q90" s="260" t="s">
        <v>435</v>
      </c>
      <c r="R90" s="191"/>
      <c r="S90" s="191"/>
      <c r="T90" s="101">
        <v>3</v>
      </c>
      <c r="U90" s="257">
        <f>GEOMETRY!K27</f>
        <v>0</v>
      </c>
      <c r="V90" s="257">
        <f>GEOMETRY!L27</f>
        <v>0</v>
      </c>
      <c r="W90" s="191">
        <f>IF(AND(U90&lt;&gt;0,U90&gt;P92),V90,0)</f>
        <v>0</v>
      </c>
      <c r="X90" s="191"/>
      <c r="Y90" s="191"/>
      <c r="Z90" s="192"/>
    </row>
    <row r="91" spans="1:26" x14ac:dyDescent="0.3">
      <c r="A91" s="709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5"/>
      <c r="P91" s="190"/>
      <c r="Q91" s="191"/>
      <c r="R91" s="191"/>
      <c r="S91" s="191"/>
      <c r="T91" s="101">
        <v>4</v>
      </c>
      <c r="U91" s="257">
        <f>GEOMETRY!K28</f>
        <v>0</v>
      </c>
      <c r="V91" s="257">
        <f>GEOMETRY!L28</f>
        <v>0</v>
      </c>
      <c r="W91" s="191">
        <f>IF(AND(U91&lt;&gt;0,U91&gt;P92),V91,0)</f>
        <v>0</v>
      </c>
      <c r="X91" s="262">
        <f>IF(U115=0,0,IF(W112=0,0,W112/U115))</f>
        <v>0</v>
      </c>
      <c r="Y91" s="191"/>
      <c r="Z91" s="192"/>
    </row>
    <row r="92" spans="1:26" x14ac:dyDescent="0.3">
      <c r="A92" s="709"/>
      <c r="C92" s="183"/>
      <c r="D92" s="183"/>
      <c r="E92" s="183"/>
      <c r="F92" s="183"/>
      <c r="G92" s="183"/>
      <c r="H92" s="184" t="s">
        <v>424</v>
      </c>
      <c r="I92" s="184"/>
      <c r="J92" s="183"/>
      <c r="K92" s="183"/>
      <c r="L92" s="183"/>
      <c r="M92" s="185"/>
      <c r="P92" s="257">
        <f>IF(OR(P90=2,P90=6),P95,P100)</f>
        <v>12</v>
      </c>
      <c r="Q92" s="108" t="s">
        <v>436</v>
      </c>
      <c r="R92" s="101"/>
      <c r="S92" s="191"/>
      <c r="T92" s="101">
        <v>5</v>
      </c>
      <c r="U92" s="257">
        <f>GEOMETRY!K29</f>
        <v>0</v>
      </c>
      <c r="V92" s="257">
        <f>GEOMETRY!L29</f>
        <v>0</v>
      </c>
      <c r="W92" s="191">
        <f>IF(AND(U92&lt;&gt;0,U92&gt;P92),V92,0)</f>
        <v>0</v>
      </c>
      <c r="X92" s="191"/>
      <c r="Y92" s="191"/>
      <c r="Z92" s="192"/>
    </row>
    <row r="93" spans="1:26" x14ac:dyDescent="0.3">
      <c r="A93" s="709"/>
      <c r="C93" s="183"/>
      <c r="D93" s="183"/>
      <c r="E93" s="183"/>
      <c r="F93" s="183"/>
      <c r="G93" s="183"/>
      <c r="H93" s="253" t="s">
        <v>426</v>
      </c>
      <c r="I93" s="183"/>
      <c r="J93" s="183"/>
      <c r="K93" s="183"/>
      <c r="L93" s="183"/>
      <c r="M93" s="185"/>
      <c r="P93" s="263"/>
      <c r="Q93" s="101"/>
      <c r="R93" s="101"/>
      <c r="S93" s="191"/>
      <c r="T93" s="101">
        <v>6</v>
      </c>
      <c r="U93" s="257">
        <f>GEOMETRY!K30</f>
        <v>0</v>
      </c>
      <c r="V93" s="257">
        <f>GEOMETRY!L30</f>
        <v>0</v>
      </c>
      <c r="W93" s="191">
        <f>IF(AND(U93&lt;&gt;0,U93&gt;P92),V93,0)</f>
        <v>0</v>
      </c>
      <c r="X93" s="191"/>
      <c r="Y93" s="191"/>
      <c r="Z93" s="192"/>
    </row>
    <row r="94" spans="1:26" x14ac:dyDescent="0.3">
      <c r="A94" s="709"/>
      <c r="C94" s="183"/>
      <c r="D94" s="183"/>
      <c r="E94" s="184"/>
      <c r="F94" s="184"/>
      <c r="G94" s="184"/>
      <c r="H94" s="184"/>
      <c r="I94" s="184"/>
      <c r="J94" s="183"/>
      <c r="K94" s="183"/>
      <c r="L94" s="183"/>
      <c r="M94" s="185"/>
      <c r="P94" s="190"/>
      <c r="Q94" s="191" t="s">
        <v>437</v>
      </c>
      <c r="R94" s="191"/>
      <c r="S94" s="191"/>
      <c r="T94" s="101">
        <v>7</v>
      </c>
      <c r="U94" s="257">
        <f>GEOMETRY!K31</f>
        <v>0</v>
      </c>
      <c r="V94" s="257">
        <f>GEOMETRY!L31</f>
        <v>0</v>
      </c>
      <c r="W94" s="191">
        <f>IF(AND(U94&lt;&gt;0,U94&gt;P92),V94,0)</f>
        <v>0</v>
      </c>
      <c r="X94" s="191"/>
      <c r="Y94" s="191"/>
      <c r="Z94" s="192"/>
    </row>
    <row r="95" spans="1:26" x14ac:dyDescent="0.3">
      <c r="A95" s="709"/>
      <c r="C95" s="183"/>
      <c r="D95" s="183"/>
      <c r="E95" s="184"/>
      <c r="F95" s="183"/>
      <c r="G95" s="253" t="s">
        <v>427</v>
      </c>
      <c r="H95" s="183"/>
      <c r="I95" s="184"/>
      <c r="J95" s="183"/>
      <c r="K95" s="254"/>
      <c r="L95" s="253" t="s">
        <v>428</v>
      </c>
      <c r="M95" s="254"/>
      <c r="P95" s="264">
        <f>IF(P86&lt;&gt;0,Q95,P96)</f>
        <v>8</v>
      </c>
      <c r="Q95" s="265">
        <f>IF(GEOMETRY!P48&lt;400,5,R95)</f>
        <v>5</v>
      </c>
      <c r="R95" s="266">
        <f>IF(GEOMETRY!P48&lt;2001,4,3)</f>
        <v>4</v>
      </c>
      <c r="S95" s="191"/>
      <c r="T95" s="101">
        <v>8</v>
      </c>
      <c r="U95" s="257">
        <f>GEOMETRY!K32</f>
        <v>0</v>
      </c>
      <c r="V95" s="257">
        <f>GEOMETRY!L32</f>
        <v>0</v>
      </c>
      <c r="W95" s="191">
        <f>IF(AND(U95&lt;&gt;0,U95&gt;P92),V95,0)</f>
        <v>0</v>
      </c>
      <c r="X95" s="191"/>
      <c r="Y95" s="191"/>
      <c r="Z95" s="192"/>
    </row>
    <row r="96" spans="1:26" x14ac:dyDescent="0.3">
      <c r="A96" s="709"/>
      <c r="C96" s="183" t="s">
        <v>124</v>
      </c>
      <c r="D96" s="183"/>
      <c r="E96" s="184"/>
      <c r="F96" s="183"/>
      <c r="G96" s="253" t="s">
        <v>429</v>
      </c>
      <c r="H96" s="183"/>
      <c r="I96" s="184"/>
      <c r="J96" s="183"/>
      <c r="K96" s="254"/>
      <c r="L96" s="253" t="s">
        <v>430</v>
      </c>
      <c r="M96" s="254"/>
      <c r="P96" s="255">
        <f>IF(P87&lt;&gt;0,Q96,P97)</f>
        <v>8</v>
      </c>
      <c r="Q96" s="108">
        <f>IF(GEOMETRY!P48&lt;400,6,R96)</f>
        <v>6</v>
      </c>
      <c r="R96" s="267">
        <f>IF(GEOMETRY!P48&lt;2001,5,4)</f>
        <v>5</v>
      </c>
      <c r="S96" s="191"/>
      <c r="T96" s="101">
        <v>9</v>
      </c>
      <c r="U96" s="257">
        <f>GEOMETRY!K33</f>
        <v>0</v>
      </c>
      <c r="V96" s="257">
        <f>GEOMETRY!L33</f>
        <v>0</v>
      </c>
      <c r="W96" s="191">
        <f>IF(AND(U96&lt;&gt;0,U96&gt;P92),V96,0)</f>
        <v>0</v>
      </c>
      <c r="X96" s="191"/>
      <c r="Y96" s="191"/>
      <c r="Z96" s="192"/>
    </row>
    <row r="97" spans="1:26" x14ac:dyDescent="0.3">
      <c r="A97" s="709"/>
      <c r="C97" s="183"/>
      <c r="D97" s="184"/>
      <c r="E97" s="184"/>
      <c r="F97" s="183" t="s">
        <v>134</v>
      </c>
      <c r="G97" s="184" t="s">
        <v>432</v>
      </c>
      <c r="H97" s="184" t="s">
        <v>68</v>
      </c>
      <c r="I97" s="184"/>
      <c r="J97" s="183"/>
      <c r="K97" s="230" t="s">
        <v>433</v>
      </c>
      <c r="L97" s="230" t="s">
        <v>330</v>
      </c>
      <c r="M97" s="230" t="s">
        <v>68</v>
      </c>
      <c r="P97" s="268">
        <f>Q97</f>
        <v>8</v>
      </c>
      <c r="Q97" s="269">
        <f>IF(GEOMETRY!P48&lt;400,8,R97)</f>
        <v>8</v>
      </c>
      <c r="R97" s="270">
        <f>IF(GEOMETRY!P48&lt;2001,7,6)</f>
        <v>7</v>
      </c>
      <c r="S97" s="191"/>
      <c r="T97" s="101">
        <v>10</v>
      </c>
      <c r="U97" s="257">
        <f>GEOMETRY!K34</f>
        <v>0</v>
      </c>
      <c r="V97" s="257">
        <f>GEOMETRY!L34</f>
        <v>0</v>
      </c>
      <c r="W97" s="191">
        <f>IF(AND(U97&lt;&gt;0,U97&gt;P92),V97,0)</f>
        <v>0</v>
      </c>
      <c r="X97" s="191"/>
      <c r="Y97" s="191"/>
      <c r="Z97" s="192"/>
    </row>
    <row r="98" spans="1:26" x14ac:dyDescent="0.3">
      <c r="A98" s="709"/>
      <c r="C98" s="183" t="s">
        <v>74</v>
      </c>
      <c r="D98" s="183"/>
      <c r="E98" s="184"/>
      <c r="F98" s="184">
        <v>7</v>
      </c>
      <c r="G98" s="184">
        <v>6</v>
      </c>
      <c r="H98" s="259">
        <v>5</v>
      </c>
      <c r="I98" s="184"/>
      <c r="J98" s="183"/>
      <c r="K98" s="259">
        <v>5</v>
      </c>
      <c r="L98" s="259">
        <v>4</v>
      </c>
      <c r="M98" s="259">
        <v>3</v>
      </c>
      <c r="P98" s="263"/>
      <c r="Q98" s="191"/>
      <c r="R98" s="191"/>
      <c r="S98" s="191"/>
      <c r="T98" s="101">
        <v>11</v>
      </c>
      <c r="U98" s="257">
        <f>GEOMETRY!K35</f>
        <v>0</v>
      </c>
      <c r="V98" s="257">
        <f>GEOMETRY!L35</f>
        <v>0</v>
      </c>
      <c r="W98" s="191">
        <f>IF(AND(U98&lt;&gt;0,U98&gt;P92),V98,0)</f>
        <v>0</v>
      </c>
      <c r="X98" s="271"/>
      <c r="Y98" s="271"/>
      <c r="Z98" s="192"/>
    </row>
    <row r="99" spans="1:26" x14ac:dyDescent="0.3">
      <c r="A99" s="709"/>
      <c r="C99" s="183" t="s">
        <v>75</v>
      </c>
      <c r="D99" s="183"/>
      <c r="E99" s="184"/>
      <c r="F99" s="184">
        <v>9</v>
      </c>
      <c r="G99" s="184">
        <v>8</v>
      </c>
      <c r="H99" s="184">
        <v>7</v>
      </c>
      <c r="I99" s="184"/>
      <c r="J99" s="183"/>
      <c r="K99" s="259">
        <v>6</v>
      </c>
      <c r="L99" s="259">
        <v>5</v>
      </c>
      <c r="M99" s="259">
        <v>4</v>
      </c>
      <c r="P99" s="190"/>
      <c r="Q99" s="191" t="s">
        <v>442</v>
      </c>
      <c r="R99" s="191"/>
      <c r="S99" s="191"/>
      <c r="T99" s="101">
        <v>12</v>
      </c>
      <c r="U99" s="257">
        <f>GEOMETRY!K36</f>
        <v>0</v>
      </c>
      <c r="V99" s="257">
        <f>GEOMETRY!L36</f>
        <v>0</v>
      </c>
      <c r="W99" s="191">
        <f>IF(AND(U99&lt;&gt;0,U99&gt;P92),V99,0)</f>
        <v>0</v>
      </c>
      <c r="X99" s="271"/>
      <c r="Y99" s="271"/>
      <c r="Z99" s="192"/>
    </row>
    <row r="100" spans="1:26" x14ac:dyDescent="0.3">
      <c r="A100" s="709"/>
      <c r="C100" s="183" t="s">
        <v>76</v>
      </c>
      <c r="D100" s="183"/>
      <c r="E100" s="183"/>
      <c r="F100" s="184">
        <v>12</v>
      </c>
      <c r="G100" s="184">
        <v>10</v>
      </c>
      <c r="H100" s="184">
        <v>10</v>
      </c>
      <c r="I100" s="183"/>
      <c r="J100" s="183"/>
      <c r="K100" s="259">
        <v>8</v>
      </c>
      <c r="L100" s="259">
        <v>7</v>
      </c>
      <c r="M100" s="259">
        <v>6</v>
      </c>
      <c r="P100" s="264">
        <f>IF(P86&lt;&gt;0,Q100,P101)</f>
        <v>12</v>
      </c>
      <c r="Q100" s="265">
        <f>IF(GEOMETRY!P48&lt;400,7,R100)</f>
        <v>7</v>
      </c>
      <c r="R100" s="266">
        <f>IF(GEOMETRY!P48&lt;2001,6,5)</f>
        <v>6</v>
      </c>
      <c r="S100" s="191"/>
      <c r="T100" s="101">
        <v>13</v>
      </c>
      <c r="U100" s="257">
        <f>GEOMETRY!K37</f>
        <v>0</v>
      </c>
      <c r="V100" s="257">
        <f>GEOMETRY!L37</f>
        <v>0</v>
      </c>
      <c r="W100" s="191">
        <f>IF(AND(U100&lt;&gt;0,U100&gt;P92),V100,0)</f>
        <v>0</v>
      </c>
      <c r="X100" s="271"/>
      <c r="Y100" s="271"/>
      <c r="Z100" s="192"/>
    </row>
    <row r="101" spans="1:26" x14ac:dyDescent="0.3">
      <c r="A101" s="709"/>
      <c r="C101" s="184"/>
      <c r="D101" s="184"/>
      <c r="E101" s="184"/>
      <c r="F101" s="184"/>
      <c r="G101" s="184"/>
      <c r="H101" s="184"/>
      <c r="I101" s="184"/>
      <c r="J101" s="184"/>
      <c r="K101" s="184"/>
      <c r="L101" s="184"/>
      <c r="M101" s="185"/>
      <c r="P101" s="255">
        <f>IF(P87&lt;&gt;0,Q101,P102)</f>
        <v>12</v>
      </c>
      <c r="Q101" s="108">
        <f>IF(GEOMETRY!P48&lt;400,9,R101)</f>
        <v>9</v>
      </c>
      <c r="R101" s="267">
        <f>IF(GEOMETRY!P48&lt;2001,8,7)</f>
        <v>8</v>
      </c>
      <c r="S101" s="191"/>
      <c r="T101" s="101">
        <v>14</v>
      </c>
      <c r="U101" s="257">
        <f>GEOMETRY!K38</f>
        <v>0</v>
      </c>
      <c r="V101" s="257">
        <f>GEOMETRY!L38</f>
        <v>0</v>
      </c>
      <c r="W101" s="191">
        <f>IF(AND(U101&lt;&gt;0,U101&gt;P92),V101,0)</f>
        <v>0</v>
      </c>
      <c r="X101" s="271"/>
      <c r="Y101" s="271"/>
      <c r="Z101" s="192"/>
    </row>
    <row r="102" spans="1:26" x14ac:dyDescent="0.3">
      <c r="A102" s="709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5"/>
      <c r="P102" s="268">
        <f>Q102</f>
        <v>12</v>
      </c>
      <c r="Q102" s="269">
        <f>IF(GEOMETRY!P48&lt;400,12,R102)</f>
        <v>12</v>
      </c>
      <c r="R102" s="270" t="str">
        <f>IF(GEOMETRY!P48&gt;=400,10,"")</f>
        <v/>
      </c>
      <c r="S102" s="191"/>
      <c r="T102" s="101">
        <v>15</v>
      </c>
      <c r="U102" s="257">
        <f>GEOMETRY!K39</f>
        <v>0</v>
      </c>
      <c r="V102" s="257">
        <f>GEOMETRY!L39</f>
        <v>0</v>
      </c>
      <c r="W102" s="191">
        <f>IF(AND(U102&lt;&gt;0,U102&gt;P92),V102,0)</f>
        <v>0</v>
      </c>
      <c r="X102" s="271"/>
      <c r="Y102" s="271"/>
      <c r="Z102" s="192"/>
    </row>
    <row r="103" spans="1:26" x14ac:dyDescent="0.3">
      <c r="A103" s="709"/>
      <c r="C103" s="183"/>
      <c r="D103" s="197" t="s">
        <v>67</v>
      </c>
      <c r="E103" s="197"/>
      <c r="F103" s="197" t="s">
        <v>419</v>
      </c>
      <c r="G103" s="197"/>
      <c r="H103" s="183"/>
      <c r="I103" s="183"/>
      <c r="J103" s="183"/>
      <c r="K103" s="183"/>
      <c r="L103" s="183"/>
      <c r="M103" s="185"/>
      <c r="P103" s="190"/>
      <c r="Q103" s="191"/>
      <c r="R103" s="191"/>
      <c r="S103" s="191"/>
      <c r="T103" s="101">
        <v>16</v>
      </c>
      <c r="U103" s="257">
        <f>GEOMETRY!K40</f>
        <v>0</v>
      </c>
      <c r="V103" s="257">
        <f>GEOMETRY!L40</f>
        <v>0</v>
      </c>
      <c r="W103" s="191">
        <f>IF(AND(U103&lt;&gt;0,U103&gt;P92),V103,0)</f>
        <v>0</v>
      </c>
      <c r="X103" s="191"/>
      <c r="Y103" s="271"/>
      <c r="Z103" s="192"/>
    </row>
    <row r="104" spans="1:26" x14ac:dyDescent="0.3">
      <c r="A104" s="709"/>
      <c r="C104" s="184"/>
      <c r="D104" s="184"/>
      <c r="E104" s="184"/>
      <c r="F104" s="184"/>
      <c r="G104" s="183"/>
      <c r="H104" s="183"/>
      <c r="I104" s="183"/>
      <c r="J104" s="183"/>
      <c r="K104" s="183"/>
      <c r="L104" s="183"/>
      <c r="M104" s="185"/>
      <c r="P104" s="190"/>
      <c r="Q104" s="191"/>
      <c r="R104" s="191"/>
      <c r="S104" s="191"/>
      <c r="T104" s="101">
        <v>17</v>
      </c>
      <c r="U104" s="257">
        <f>GEOMETRY!K41</f>
        <v>0</v>
      </c>
      <c r="V104" s="257">
        <f>GEOMETRY!L41</f>
        <v>0</v>
      </c>
      <c r="W104" s="191">
        <f>IF(AND(U104&lt;&gt;0,U104&gt;P92),V104,0)</f>
        <v>0</v>
      </c>
      <c r="X104" s="191"/>
      <c r="Y104" s="191"/>
      <c r="Z104" s="192"/>
    </row>
    <row r="105" spans="1:26" x14ac:dyDescent="0.3">
      <c r="A105" s="709"/>
      <c r="C105" s="184"/>
      <c r="D105" s="243">
        <v>0</v>
      </c>
      <c r="E105" s="183"/>
      <c r="F105" s="183" t="s">
        <v>28</v>
      </c>
      <c r="G105" s="183"/>
      <c r="H105" s="183" t="s">
        <v>438</v>
      </c>
      <c r="I105" s="183"/>
      <c r="J105" s="183"/>
      <c r="K105" s="183"/>
      <c r="L105" s="183"/>
      <c r="M105" s="185"/>
      <c r="P105" s="190"/>
      <c r="Q105" s="191"/>
      <c r="R105" s="191"/>
      <c r="S105" s="191"/>
      <c r="T105" s="101">
        <v>18</v>
      </c>
      <c r="U105" s="257">
        <f>GEOMETRY!K42</f>
        <v>0</v>
      </c>
      <c r="V105" s="257">
        <f>GEOMETRY!L42</f>
        <v>0</v>
      </c>
      <c r="W105" s="191">
        <f>IF(AND(U105&lt;&gt;0,U105&gt;P92),V105,0)</f>
        <v>0</v>
      </c>
      <c r="X105" s="191"/>
      <c r="Y105" s="191"/>
      <c r="Z105" s="192"/>
    </row>
    <row r="106" spans="1:26" x14ac:dyDescent="0.3">
      <c r="A106" s="709"/>
      <c r="C106" s="184"/>
      <c r="D106" s="243">
        <v>2</v>
      </c>
      <c r="E106" s="183"/>
      <c r="F106" s="183" t="s">
        <v>34</v>
      </c>
      <c r="G106" s="183"/>
      <c r="H106" s="183" t="s">
        <v>439</v>
      </c>
      <c r="I106" s="183"/>
      <c r="J106" s="183"/>
      <c r="K106" s="183"/>
      <c r="L106" s="183"/>
      <c r="M106" s="185"/>
      <c r="P106" s="190"/>
      <c r="Q106" s="191"/>
      <c r="R106" s="191"/>
      <c r="S106" s="191"/>
      <c r="T106" s="101">
        <v>19</v>
      </c>
      <c r="U106" s="257">
        <f>GEOMETRY!K43</f>
        <v>0</v>
      </c>
      <c r="V106" s="257">
        <f>GEOMETRY!L43</f>
        <v>0</v>
      </c>
      <c r="W106" s="191">
        <f>IF(AND(U106&lt;&gt;0,U106&gt;P92),V106,0)</f>
        <v>0</v>
      </c>
      <c r="X106" s="191"/>
      <c r="Y106" s="191"/>
      <c r="Z106" s="192"/>
    </row>
    <row r="107" spans="1:26" x14ac:dyDescent="0.3">
      <c r="A107" s="709"/>
      <c r="C107" s="184"/>
      <c r="D107" s="243">
        <v>4</v>
      </c>
      <c r="E107" s="183"/>
      <c r="F107" s="183" t="s">
        <v>46</v>
      </c>
      <c r="G107" s="183"/>
      <c r="H107" s="183" t="s">
        <v>440</v>
      </c>
      <c r="I107" s="183"/>
      <c r="J107" s="183"/>
      <c r="K107" s="183"/>
      <c r="L107" s="184"/>
      <c r="M107" s="185"/>
      <c r="P107" s="190"/>
      <c r="Q107" s="191"/>
      <c r="R107" s="191"/>
      <c r="S107" s="191"/>
      <c r="T107" s="101">
        <v>20</v>
      </c>
      <c r="U107" s="257">
        <f>GEOMETRY!K44</f>
        <v>0</v>
      </c>
      <c r="V107" s="257">
        <f>GEOMETRY!L44</f>
        <v>0</v>
      </c>
      <c r="W107" s="191">
        <f>IF(AND(U107&lt;&gt;0,U107&gt;P92),V107,0)</f>
        <v>0</v>
      </c>
      <c r="X107" s="191"/>
      <c r="Y107" s="191"/>
      <c r="Z107" s="192"/>
    </row>
    <row r="108" spans="1:26" x14ac:dyDescent="0.3">
      <c r="A108" s="709"/>
      <c r="C108" s="184"/>
      <c r="D108" s="243">
        <v>5</v>
      </c>
      <c r="E108" s="183"/>
      <c r="F108" s="183" t="s">
        <v>57</v>
      </c>
      <c r="G108" s="183"/>
      <c r="H108" s="183" t="s">
        <v>441</v>
      </c>
      <c r="I108" s="183"/>
      <c r="J108" s="183"/>
      <c r="K108" s="183"/>
      <c r="L108" s="184"/>
      <c r="M108" s="185"/>
      <c r="P108" s="190"/>
      <c r="Q108" s="191"/>
      <c r="R108" s="191"/>
      <c r="S108" s="191"/>
      <c r="T108" s="191"/>
      <c r="U108" s="191"/>
      <c r="V108" s="191"/>
      <c r="W108" s="191"/>
      <c r="X108" s="191"/>
      <c r="Y108" s="191"/>
      <c r="Z108" s="192"/>
    </row>
    <row r="109" spans="1:26" x14ac:dyDescent="0.3">
      <c r="A109" s="709"/>
      <c r="C109" s="184"/>
      <c r="D109" s="184"/>
      <c r="E109" s="184"/>
      <c r="F109" s="184"/>
      <c r="G109" s="184"/>
      <c r="H109" s="184"/>
      <c r="I109" s="184"/>
      <c r="J109" s="184"/>
      <c r="K109" s="184"/>
      <c r="L109" s="184"/>
      <c r="M109" s="185"/>
      <c r="P109" s="190"/>
      <c r="Q109" s="191"/>
      <c r="R109" s="191"/>
      <c r="S109" s="191"/>
      <c r="T109" s="191"/>
      <c r="U109" s="191"/>
      <c r="V109" s="191"/>
      <c r="W109" s="191"/>
      <c r="X109" s="191"/>
      <c r="Y109" s="191"/>
      <c r="Z109" s="192"/>
    </row>
    <row r="110" spans="1:26" x14ac:dyDescent="0.3">
      <c r="P110" s="190"/>
      <c r="Q110" s="191"/>
      <c r="R110" s="191"/>
      <c r="S110" s="191"/>
      <c r="T110" s="191"/>
      <c r="U110" s="191"/>
      <c r="V110" s="191"/>
      <c r="W110" s="191"/>
      <c r="X110" s="191"/>
      <c r="Y110" s="191"/>
      <c r="Z110" s="192"/>
    </row>
    <row r="111" spans="1:26" x14ac:dyDescent="0.3">
      <c r="P111" s="190"/>
      <c r="Q111" s="191"/>
      <c r="R111" s="191"/>
      <c r="S111" s="191"/>
      <c r="T111" s="191"/>
      <c r="U111" s="101"/>
      <c r="V111" s="191"/>
      <c r="W111" s="191"/>
      <c r="X111" s="191"/>
      <c r="Y111" s="191" t="s">
        <v>443</v>
      </c>
      <c r="Z111" s="192"/>
    </row>
    <row r="112" spans="1:26" ht="13.5" thickBot="1" x14ac:dyDescent="0.35">
      <c r="P112" s="190"/>
      <c r="Q112" s="191"/>
      <c r="R112" s="191"/>
      <c r="S112" s="191"/>
      <c r="T112" s="101"/>
      <c r="U112" s="101"/>
      <c r="V112" s="272" t="s">
        <v>444</v>
      </c>
      <c r="W112" s="273">
        <f>SUM(W88:W107)</f>
        <v>0</v>
      </c>
      <c r="X112" s="191"/>
      <c r="Y112" s="191" t="s">
        <v>2</v>
      </c>
      <c r="Z112" s="192"/>
    </row>
    <row r="113" spans="16:26" ht="13.5" thickBot="1" x14ac:dyDescent="0.35">
      <c r="P113" s="190"/>
      <c r="Q113" s="191"/>
      <c r="R113" s="191"/>
      <c r="S113" s="191"/>
      <c r="T113" s="191"/>
      <c r="U113" s="191"/>
      <c r="V113" s="101"/>
      <c r="W113" s="101"/>
      <c r="X113" s="101"/>
      <c r="Y113" s="274">
        <f>IF(X91&gt;=0.1,5,Y114)</f>
        <v>0</v>
      </c>
      <c r="Z113" s="192"/>
    </row>
    <row r="114" spans="16:26" x14ac:dyDescent="0.3">
      <c r="P114" s="190"/>
      <c r="Q114" s="191"/>
      <c r="R114" s="191"/>
      <c r="S114" s="191"/>
      <c r="T114" s="191"/>
      <c r="U114" s="191"/>
      <c r="V114" s="101"/>
      <c r="W114" s="101"/>
      <c r="X114" s="101"/>
      <c r="Y114" s="191">
        <f>IF(AND(X91&gt;=0.05,X91&lt;0.1),4,Y115)</f>
        <v>0</v>
      </c>
      <c r="Z114" s="192"/>
    </row>
    <row r="115" spans="16:26" x14ac:dyDescent="0.3">
      <c r="P115" s="190"/>
      <c r="Q115" s="191"/>
      <c r="R115" s="191"/>
      <c r="S115" s="191"/>
      <c r="T115" s="191"/>
      <c r="U115" s="275">
        <f>'TRAFFIC &amp; ACCIDENTS'!D12</f>
        <v>0</v>
      </c>
      <c r="V115" s="260" t="s">
        <v>445</v>
      </c>
      <c r="W115" s="101"/>
      <c r="X115" s="101"/>
      <c r="Y115" s="191">
        <f>IF(AND(X91&lt;0.05,X91&gt;0),2,Y116)</f>
        <v>0</v>
      </c>
      <c r="Z115" s="192"/>
    </row>
    <row r="116" spans="16:26" x14ac:dyDescent="0.3">
      <c r="P116" s="198"/>
      <c r="Q116" s="199"/>
      <c r="R116" s="199"/>
      <c r="S116" s="199"/>
      <c r="T116" s="199"/>
      <c r="U116" s="199"/>
      <c r="V116" s="199"/>
      <c r="W116" s="199"/>
      <c r="X116" s="199"/>
      <c r="Y116" s="199">
        <f>IF(X91=0,0,"")</f>
        <v>0</v>
      </c>
      <c r="Z116" s="200"/>
    </row>
    <row r="117" spans="16:26" x14ac:dyDescent="0.3"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  <c r="Z117" s="214"/>
    </row>
  </sheetData>
  <sheetProtection algorithmName="SHA-512" hashValue="4CMGqhyvJ1xeMeO/oXwWm6bJsEbd2UGwne7CGiF88zjsN/OT8uQJ4OtRJ/XzqXcegMT24owzO/kaelF6W+wR3g==" saltValue="yRfwJlL3KhYgFfVdAbzdcg==" spinCount="100000" sheet="1" selectLockedCells="1"/>
  <mergeCells count="16">
    <mergeCell ref="P83:Z84"/>
    <mergeCell ref="R16:U16"/>
    <mergeCell ref="I16:L16"/>
    <mergeCell ref="C21:C24"/>
    <mergeCell ref="G3:I3"/>
    <mergeCell ref="G4:I5"/>
    <mergeCell ref="Z12:Z28"/>
    <mergeCell ref="R5:Z5"/>
    <mergeCell ref="F14:L14"/>
    <mergeCell ref="E16:G16"/>
    <mergeCell ref="F15:L15"/>
    <mergeCell ref="A52:A81"/>
    <mergeCell ref="A87:A109"/>
    <mergeCell ref="D21:D24"/>
    <mergeCell ref="J17:L18"/>
    <mergeCell ref="E17:F18"/>
  </mergeCells>
  <conditionalFormatting sqref="Q15:Q29">
    <cfRule type="expression" dxfId="14" priority="11" stopIfTrue="1">
      <formula>ISERROR($O$62)</formula>
    </cfRule>
  </conditionalFormatting>
  <conditionalFormatting sqref="N45:O45 G45 J45">
    <cfRule type="expression" dxfId="13" priority="10" stopIfTrue="1">
      <formula>ISERROR($E$85)</formula>
    </cfRule>
  </conditionalFormatting>
  <conditionalFormatting sqref="G25:G44">
    <cfRule type="expression" dxfId="12" priority="7" stopIfTrue="1">
      <formula>ISERROR($AF$252)</formula>
    </cfRule>
  </conditionalFormatting>
  <conditionalFormatting sqref="N25:N44">
    <cfRule type="expression" dxfId="11" priority="5" stopIfTrue="1">
      <formula>ISERROR($AF$252)</formula>
    </cfRule>
  </conditionalFormatting>
  <hyperlinks>
    <hyperlink ref="E16:G16" location="GEOMETRY!A53" display="HORIZ. ALIGNMENT:" xr:uid="{00000000-0004-0000-0400-000000000000}"/>
    <hyperlink ref="I16:L16" location="GEOMETRY!A88" display="VERT. ALIGNMENT:" xr:uid="{00000000-0004-0000-0400-000001000000}"/>
    <hyperlink ref="G3:I3" location="GEOMETRY!Q5" display="ROADWAY WIDTH" xr:uid="{00000000-0004-0000-0400-000002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B39"/>
  <sheetViews>
    <sheetView showGridLines="0" workbookViewId="0">
      <selection activeCell="C10" sqref="C10"/>
    </sheetView>
  </sheetViews>
  <sheetFormatPr defaultColWidth="7.7265625" defaultRowHeight="13" x14ac:dyDescent="0.3"/>
  <cols>
    <col min="1" max="16384" width="7.7265625" style="364"/>
  </cols>
  <sheetData>
    <row r="2" spans="1:28" ht="13.5" thickBot="1" x14ac:dyDescent="0.35">
      <c r="A2" s="365"/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428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</row>
    <row r="3" spans="1:28" x14ac:dyDescent="0.3">
      <c r="A3" s="365"/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45"/>
      <c r="M3" s="365"/>
      <c r="N3" s="428"/>
      <c r="O3" s="608"/>
      <c r="P3" s="608"/>
      <c r="Q3" s="620"/>
      <c r="R3" s="608"/>
      <c r="S3" s="608"/>
      <c r="T3" s="608"/>
      <c r="U3" s="608"/>
      <c r="V3" s="611"/>
      <c r="W3" s="611"/>
      <c r="X3" s="611"/>
      <c r="Y3" s="608"/>
      <c r="Z3" s="608"/>
      <c r="AA3" s="365"/>
    </row>
    <row r="4" spans="1:28" x14ac:dyDescent="0.3">
      <c r="A4" s="365"/>
      <c r="B4" s="573" t="s">
        <v>239</v>
      </c>
      <c r="C4" s="27"/>
      <c r="D4" s="147" t="s">
        <v>240</v>
      </c>
      <c r="E4" s="27"/>
      <c r="F4" s="27"/>
      <c r="G4" s="737" t="s">
        <v>508</v>
      </c>
      <c r="H4" s="737"/>
      <c r="I4" s="737"/>
      <c r="J4" s="737"/>
      <c r="K4" s="737"/>
      <c r="L4" s="148"/>
      <c r="M4" s="365"/>
      <c r="N4" s="428"/>
      <c r="O4" s="608"/>
      <c r="P4" s="608"/>
      <c r="Q4" s="608"/>
      <c r="R4" s="608"/>
      <c r="S4" s="609" t="s">
        <v>466</v>
      </c>
      <c r="T4" s="608"/>
      <c r="U4" s="608"/>
      <c r="V4" s="608"/>
      <c r="W4" s="608"/>
      <c r="X4" s="608"/>
      <c r="Y4" s="608"/>
      <c r="Z4" s="615"/>
      <c r="AA4" s="365"/>
    </row>
    <row r="5" spans="1:28" x14ac:dyDescent="0.3">
      <c r="A5" s="365"/>
      <c r="B5" s="573"/>
      <c r="C5" s="27"/>
      <c r="D5" s="147"/>
      <c r="E5" s="27"/>
      <c r="F5" s="27"/>
      <c r="G5" s="27"/>
      <c r="H5" s="109"/>
      <c r="I5" s="99"/>
      <c r="J5" s="27"/>
      <c r="K5" s="27"/>
      <c r="L5" s="148"/>
      <c r="M5" s="365"/>
      <c r="N5" s="428"/>
      <c r="O5" s="608"/>
      <c r="P5" s="608"/>
      <c r="Q5" s="608"/>
      <c r="R5" s="608"/>
      <c r="S5" s="608"/>
      <c r="T5" s="608"/>
      <c r="U5" s="608"/>
      <c r="V5" s="608"/>
      <c r="W5" s="608"/>
      <c r="X5" s="608" t="s">
        <v>248</v>
      </c>
      <c r="Y5" s="608"/>
      <c r="Z5" s="615"/>
      <c r="AA5" s="365"/>
    </row>
    <row r="6" spans="1:28" x14ac:dyDescent="0.3">
      <c r="A6" s="365"/>
      <c r="B6" s="137"/>
      <c r="C6" s="27"/>
      <c r="D6" s="27"/>
      <c r="E6" s="27"/>
      <c r="F6" s="102"/>
      <c r="G6" s="27"/>
      <c r="H6" s="66"/>
      <c r="I6" s="99"/>
      <c r="J6" s="99"/>
      <c r="K6" s="27"/>
      <c r="L6" s="148"/>
      <c r="M6" s="365"/>
      <c r="N6" s="428"/>
      <c r="O6" s="608"/>
      <c r="P6" s="608"/>
      <c r="Q6" s="608" t="s">
        <v>249</v>
      </c>
      <c r="R6" s="608"/>
      <c r="S6" s="608"/>
      <c r="T6" s="608"/>
      <c r="U6" s="608"/>
      <c r="V6" s="608"/>
      <c r="W6" s="610"/>
      <c r="X6" s="611" t="str">
        <f>GEOMETRY!U31</f>
        <v/>
      </c>
      <c r="Y6" s="608"/>
      <c r="Z6" s="608"/>
      <c r="AA6" s="365"/>
    </row>
    <row r="7" spans="1:28" x14ac:dyDescent="0.3">
      <c r="A7" s="365"/>
      <c r="B7" s="623" t="s">
        <v>507</v>
      </c>
      <c r="C7" s="27"/>
      <c r="D7" s="27"/>
      <c r="E7" s="27"/>
      <c r="F7" s="27"/>
      <c r="G7" s="149"/>
      <c r="H7" s="27"/>
      <c r="I7" s="27"/>
      <c r="J7" s="99"/>
      <c r="K7" s="27"/>
      <c r="L7" s="148"/>
      <c r="M7" s="365"/>
      <c r="N7" s="428"/>
      <c r="O7" s="608"/>
      <c r="P7" s="608"/>
      <c r="Q7" s="612" t="s">
        <v>250</v>
      </c>
      <c r="R7" s="608"/>
      <c r="S7" s="608"/>
      <c r="T7" s="608"/>
      <c r="U7" s="608"/>
      <c r="V7" s="608"/>
      <c r="W7" s="610"/>
      <c r="X7" s="608"/>
      <c r="Y7" s="608"/>
      <c r="Z7" s="608"/>
      <c r="AA7" s="365"/>
    </row>
    <row r="8" spans="1:28" x14ac:dyDescent="0.3">
      <c r="A8" s="365"/>
      <c r="B8" s="624">
        <v>1</v>
      </c>
      <c r="C8" s="150" t="s">
        <v>251</v>
      </c>
      <c r="D8" s="27"/>
      <c r="E8" s="27"/>
      <c r="F8" s="27"/>
      <c r="G8" s="27"/>
      <c r="H8" s="27"/>
      <c r="I8" s="27"/>
      <c r="J8" s="57"/>
      <c r="K8" s="27"/>
      <c r="L8" s="148"/>
      <c r="M8" s="365"/>
      <c r="N8" s="428"/>
      <c r="O8" s="608"/>
      <c r="P8" s="613" t="s">
        <v>252</v>
      </c>
      <c r="Q8" s="610"/>
      <c r="R8" s="610"/>
      <c r="S8" s="610"/>
      <c r="T8" s="610"/>
      <c r="U8" s="610"/>
      <c r="V8" s="610"/>
      <c r="W8" s="610"/>
      <c r="X8" s="608"/>
      <c r="Y8" s="608"/>
      <c r="Z8" s="608"/>
      <c r="AA8" s="436"/>
    </row>
    <row r="9" spans="1:28" x14ac:dyDescent="0.3">
      <c r="A9" s="365"/>
      <c r="B9" s="137"/>
      <c r="C9" s="27"/>
      <c r="D9" s="27"/>
      <c r="E9" s="27"/>
      <c r="F9" s="27"/>
      <c r="G9" s="27"/>
      <c r="H9" s="27"/>
      <c r="I9" s="27"/>
      <c r="J9" s="57"/>
      <c r="K9" s="27"/>
      <c r="L9" s="148"/>
      <c r="M9" s="365"/>
      <c r="N9" s="366"/>
      <c r="O9" s="608"/>
      <c r="P9" s="608"/>
      <c r="Q9" s="608"/>
      <c r="R9" s="608"/>
      <c r="S9" s="608"/>
      <c r="T9" s="608"/>
      <c r="U9" s="612"/>
      <c r="V9" s="608"/>
      <c r="W9" s="614" t="s">
        <v>0</v>
      </c>
      <c r="X9" s="608"/>
      <c r="Y9" s="608"/>
      <c r="Z9" s="608"/>
      <c r="AA9" s="436"/>
    </row>
    <row r="10" spans="1:28" x14ac:dyDescent="0.3">
      <c r="A10" s="365"/>
      <c r="B10" s="137"/>
      <c r="C10" s="97"/>
      <c r="D10" s="27" t="s">
        <v>294</v>
      </c>
      <c r="E10" s="27"/>
      <c r="F10" s="27"/>
      <c r="G10" s="27"/>
      <c r="H10" s="27"/>
      <c r="I10" s="27"/>
      <c r="J10" s="57"/>
      <c r="K10" s="27"/>
      <c r="L10" s="148"/>
      <c r="M10" s="365"/>
      <c r="N10" s="429"/>
      <c r="O10" s="608"/>
      <c r="P10" s="615"/>
      <c r="Q10" s="616" t="s">
        <v>253</v>
      </c>
      <c r="R10" s="608"/>
      <c r="S10" s="608"/>
      <c r="T10" s="608"/>
      <c r="U10" s="616"/>
      <c r="V10" s="608"/>
      <c r="W10" s="617" t="s">
        <v>2</v>
      </c>
      <c r="X10" s="608"/>
      <c r="Y10" s="608"/>
      <c r="Z10" s="608"/>
      <c r="AA10" s="365"/>
    </row>
    <row r="11" spans="1:28" x14ac:dyDescent="0.3">
      <c r="A11" s="365"/>
      <c r="B11" s="137"/>
      <c r="C11" s="27"/>
      <c r="D11" s="27"/>
      <c r="E11" s="27"/>
      <c r="F11" s="27"/>
      <c r="G11" s="27"/>
      <c r="H11" s="27"/>
      <c r="I11" s="27"/>
      <c r="J11" s="57"/>
      <c r="K11" s="27"/>
      <c r="L11" s="148"/>
      <c r="M11" s="365"/>
      <c r="N11" s="430"/>
      <c r="O11" s="608"/>
      <c r="P11" s="615"/>
      <c r="Q11" s="608"/>
      <c r="R11" s="608"/>
      <c r="S11" s="608"/>
      <c r="T11" s="608"/>
      <c r="U11" s="611"/>
      <c r="V11" s="608"/>
      <c r="W11" s="614"/>
      <c r="X11" s="608"/>
      <c r="Y11" s="608"/>
      <c r="Z11" s="608"/>
      <c r="AA11" s="365"/>
    </row>
    <row r="12" spans="1:28" x14ac:dyDescent="0.3">
      <c r="A12" s="365"/>
      <c r="B12" s="137"/>
      <c r="C12" s="118">
        <f>'TRAFFIC &amp; ACCIDENTS'!D12</f>
        <v>0</v>
      </c>
      <c r="D12" s="27" t="s">
        <v>254</v>
      </c>
      <c r="E12" s="27"/>
      <c r="F12" s="27"/>
      <c r="G12" s="27"/>
      <c r="H12" s="151"/>
      <c r="I12" s="152"/>
      <c r="J12" s="119" t="s">
        <v>255</v>
      </c>
      <c r="K12" s="119"/>
      <c r="L12" s="153"/>
      <c r="M12" s="433"/>
      <c r="N12" s="434"/>
      <c r="O12" s="608"/>
      <c r="P12" s="618">
        <v>1</v>
      </c>
      <c r="Q12" s="608" t="s">
        <v>256</v>
      </c>
      <c r="R12" s="608"/>
      <c r="S12" s="608"/>
      <c r="T12" s="608"/>
      <c r="U12" s="608"/>
      <c r="V12" s="608"/>
      <c r="W12" s="614">
        <v>25</v>
      </c>
      <c r="X12" s="608"/>
      <c r="Y12" s="608"/>
      <c r="Z12" s="608"/>
      <c r="AA12" s="365"/>
    </row>
    <row r="13" spans="1:28" x14ac:dyDescent="0.3">
      <c r="A13" s="365"/>
      <c r="B13" s="137"/>
      <c r="C13" s="27"/>
      <c r="D13" s="27"/>
      <c r="E13" s="27"/>
      <c r="F13" s="27"/>
      <c r="G13" s="27"/>
      <c r="H13" s="151"/>
      <c r="I13" s="152"/>
      <c r="J13" s="119"/>
      <c r="K13" s="119"/>
      <c r="L13" s="153"/>
      <c r="M13" s="433"/>
      <c r="N13" s="434"/>
      <c r="O13" s="608"/>
      <c r="P13" s="618"/>
      <c r="Q13" s="608"/>
      <c r="R13" s="608" t="s">
        <v>257</v>
      </c>
      <c r="S13" s="608"/>
      <c r="T13" s="608"/>
      <c r="U13" s="611"/>
      <c r="V13" s="608"/>
      <c r="W13" s="614"/>
      <c r="X13" s="608"/>
      <c r="Y13" s="608"/>
      <c r="Z13" s="608"/>
      <c r="AA13" s="365"/>
    </row>
    <row r="14" spans="1:28" x14ac:dyDescent="0.3">
      <c r="A14" s="365"/>
      <c r="B14" s="137"/>
      <c r="C14" s="120">
        <f>IF(C12=0,0,C10/C12)</f>
        <v>0</v>
      </c>
      <c r="D14" s="27" t="s">
        <v>258</v>
      </c>
      <c r="E14" s="625">
        <f>C14*25</f>
        <v>0</v>
      </c>
      <c r="F14" s="27" t="s">
        <v>259</v>
      </c>
      <c r="G14" s="27"/>
      <c r="H14" s="151"/>
      <c r="I14" s="152"/>
      <c r="J14" s="119"/>
      <c r="K14" s="119"/>
      <c r="L14" s="153"/>
      <c r="M14" s="433"/>
      <c r="N14" s="434"/>
      <c r="O14" s="608"/>
      <c r="P14" s="618"/>
      <c r="Q14" s="608"/>
      <c r="R14" s="608" t="s">
        <v>260</v>
      </c>
      <c r="S14" s="608"/>
      <c r="T14" s="608"/>
      <c r="U14" s="611"/>
      <c r="V14" s="608"/>
      <c r="W14" s="614"/>
      <c r="X14" s="608"/>
      <c r="Y14" s="608"/>
      <c r="Z14" s="611"/>
      <c r="AA14" s="365"/>
    </row>
    <row r="15" spans="1:28" x14ac:dyDescent="0.3">
      <c r="A15" s="365"/>
      <c r="B15" s="137"/>
      <c r="C15" s="122"/>
      <c r="D15" s="27"/>
      <c r="E15" s="27"/>
      <c r="F15" s="27"/>
      <c r="G15" s="27"/>
      <c r="H15" s="151"/>
      <c r="I15" s="152"/>
      <c r="J15" s="119"/>
      <c r="K15" s="119"/>
      <c r="L15" s="153"/>
      <c r="M15" s="433"/>
      <c r="N15" s="434"/>
      <c r="O15" s="608"/>
      <c r="P15" s="618"/>
      <c r="Q15" s="608"/>
      <c r="R15" s="608"/>
      <c r="S15" s="608"/>
      <c r="T15" s="608"/>
      <c r="U15" s="611"/>
      <c r="V15" s="608"/>
      <c r="W15" s="614"/>
      <c r="X15" s="608"/>
      <c r="Y15" s="608"/>
      <c r="Z15" s="621"/>
      <c r="AA15" s="365"/>
    </row>
    <row r="16" spans="1:28" x14ac:dyDescent="0.3">
      <c r="A16" s="365"/>
      <c r="B16" s="137"/>
      <c r="C16" s="27"/>
      <c r="D16" s="27"/>
      <c r="E16" s="27"/>
      <c r="F16" s="27"/>
      <c r="G16" s="27"/>
      <c r="H16" s="151"/>
      <c r="I16" s="152"/>
      <c r="J16" s="119"/>
      <c r="K16" s="119"/>
      <c r="L16" s="153"/>
      <c r="M16" s="433"/>
      <c r="N16" s="434"/>
      <c r="O16" s="608"/>
      <c r="P16" s="618"/>
      <c r="Q16" s="608" t="s">
        <v>261</v>
      </c>
      <c r="R16" s="608"/>
      <c r="S16" s="608"/>
      <c r="T16" s="608"/>
      <c r="U16" s="611"/>
      <c r="V16" s="608"/>
      <c r="W16" s="614"/>
      <c r="X16" s="608"/>
      <c r="Y16" s="611"/>
      <c r="Z16" s="622"/>
      <c r="AA16" s="365"/>
    </row>
    <row r="17" spans="1:27" x14ac:dyDescent="0.3">
      <c r="A17" s="365"/>
      <c r="B17" s="624">
        <v>2</v>
      </c>
      <c r="C17" s="150" t="s">
        <v>262</v>
      </c>
      <c r="D17" s="27"/>
      <c r="E17" s="27"/>
      <c r="F17" s="27"/>
      <c r="G17" s="27"/>
      <c r="H17" s="151"/>
      <c r="I17" s="152"/>
      <c r="J17" s="119"/>
      <c r="K17" s="119"/>
      <c r="L17" s="153"/>
      <c r="M17" s="433"/>
      <c r="N17" s="434"/>
      <c r="O17" s="608"/>
      <c r="P17" s="618"/>
      <c r="Q17" s="608"/>
      <c r="R17" s="608"/>
      <c r="S17" s="608"/>
      <c r="T17" s="608"/>
      <c r="U17" s="611"/>
      <c r="V17" s="608"/>
      <c r="W17" s="614"/>
      <c r="X17" s="608"/>
      <c r="Y17" s="611"/>
      <c r="Z17" s="622"/>
      <c r="AA17" s="365"/>
    </row>
    <row r="18" spans="1:27" x14ac:dyDescent="0.3">
      <c r="A18" s="365"/>
      <c r="B18" s="137"/>
      <c r="C18" s="27"/>
      <c r="D18" s="27"/>
      <c r="E18" s="27"/>
      <c r="F18" s="27"/>
      <c r="G18" s="27"/>
      <c r="H18" s="27"/>
      <c r="I18" s="27"/>
      <c r="J18" s="27"/>
      <c r="K18" s="27"/>
      <c r="L18" s="148"/>
      <c r="M18" s="365"/>
      <c r="N18" s="434"/>
      <c r="O18" s="608"/>
      <c r="P18" s="618"/>
      <c r="Q18" s="608"/>
      <c r="R18" s="608"/>
      <c r="S18" s="608"/>
      <c r="T18" s="608"/>
      <c r="U18" s="611"/>
      <c r="V18" s="608"/>
      <c r="W18" s="614"/>
      <c r="X18" s="608"/>
      <c r="Y18" s="611"/>
      <c r="Z18" s="622"/>
      <c r="AA18" s="367"/>
    </row>
    <row r="19" spans="1:27" x14ac:dyDescent="0.3">
      <c r="A19" s="365"/>
      <c r="B19" s="137"/>
      <c r="C19" s="96"/>
      <c r="D19" s="626" t="s">
        <v>263</v>
      </c>
      <c r="E19" s="27"/>
      <c r="F19" s="27"/>
      <c r="G19" s="27"/>
      <c r="H19" s="27"/>
      <c r="I19" s="27"/>
      <c r="J19" s="27"/>
      <c r="K19" s="27"/>
      <c r="L19" s="148"/>
      <c r="M19" s="365"/>
      <c r="N19" s="434"/>
      <c r="O19" s="608"/>
      <c r="P19" s="618">
        <v>2</v>
      </c>
      <c r="Q19" s="608" t="s">
        <v>242</v>
      </c>
      <c r="R19" s="608"/>
      <c r="S19" s="608"/>
      <c r="T19" s="608"/>
      <c r="U19" s="608"/>
      <c r="V19" s="608"/>
      <c r="W19" s="614">
        <v>5</v>
      </c>
      <c r="X19" s="608"/>
      <c r="Y19" s="608"/>
      <c r="Z19" s="608"/>
      <c r="AA19" s="437"/>
    </row>
    <row r="20" spans="1:27" x14ac:dyDescent="0.3">
      <c r="A20" s="365"/>
      <c r="B20" s="137"/>
      <c r="C20" s="57"/>
      <c r="D20" s="27"/>
      <c r="E20" s="27"/>
      <c r="F20" s="27"/>
      <c r="G20" s="27"/>
      <c r="H20" s="27"/>
      <c r="I20" s="27"/>
      <c r="J20" s="27"/>
      <c r="K20" s="27"/>
      <c r="L20" s="148"/>
      <c r="M20" s="365"/>
      <c r="N20" s="434"/>
      <c r="O20" s="608"/>
      <c r="P20" s="618"/>
      <c r="Q20" s="608"/>
      <c r="R20" s="608" t="s">
        <v>264</v>
      </c>
      <c r="S20" s="608"/>
      <c r="T20" s="608"/>
      <c r="U20" s="611"/>
      <c r="V20" s="608"/>
      <c r="W20" s="614"/>
      <c r="X20" s="608"/>
      <c r="Y20" s="608"/>
      <c r="Z20" s="608"/>
      <c r="AA20" s="438"/>
    </row>
    <row r="21" spans="1:27" x14ac:dyDescent="0.3">
      <c r="A21" s="365"/>
      <c r="B21" s="137"/>
      <c r="C21" s="57"/>
      <c r="D21" s="27"/>
      <c r="E21" s="27"/>
      <c r="F21" s="27"/>
      <c r="G21" s="27"/>
      <c r="H21" s="27"/>
      <c r="I21" s="27"/>
      <c r="J21" s="27"/>
      <c r="K21" s="27"/>
      <c r="L21" s="148"/>
      <c r="M21" s="365"/>
      <c r="N21" s="434"/>
      <c r="O21" s="608"/>
      <c r="P21" s="618"/>
      <c r="Q21" s="608"/>
      <c r="R21" s="608" t="s">
        <v>265</v>
      </c>
      <c r="S21" s="608"/>
      <c r="T21" s="608"/>
      <c r="U21" s="611"/>
      <c r="V21" s="608"/>
      <c r="W21" s="614"/>
      <c r="X21" s="608"/>
      <c r="Y21" s="611"/>
      <c r="Z21" s="615"/>
      <c r="AA21" s="438"/>
    </row>
    <row r="22" spans="1:27" x14ac:dyDescent="0.3">
      <c r="A22" s="365"/>
      <c r="B22" s="624">
        <v>3</v>
      </c>
      <c r="C22" s="150" t="s">
        <v>266</v>
      </c>
      <c r="D22" s="27"/>
      <c r="E22" s="27"/>
      <c r="F22" s="27"/>
      <c r="G22" s="27"/>
      <c r="H22" s="27"/>
      <c r="I22" s="27"/>
      <c r="J22" s="27"/>
      <c r="K22" s="27"/>
      <c r="L22" s="148"/>
      <c r="M22" s="365"/>
      <c r="N22" s="434"/>
      <c r="O22" s="608"/>
      <c r="P22" s="618"/>
      <c r="Q22" s="608"/>
      <c r="R22" s="608" t="s">
        <v>267</v>
      </c>
      <c r="S22" s="608"/>
      <c r="T22" s="608"/>
      <c r="U22" s="611"/>
      <c r="V22" s="608"/>
      <c r="W22" s="614"/>
      <c r="X22" s="615"/>
      <c r="Y22" s="611"/>
      <c r="Z22" s="615"/>
      <c r="AA22" s="438"/>
    </row>
    <row r="23" spans="1:27" x14ac:dyDescent="0.3">
      <c r="A23" s="365"/>
      <c r="B23" s="624"/>
      <c r="C23" s="150"/>
      <c r="D23" s="27"/>
      <c r="E23" s="27"/>
      <c r="F23" s="27"/>
      <c r="G23" s="27"/>
      <c r="H23" s="27"/>
      <c r="I23" s="27"/>
      <c r="J23" s="27"/>
      <c r="K23" s="27"/>
      <c r="L23" s="148"/>
      <c r="M23" s="365"/>
      <c r="N23" s="434"/>
      <c r="O23" s="608"/>
      <c r="P23" s="608"/>
      <c r="Q23" s="608"/>
      <c r="R23" s="608"/>
      <c r="S23" s="608"/>
      <c r="T23" s="608"/>
      <c r="U23" s="608"/>
      <c r="V23" s="608"/>
      <c r="W23" s="608"/>
      <c r="X23" s="608"/>
      <c r="Y23" s="608"/>
      <c r="Z23" s="608"/>
      <c r="AA23" s="402"/>
    </row>
    <row r="24" spans="1:27" x14ac:dyDescent="0.3">
      <c r="A24" s="365"/>
      <c r="B24" s="624"/>
      <c r="C24" s="150"/>
      <c r="D24" s="96"/>
      <c r="E24" s="27" t="s">
        <v>295</v>
      </c>
      <c r="F24" s="27"/>
      <c r="G24" s="27"/>
      <c r="H24" s="27"/>
      <c r="I24" s="27"/>
      <c r="J24" s="27"/>
      <c r="K24" s="27"/>
      <c r="L24" s="148"/>
      <c r="M24" s="365"/>
      <c r="N24" s="434"/>
      <c r="O24" s="608"/>
      <c r="P24" s="618">
        <v>3</v>
      </c>
      <c r="Q24" s="608" t="s">
        <v>268</v>
      </c>
      <c r="R24" s="608"/>
      <c r="S24" s="608"/>
      <c r="T24" s="608"/>
      <c r="U24" s="611"/>
      <c r="V24" s="608"/>
      <c r="W24" s="614">
        <v>15</v>
      </c>
      <c r="X24" s="608"/>
      <c r="Y24" s="608"/>
      <c r="Z24" s="608"/>
      <c r="AA24" s="402"/>
    </row>
    <row r="25" spans="1:27" x14ac:dyDescent="0.3">
      <c r="A25" s="365"/>
      <c r="B25" s="624"/>
      <c r="C25" s="150"/>
      <c r="D25" s="118" t="e">
        <f>ROUNDUP(D24/'TRAFFIC &amp; ACCIDENTS'!D12,0)</f>
        <v>#DIV/0!</v>
      </c>
      <c r="E25" s="27" t="s">
        <v>269</v>
      </c>
      <c r="F25" s="27"/>
      <c r="G25" s="380"/>
      <c r="H25" s="154" t="s">
        <v>270</v>
      </c>
      <c r="I25" s="27"/>
      <c r="J25" s="27"/>
      <c r="K25" s="27"/>
      <c r="L25" s="148"/>
      <c r="M25" s="365"/>
      <c r="N25" s="434"/>
      <c r="O25" s="608"/>
      <c r="P25" s="618"/>
      <c r="Q25" s="615" t="s">
        <v>271</v>
      </c>
      <c r="R25" s="608" t="s">
        <v>272</v>
      </c>
      <c r="S25" s="608"/>
      <c r="T25" s="608"/>
      <c r="U25" s="608"/>
      <c r="V25" s="608" t="s">
        <v>273</v>
      </c>
      <c r="W25" s="608"/>
      <c r="X25" s="608"/>
      <c r="Y25" s="608"/>
      <c r="Z25" s="608"/>
      <c r="AA25" s="439"/>
    </row>
    <row r="26" spans="1:27" x14ac:dyDescent="0.3">
      <c r="A26" s="365"/>
      <c r="B26" s="624"/>
      <c r="C26" s="150"/>
      <c r="D26" s="27"/>
      <c r="E26" s="27"/>
      <c r="F26" s="27"/>
      <c r="G26" s="27"/>
      <c r="H26" s="27"/>
      <c r="I26" s="27"/>
      <c r="J26" s="27"/>
      <c r="K26" s="27"/>
      <c r="L26" s="148"/>
      <c r="M26" s="365"/>
      <c r="N26" s="381"/>
      <c r="O26" s="608"/>
      <c r="P26" s="618"/>
      <c r="Q26" s="608"/>
      <c r="R26" s="619" t="s">
        <v>274</v>
      </c>
      <c r="S26" s="608"/>
      <c r="T26" s="608"/>
      <c r="U26" s="608"/>
      <c r="V26" s="608"/>
      <c r="W26" s="608"/>
      <c r="X26" s="608"/>
      <c r="Y26" s="608"/>
      <c r="Z26" s="608"/>
      <c r="AA26" s="439"/>
    </row>
    <row r="27" spans="1:27" x14ac:dyDescent="0.3">
      <c r="A27" s="365"/>
      <c r="B27" s="137"/>
      <c r="C27" s="27"/>
      <c r="D27" s="68"/>
      <c r="E27" s="27"/>
      <c r="F27" s="68" t="s">
        <v>275</v>
      </c>
      <c r="G27" s="27"/>
      <c r="H27" s="27" t="s">
        <v>276</v>
      </c>
      <c r="I27" s="27"/>
      <c r="J27" s="27"/>
      <c r="K27" s="27"/>
      <c r="L27" s="148"/>
      <c r="M27" s="365"/>
      <c r="N27" s="381"/>
      <c r="O27" s="608"/>
      <c r="P27" s="618"/>
      <c r="Q27" s="608"/>
      <c r="R27" s="619" t="s">
        <v>277</v>
      </c>
      <c r="S27" s="608"/>
      <c r="T27" s="608"/>
      <c r="U27" s="608"/>
      <c r="V27" s="608"/>
      <c r="W27" s="614"/>
      <c r="X27" s="608"/>
      <c r="Y27" s="608"/>
      <c r="Z27" s="608"/>
      <c r="AA27" s="365"/>
    </row>
    <row r="28" spans="1:27" x14ac:dyDescent="0.3">
      <c r="A28" s="365"/>
      <c r="B28" s="137"/>
      <c r="C28" s="736"/>
      <c r="D28" s="360"/>
      <c r="E28" s="218" t="s">
        <v>278</v>
      </c>
      <c r="F28" s="124" t="str">
        <f>IF(D28&lt;&gt;"",5,"")</f>
        <v/>
      </c>
      <c r="G28" s="155" t="str">
        <f>IF(F28="","",1)</f>
        <v/>
      </c>
      <c r="H28" s="27" t="s">
        <v>279</v>
      </c>
      <c r="I28" s="27"/>
      <c r="J28" s="27"/>
      <c r="K28" s="27"/>
      <c r="L28" s="148"/>
      <c r="M28" s="365"/>
      <c r="N28" s="381"/>
      <c r="O28" s="608"/>
      <c r="P28" s="618"/>
      <c r="Q28" s="608"/>
      <c r="R28" s="619" t="s">
        <v>280</v>
      </c>
      <c r="S28" s="608"/>
      <c r="T28" s="608"/>
      <c r="U28" s="608"/>
      <c r="V28" s="611"/>
      <c r="W28" s="614"/>
      <c r="X28" s="611"/>
      <c r="Y28" s="608"/>
      <c r="Z28" s="608"/>
      <c r="AA28" s="365"/>
    </row>
    <row r="29" spans="1:27" x14ac:dyDescent="0.3">
      <c r="A29" s="365"/>
      <c r="B29" s="137"/>
      <c r="C29" s="736"/>
      <c r="D29" s="360"/>
      <c r="E29" s="218" t="s">
        <v>281</v>
      </c>
      <c r="F29" s="124" t="str">
        <f>IF(D29&lt;&gt;"",10,"")</f>
        <v/>
      </c>
      <c r="G29" s="155" t="str">
        <f>IF(F29="","",1)</f>
        <v/>
      </c>
      <c r="H29" s="96"/>
      <c r="I29" s="27"/>
      <c r="J29" s="27" t="s">
        <v>4</v>
      </c>
      <c r="K29" s="27"/>
      <c r="L29" s="148"/>
      <c r="M29" s="365"/>
      <c r="N29" s="381"/>
      <c r="O29" s="608"/>
      <c r="P29" s="618"/>
      <c r="Q29" s="608"/>
      <c r="R29" s="608"/>
      <c r="S29" s="608"/>
      <c r="T29" s="608"/>
      <c r="U29" s="608"/>
      <c r="V29" s="611"/>
      <c r="W29" s="608"/>
      <c r="X29" s="611"/>
      <c r="Y29" s="608"/>
      <c r="Z29" s="608"/>
      <c r="AA29" s="365"/>
    </row>
    <row r="30" spans="1:27" x14ac:dyDescent="0.3">
      <c r="A30" s="365"/>
      <c r="B30" s="137"/>
      <c r="C30" s="736"/>
      <c r="D30" s="360"/>
      <c r="E30" s="84" t="s">
        <v>282</v>
      </c>
      <c r="F30" s="123" t="str">
        <f>IF(D30&lt;&gt;"",12,"")</f>
        <v/>
      </c>
      <c r="G30" s="155" t="str">
        <f>IF(F30="","",1)</f>
        <v/>
      </c>
      <c r="H30" s="125"/>
      <c r="I30" s="66"/>
      <c r="J30" s="66" t="s">
        <v>272</v>
      </c>
      <c r="K30" s="27"/>
      <c r="L30" s="148"/>
      <c r="M30" s="365"/>
      <c r="N30" s="381"/>
      <c r="O30" s="608"/>
      <c r="P30" s="618"/>
      <c r="Q30" s="615" t="s">
        <v>283</v>
      </c>
      <c r="R30" s="608" t="s">
        <v>284</v>
      </c>
      <c r="S30" s="608"/>
      <c r="T30" s="608"/>
      <c r="U30" s="608"/>
      <c r="V30" s="611"/>
      <c r="W30" s="614"/>
      <c r="X30" s="611"/>
      <c r="Y30" s="608"/>
      <c r="Z30" s="608"/>
      <c r="AA30" s="365"/>
    </row>
    <row r="31" spans="1:27" x14ac:dyDescent="0.3">
      <c r="A31" s="365"/>
      <c r="B31" s="137"/>
      <c r="C31" s="27"/>
      <c r="D31" s="57"/>
      <c r="E31" s="27"/>
      <c r="F31" s="66">
        <f>IF(G31&gt;1,0,SUM(F28:F30))</f>
        <v>0</v>
      </c>
      <c r="G31" s="155">
        <f>SUM(G28:G30)</f>
        <v>0</v>
      </c>
      <c r="H31" s="57">
        <f>IF(H29&gt;3,3,H29)</f>
        <v>0</v>
      </c>
      <c r="I31" s="27"/>
      <c r="J31" s="59">
        <f>IF(SUM(F31,H31)&gt;15,15,SUM(F31,H31))</f>
        <v>0</v>
      </c>
      <c r="K31" s="99" t="s">
        <v>469</v>
      </c>
      <c r="L31" s="144"/>
      <c r="M31" s="381"/>
      <c r="N31" s="381"/>
      <c r="O31" s="608"/>
      <c r="P31" s="618"/>
      <c r="Q31" s="608"/>
      <c r="R31" s="608"/>
      <c r="S31" s="608"/>
      <c r="T31" s="608"/>
      <c r="U31" s="608"/>
      <c r="V31" s="611"/>
      <c r="W31" s="608"/>
      <c r="X31" s="611"/>
      <c r="Y31" s="608"/>
      <c r="Z31" s="608"/>
      <c r="AA31" s="365"/>
    </row>
    <row r="32" spans="1:27" x14ac:dyDescent="0.3">
      <c r="A32" s="365"/>
      <c r="B32" s="137"/>
      <c r="C32" s="27"/>
      <c r="D32" s="27"/>
      <c r="E32" s="27"/>
      <c r="F32" s="27"/>
      <c r="G32" s="57"/>
      <c r="H32" s="66"/>
      <c r="I32" s="27"/>
      <c r="J32" s="57"/>
      <c r="K32" s="66"/>
      <c r="L32" s="143"/>
      <c r="M32" s="435"/>
      <c r="N32" s="381"/>
      <c r="O32" s="608"/>
      <c r="P32" s="618"/>
      <c r="Q32" s="608"/>
      <c r="R32" s="608"/>
      <c r="S32" s="608"/>
      <c r="T32" s="608"/>
      <c r="U32" s="608"/>
      <c r="V32" s="608"/>
      <c r="W32" s="614"/>
      <c r="X32" s="608"/>
      <c r="Y32" s="608"/>
      <c r="Z32" s="608"/>
      <c r="AA32" s="439"/>
    </row>
    <row r="33" spans="1:28" x14ac:dyDescent="0.3">
      <c r="A33" s="365"/>
      <c r="B33" s="624">
        <v>4</v>
      </c>
      <c r="C33" s="150" t="s">
        <v>285</v>
      </c>
      <c r="D33" s="27"/>
      <c r="E33" s="27"/>
      <c r="F33" s="27"/>
      <c r="G33" s="57"/>
      <c r="H33" s="66"/>
      <c r="I33" s="27"/>
      <c r="J33" s="57"/>
      <c r="K33" s="66"/>
      <c r="L33" s="143"/>
      <c r="M33" s="435"/>
      <c r="N33" s="381"/>
      <c r="O33" s="608"/>
      <c r="P33" s="618">
        <v>4</v>
      </c>
      <c r="Q33" s="608" t="s">
        <v>244</v>
      </c>
      <c r="R33" s="620"/>
      <c r="S33" s="611"/>
      <c r="T33" s="608"/>
      <c r="U33" s="611"/>
      <c r="V33" s="608"/>
      <c r="W33" s="614">
        <v>5</v>
      </c>
      <c r="X33" s="608"/>
      <c r="Y33" s="608"/>
      <c r="Z33" s="608"/>
      <c r="AA33" s="367"/>
    </row>
    <row r="34" spans="1:28" x14ac:dyDescent="0.3">
      <c r="A34" s="365"/>
      <c r="B34" s="624"/>
      <c r="C34" s="150"/>
      <c r="D34" s="27"/>
      <c r="E34" s="27"/>
      <c r="F34" s="27"/>
      <c r="G34" s="57"/>
      <c r="H34" s="66"/>
      <c r="I34" s="27"/>
      <c r="J34" s="57"/>
      <c r="K34" s="66"/>
      <c r="L34" s="143"/>
      <c r="M34" s="435"/>
      <c r="N34" s="381"/>
      <c r="O34" s="608"/>
      <c r="P34" s="615"/>
      <c r="Q34" s="608"/>
      <c r="R34" s="608" t="s">
        <v>286</v>
      </c>
      <c r="S34" s="611"/>
      <c r="T34" s="608"/>
      <c r="U34" s="611"/>
      <c r="V34" s="608"/>
      <c r="W34" s="614"/>
      <c r="X34" s="608"/>
      <c r="Y34" s="608"/>
      <c r="Z34" s="608"/>
      <c r="AA34" s="367"/>
    </row>
    <row r="35" spans="1:28" x14ac:dyDescent="0.3">
      <c r="A35" s="365"/>
      <c r="B35" s="137"/>
      <c r="C35" s="96"/>
      <c r="D35" s="27" t="s">
        <v>287</v>
      </c>
      <c r="E35" s="27"/>
      <c r="F35" s="27"/>
      <c r="G35" s="57"/>
      <c r="H35" s="66"/>
      <c r="I35" s="27"/>
      <c r="J35" s="57"/>
      <c r="K35" s="66"/>
      <c r="L35" s="143"/>
      <c r="M35" s="435"/>
      <c r="N35" s="381"/>
      <c r="O35" s="608"/>
      <c r="P35" s="615"/>
      <c r="Q35" s="608"/>
      <c r="R35" s="608" t="s">
        <v>288</v>
      </c>
      <c r="S35" s="611"/>
      <c r="T35" s="608"/>
      <c r="U35" s="611"/>
      <c r="V35" s="608"/>
      <c r="W35" s="608"/>
      <c r="X35" s="608"/>
      <c r="Y35" s="608"/>
      <c r="Z35" s="608"/>
      <c r="AA35" s="367"/>
    </row>
    <row r="36" spans="1:28" x14ac:dyDescent="0.3">
      <c r="A36" s="365"/>
      <c r="B36" s="137"/>
      <c r="C36" s="57"/>
      <c r="D36" s="27"/>
      <c r="E36" s="27"/>
      <c r="F36" s="27"/>
      <c r="G36" s="57"/>
      <c r="H36" s="66"/>
      <c r="I36" s="27"/>
      <c r="J36" s="57"/>
      <c r="K36" s="66"/>
      <c r="L36" s="143"/>
      <c r="M36" s="435"/>
      <c r="N36" s="381"/>
      <c r="O36" s="608"/>
      <c r="P36" s="608"/>
      <c r="Q36" s="610"/>
      <c r="R36" s="608"/>
      <c r="S36" s="610"/>
      <c r="T36" s="610"/>
      <c r="U36" s="610"/>
      <c r="V36" s="610"/>
      <c r="W36" s="610"/>
      <c r="X36" s="608"/>
      <c r="Y36" s="608"/>
      <c r="Z36" s="608"/>
      <c r="AA36" s="365"/>
    </row>
    <row r="37" spans="1:28" x14ac:dyDescent="0.3">
      <c r="A37" s="365"/>
      <c r="B37" s="137"/>
      <c r="C37" s="27"/>
      <c r="D37" s="27"/>
      <c r="E37" s="27"/>
      <c r="F37" s="27"/>
      <c r="G37" s="27"/>
      <c r="H37" s="27"/>
      <c r="I37" s="57"/>
      <c r="J37" s="57"/>
      <c r="K37" s="66"/>
      <c r="L37" s="143"/>
      <c r="M37" s="435"/>
      <c r="N37" s="381"/>
      <c r="O37" s="608"/>
      <c r="P37" s="608"/>
      <c r="Q37" s="610"/>
      <c r="R37" s="610"/>
      <c r="S37" s="610"/>
      <c r="T37" s="610"/>
      <c r="U37" s="610"/>
      <c r="V37" s="610"/>
      <c r="W37" s="614">
        <f>SUM(W12,W19,W24,W33)</f>
        <v>50</v>
      </c>
      <c r="X37" s="608" t="s">
        <v>289</v>
      </c>
      <c r="Y37" s="608"/>
      <c r="Z37" s="608"/>
      <c r="AA37" s="365"/>
    </row>
    <row r="38" spans="1:28" ht="13.5" thickBot="1" x14ac:dyDescent="0.35">
      <c r="A38" s="365"/>
      <c r="B38" s="318"/>
      <c r="C38" s="319"/>
      <c r="D38" s="319"/>
      <c r="E38" s="319"/>
      <c r="F38" s="319"/>
      <c r="G38" s="319"/>
      <c r="H38" s="319"/>
      <c r="I38" s="319"/>
      <c r="J38" s="319"/>
      <c r="K38" s="319"/>
      <c r="L38" s="320"/>
      <c r="M38" s="402"/>
      <c r="N38" s="381"/>
      <c r="O38" s="608"/>
      <c r="P38" s="615"/>
      <c r="Q38" s="608"/>
      <c r="R38" s="608"/>
      <c r="S38" s="608"/>
      <c r="T38" s="608"/>
      <c r="U38" s="611"/>
      <c r="V38" s="608"/>
      <c r="W38" s="614"/>
      <c r="X38" s="608"/>
      <c r="Y38" s="608"/>
      <c r="Z38" s="608"/>
      <c r="AA38" s="402"/>
    </row>
    <row r="39" spans="1:28" x14ac:dyDescent="0.3">
      <c r="A39" s="365"/>
      <c r="B39" s="365"/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402"/>
      <c r="O39" s="365"/>
      <c r="P39" s="365"/>
      <c r="Q39" s="365"/>
      <c r="R39" s="365"/>
      <c r="S39" s="365"/>
      <c r="T39" s="365"/>
      <c r="U39" s="365"/>
      <c r="V39" s="435"/>
      <c r="W39" s="365"/>
      <c r="X39" s="365"/>
      <c r="Y39" s="365"/>
      <c r="Z39" s="365"/>
      <c r="AA39" s="365"/>
      <c r="AB39" s="365"/>
    </row>
  </sheetData>
  <sheetProtection password="EC65" sheet="1" selectLockedCells="1"/>
  <mergeCells count="2">
    <mergeCell ref="C28:C30"/>
    <mergeCell ref="G4:K4"/>
  </mergeCells>
  <conditionalFormatting sqref="D28">
    <cfRule type="expression" dxfId="10" priority="1" stopIfTrue="1">
      <formula>ISERROR(D25)</formula>
    </cfRule>
  </conditionalFormatting>
  <conditionalFormatting sqref="D29">
    <cfRule type="expression" dxfId="9" priority="2" stopIfTrue="1">
      <formula>ISERROR(D25)</formula>
    </cfRule>
  </conditionalFormatting>
  <conditionalFormatting sqref="D30">
    <cfRule type="expression" dxfId="8" priority="3" stopIfTrue="1">
      <formula>ISERROR(D25)</formula>
    </cfRule>
  </conditionalFormatting>
  <conditionalFormatting sqref="F28">
    <cfRule type="expression" dxfId="7" priority="4" stopIfTrue="1">
      <formula>ISERROR(D25)</formula>
    </cfRule>
  </conditionalFormatting>
  <conditionalFormatting sqref="F29">
    <cfRule type="expression" dxfId="6" priority="5" stopIfTrue="1">
      <formula>ISERROR(D25)</formula>
    </cfRule>
  </conditionalFormatting>
  <conditionalFormatting sqref="F30">
    <cfRule type="expression" dxfId="5" priority="6" stopIfTrue="1">
      <formula>ISERROR(D25)</formula>
    </cfRule>
  </conditionalFormatting>
  <conditionalFormatting sqref="F31">
    <cfRule type="expression" dxfId="4" priority="7" stopIfTrue="1">
      <formula>ISERROR(D25)</formula>
    </cfRule>
  </conditionalFormatting>
  <conditionalFormatting sqref="J31">
    <cfRule type="expression" dxfId="3" priority="8" stopIfTrue="1">
      <formula>ISERROR(D25)</formula>
    </cfRule>
  </conditionalFormatting>
  <conditionalFormatting sqref="N12:N25">
    <cfRule type="expression" dxfId="2" priority="9" stopIfTrue="1">
      <formula>ISERROR(#REF!)</formula>
    </cfRule>
  </conditionalFormatting>
  <conditionalFormatting sqref="C14 E14">
    <cfRule type="expression" dxfId="1" priority="10" stopIfTrue="1">
      <formula>ISERROR($C$103)</formula>
    </cfRule>
  </conditionalFormatting>
  <conditionalFormatting sqref="D25">
    <cfRule type="expression" dxfId="0" priority="11" stopIfTrue="1">
      <formula>ISERROR(D25)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32"/>
  <sheetViews>
    <sheetView showGridLines="0" workbookViewId="0">
      <selection activeCell="B17" sqref="B17:G17"/>
    </sheetView>
  </sheetViews>
  <sheetFormatPr defaultColWidth="9.1796875" defaultRowHeight="13" x14ac:dyDescent="0.3"/>
  <cols>
    <col min="1" max="16384" width="9.1796875" style="210"/>
  </cols>
  <sheetData>
    <row r="3" spans="1:14" s="207" customFormat="1" ht="12.75" customHeight="1" x14ac:dyDescent="0.3">
      <c r="A3" s="744"/>
      <c r="B3" s="749" t="s">
        <v>463</v>
      </c>
      <c r="C3" s="749"/>
      <c r="D3" s="749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1:14" s="207" customFormat="1" ht="12.75" customHeight="1" thickBot="1" x14ac:dyDescent="0.35">
      <c r="A4" s="744"/>
      <c r="B4" s="750"/>
      <c r="C4" s="750"/>
      <c r="D4" s="750"/>
      <c r="E4" s="324"/>
      <c r="F4" s="324"/>
      <c r="G4" s="324"/>
      <c r="H4" s="324"/>
      <c r="I4" s="324"/>
      <c r="J4" s="324"/>
      <c r="K4" s="324"/>
      <c r="L4" s="324"/>
      <c r="M4" s="324"/>
      <c r="N4" s="324"/>
    </row>
    <row r="5" spans="1:14" s="207" customFormat="1" ht="12.75" customHeight="1" x14ac:dyDescent="0.35">
      <c r="A5" s="744"/>
      <c r="B5" s="325" t="s">
        <v>462</v>
      </c>
      <c r="C5" s="326"/>
      <c r="D5" s="327"/>
      <c r="E5" s="327"/>
      <c r="F5" s="327"/>
      <c r="G5" s="327"/>
      <c r="H5" s="327"/>
      <c r="I5" s="327"/>
      <c r="J5" s="327"/>
      <c r="K5" s="328"/>
      <c r="L5" s="328"/>
      <c r="M5" s="328"/>
      <c r="N5" s="212"/>
    </row>
    <row r="6" spans="1:14" s="207" customFormat="1" ht="12.75" customHeight="1" x14ac:dyDescent="0.3">
      <c r="A6" s="744"/>
      <c r="B6" s="745" t="s">
        <v>449</v>
      </c>
      <c r="C6" s="746"/>
      <c r="D6" s="746"/>
      <c r="E6" s="746"/>
      <c r="F6" s="746"/>
      <c r="G6" s="99"/>
      <c r="H6" s="99"/>
      <c r="I6" s="99"/>
      <c r="J6" s="99"/>
      <c r="K6" s="308"/>
      <c r="L6" s="308"/>
      <c r="M6" s="308"/>
      <c r="N6" s="309"/>
    </row>
    <row r="7" spans="1:14" s="207" customFormat="1" ht="12.75" customHeight="1" x14ac:dyDescent="0.3">
      <c r="A7" s="744"/>
      <c r="B7" s="745"/>
      <c r="C7" s="746"/>
      <c r="D7" s="746"/>
      <c r="E7" s="746"/>
      <c r="F7" s="746"/>
      <c r="G7" s="99"/>
      <c r="H7" s="99"/>
      <c r="I7" s="99"/>
      <c r="J7" s="99"/>
      <c r="K7" s="308"/>
      <c r="L7" s="308"/>
      <c r="M7" s="308"/>
      <c r="N7" s="309"/>
    </row>
    <row r="8" spans="1:14" s="207" customFormat="1" ht="12.75" customHeight="1" x14ac:dyDescent="0.3">
      <c r="A8" s="744"/>
      <c r="B8" s="747" t="s">
        <v>461</v>
      </c>
      <c r="C8" s="748"/>
      <c r="D8" s="748"/>
      <c r="E8" s="748"/>
      <c r="F8" s="748"/>
      <c r="G8" s="748"/>
      <c r="H8" s="748"/>
      <c r="I8" s="748"/>
      <c r="J8" s="748"/>
      <c r="K8" s="748"/>
      <c r="L8" s="308"/>
      <c r="M8" s="308"/>
      <c r="N8" s="309"/>
    </row>
    <row r="9" spans="1:14" s="207" customFormat="1" ht="12.75" customHeight="1" x14ac:dyDescent="0.3">
      <c r="A9" s="744"/>
      <c r="B9" s="330" t="s">
        <v>459</v>
      </c>
      <c r="C9" s="66"/>
      <c r="D9" s="99"/>
      <c r="E9" s="99"/>
      <c r="F9" s="99"/>
      <c r="G9" s="99"/>
      <c r="H9" s="99"/>
      <c r="I9" s="99"/>
      <c r="J9" s="99"/>
      <c r="K9" s="308"/>
      <c r="L9" s="308"/>
      <c r="M9" s="308"/>
      <c r="N9" s="310"/>
    </row>
    <row r="10" spans="1:14" s="207" customFormat="1" ht="12.75" customHeight="1" x14ac:dyDescent="0.3">
      <c r="A10" s="744"/>
      <c r="B10" s="330" t="s">
        <v>460</v>
      </c>
      <c r="C10" s="66"/>
      <c r="D10" s="99"/>
      <c r="E10" s="99"/>
      <c r="F10" s="99"/>
      <c r="G10" s="99"/>
      <c r="H10" s="99"/>
      <c r="I10" s="99"/>
      <c r="J10" s="99"/>
      <c r="K10" s="308"/>
      <c r="L10" s="308"/>
      <c r="M10" s="308"/>
      <c r="N10" s="310"/>
    </row>
    <row r="11" spans="1:14" s="207" customFormat="1" ht="12.75" customHeight="1" x14ac:dyDescent="0.3">
      <c r="A11" s="744"/>
      <c r="B11" s="330"/>
      <c r="C11" s="66"/>
      <c r="D11" s="99"/>
      <c r="E11" s="99"/>
      <c r="F11" s="99"/>
      <c r="G11" s="99"/>
      <c r="H11" s="99"/>
      <c r="I11" s="99"/>
      <c r="J11" s="99"/>
      <c r="K11" s="308"/>
      <c r="L11" s="308"/>
      <c r="M11" s="308"/>
      <c r="N11" s="310"/>
    </row>
    <row r="12" spans="1:14" s="207" customFormat="1" ht="12.75" customHeight="1" x14ac:dyDescent="0.3">
      <c r="A12" s="744"/>
      <c r="B12" s="330"/>
      <c r="C12" s="27"/>
      <c r="D12" s="27"/>
      <c r="E12" s="27"/>
      <c r="F12" s="99"/>
      <c r="G12" s="743" t="s">
        <v>465</v>
      </c>
      <c r="H12" s="743"/>
      <c r="I12" s="743"/>
      <c r="J12" s="332"/>
      <c r="K12" s="308"/>
      <c r="L12" s="308"/>
      <c r="M12" s="308"/>
      <c r="N12" s="310"/>
    </row>
    <row r="13" spans="1:14" s="207" customFormat="1" ht="12.75" customHeight="1" x14ac:dyDescent="0.3">
      <c r="A13" s="744"/>
      <c r="B13" s="747" t="s">
        <v>467</v>
      </c>
      <c r="C13" s="748"/>
      <c r="D13" s="748"/>
      <c r="E13" s="748"/>
      <c r="F13" s="748"/>
      <c r="G13" s="743"/>
      <c r="H13" s="743"/>
      <c r="I13" s="743"/>
      <c r="J13" s="332"/>
      <c r="K13" s="308"/>
      <c r="L13" s="308"/>
      <c r="M13" s="308"/>
      <c r="N13" s="310"/>
    </row>
    <row r="14" spans="1:14" s="207" customFormat="1" ht="12.75" customHeight="1" thickBot="1" x14ac:dyDescent="0.35">
      <c r="A14" s="744"/>
      <c r="B14" s="747"/>
      <c r="C14" s="748"/>
      <c r="D14" s="748"/>
      <c r="E14" s="748"/>
      <c r="F14" s="748"/>
      <c r="G14" s="99"/>
      <c r="H14" s="332"/>
      <c r="I14" s="332"/>
      <c r="J14" s="332"/>
      <c r="K14" s="308"/>
      <c r="L14" s="308"/>
      <c r="M14" s="308"/>
      <c r="N14" s="310"/>
    </row>
    <row r="15" spans="1:14" s="207" customFormat="1" ht="12.75" customHeight="1" thickBot="1" x14ac:dyDescent="0.4">
      <c r="A15" s="744"/>
      <c r="B15" s="330"/>
      <c r="C15" s="99"/>
      <c r="D15" s="99"/>
      <c r="E15" s="99"/>
      <c r="F15" s="99"/>
      <c r="G15" s="99"/>
      <c r="H15" s="99"/>
      <c r="I15" s="99"/>
      <c r="J15" s="334" t="s">
        <v>451</v>
      </c>
      <c r="K15" s="753" t="s">
        <v>452</v>
      </c>
      <c r="L15" s="753"/>
      <c r="M15" s="754"/>
      <c r="N15" s="315"/>
    </row>
    <row r="16" spans="1:14" s="207" customFormat="1" ht="12.75" customHeight="1" thickBot="1" x14ac:dyDescent="0.4">
      <c r="A16" s="744"/>
      <c r="B16" s="335" t="s">
        <v>450</v>
      </c>
      <c r="C16" s="336"/>
      <c r="D16" s="336"/>
      <c r="E16" s="336"/>
      <c r="F16" s="336"/>
      <c r="G16" s="337"/>
      <c r="H16" s="338" t="s">
        <v>451</v>
      </c>
      <c r="I16" s="339"/>
      <c r="J16" s="340"/>
      <c r="K16" s="755"/>
      <c r="L16" s="755"/>
      <c r="M16" s="756"/>
      <c r="N16" s="315"/>
    </row>
    <row r="17" spans="1:14" s="207" customFormat="1" ht="12.75" customHeight="1" x14ac:dyDescent="0.35">
      <c r="A17" s="744"/>
      <c r="B17" s="738"/>
      <c r="C17" s="759"/>
      <c r="D17" s="759"/>
      <c r="E17" s="759"/>
      <c r="F17" s="759"/>
      <c r="G17" s="760"/>
      <c r="H17" s="316">
        <v>1</v>
      </c>
      <c r="I17" s="341"/>
      <c r="J17" s="342" t="s">
        <v>453</v>
      </c>
      <c r="K17" s="757">
        <v>10</v>
      </c>
      <c r="L17" s="758"/>
      <c r="M17" s="758"/>
      <c r="N17" s="315"/>
    </row>
    <row r="18" spans="1:14" s="207" customFormat="1" ht="12.75" customHeight="1" x14ac:dyDescent="0.35">
      <c r="A18" s="744"/>
      <c r="B18" s="738"/>
      <c r="C18" s="759"/>
      <c r="D18" s="759"/>
      <c r="E18" s="759"/>
      <c r="F18" s="759"/>
      <c r="G18" s="760"/>
      <c r="H18" s="316">
        <v>1</v>
      </c>
      <c r="I18" s="341"/>
      <c r="J18" s="343" t="s">
        <v>454</v>
      </c>
      <c r="K18" s="741">
        <v>8</v>
      </c>
      <c r="L18" s="742"/>
      <c r="M18" s="742"/>
      <c r="N18" s="315"/>
    </row>
    <row r="19" spans="1:14" s="207" customFormat="1" ht="12.75" customHeight="1" x14ac:dyDescent="0.35">
      <c r="A19" s="744"/>
      <c r="B19" s="738"/>
      <c r="C19" s="739"/>
      <c r="D19" s="739"/>
      <c r="E19" s="739"/>
      <c r="F19" s="739"/>
      <c r="G19" s="740"/>
      <c r="H19" s="316">
        <v>1</v>
      </c>
      <c r="I19" s="341"/>
      <c r="J19" s="343" t="s">
        <v>455</v>
      </c>
      <c r="K19" s="741">
        <v>6</v>
      </c>
      <c r="L19" s="742"/>
      <c r="M19" s="742"/>
      <c r="N19" s="315"/>
    </row>
    <row r="20" spans="1:14" s="207" customFormat="1" ht="12.75" customHeight="1" x14ac:dyDescent="0.35">
      <c r="A20" s="744"/>
      <c r="B20" s="738"/>
      <c r="C20" s="739"/>
      <c r="D20" s="739"/>
      <c r="E20" s="739"/>
      <c r="F20" s="739"/>
      <c r="G20" s="740"/>
      <c r="H20" s="317">
        <v>1</v>
      </c>
      <c r="I20" s="341"/>
      <c r="J20" s="343" t="s">
        <v>486</v>
      </c>
      <c r="K20" s="741">
        <v>4</v>
      </c>
      <c r="L20" s="742"/>
      <c r="M20" s="742"/>
      <c r="N20" s="315"/>
    </row>
    <row r="21" spans="1:14" s="207" customFormat="1" ht="12.75" customHeight="1" thickBot="1" x14ac:dyDescent="0.4">
      <c r="A21" s="744"/>
      <c r="B21" s="738"/>
      <c r="C21" s="739"/>
      <c r="D21" s="739"/>
      <c r="E21" s="739"/>
      <c r="F21" s="739"/>
      <c r="G21" s="740"/>
      <c r="H21" s="317">
        <v>1</v>
      </c>
      <c r="I21" s="341"/>
      <c r="J21" s="344" t="s">
        <v>456</v>
      </c>
      <c r="K21" s="751">
        <v>2</v>
      </c>
      <c r="L21" s="752"/>
      <c r="M21" s="752"/>
      <c r="N21" s="315"/>
    </row>
    <row r="22" spans="1:14" s="207" customFormat="1" ht="12.75" customHeight="1" x14ac:dyDescent="0.35">
      <c r="A22" s="744"/>
      <c r="B22" s="738"/>
      <c r="C22" s="739"/>
      <c r="D22" s="739"/>
      <c r="E22" s="739"/>
      <c r="F22" s="739"/>
      <c r="G22" s="740"/>
      <c r="H22" s="317">
        <v>1</v>
      </c>
      <c r="I22" s="341"/>
      <c r="J22" s="331"/>
      <c r="K22" s="345"/>
      <c r="L22" s="345"/>
      <c r="M22" s="308"/>
      <c r="N22" s="313"/>
    </row>
    <row r="23" spans="1:14" s="207" customFormat="1" ht="12.75" customHeight="1" x14ac:dyDescent="0.35">
      <c r="A23" s="744"/>
      <c r="B23" s="738"/>
      <c r="C23" s="739"/>
      <c r="D23" s="739"/>
      <c r="E23" s="739"/>
      <c r="F23" s="739"/>
      <c r="G23" s="740"/>
      <c r="H23" s="317">
        <v>1</v>
      </c>
      <c r="I23" s="341"/>
      <c r="J23" s="346"/>
      <c r="K23" s="345"/>
      <c r="L23" s="345"/>
      <c r="M23" s="308"/>
      <c r="N23" s="313"/>
    </row>
    <row r="24" spans="1:14" s="207" customFormat="1" ht="12.75" customHeight="1" x14ac:dyDescent="0.35">
      <c r="A24" s="744"/>
      <c r="B24" s="738"/>
      <c r="C24" s="739"/>
      <c r="D24" s="739"/>
      <c r="E24" s="739"/>
      <c r="F24" s="739"/>
      <c r="G24" s="740"/>
      <c r="H24" s="317">
        <v>1</v>
      </c>
      <c r="I24" s="347"/>
      <c r="J24" s="348" t="s">
        <v>464</v>
      </c>
      <c r="K24" s="345"/>
      <c r="L24" s="345"/>
      <c r="M24" s="308"/>
      <c r="N24" s="313"/>
    </row>
    <row r="25" spans="1:14" s="207" customFormat="1" ht="12.75" customHeight="1" x14ac:dyDescent="0.35">
      <c r="A25" s="744"/>
      <c r="B25" s="738"/>
      <c r="C25" s="739"/>
      <c r="D25" s="739"/>
      <c r="E25" s="739"/>
      <c r="F25" s="739"/>
      <c r="G25" s="740"/>
      <c r="H25" s="316">
        <v>1</v>
      </c>
      <c r="I25" s="341"/>
      <c r="J25" s="346"/>
      <c r="K25" s="345"/>
      <c r="L25" s="345"/>
      <c r="M25" s="308"/>
      <c r="N25" s="313"/>
    </row>
    <row r="26" spans="1:14" s="207" customFormat="1" ht="12.75" customHeight="1" thickBot="1" x14ac:dyDescent="0.4">
      <c r="A26" s="744"/>
      <c r="B26" s="349" t="s">
        <v>457</v>
      </c>
      <c r="C26" s="350"/>
      <c r="D26" s="350"/>
      <c r="E26" s="350"/>
      <c r="F26" s="350"/>
      <c r="G26" s="351"/>
      <c r="H26" s="352">
        <f>ROUND(H17*H18*H19*H20*H21*H22*H23*H24*H25,2)</f>
        <v>1</v>
      </c>
      <c r="I26" s="341"/>
      <c r="J26" s="99"/>
      <c r="K26" s="345"/>
      <c r="L26" s="345"/>
      <c r="M26" s="308"/>
      <c r="N26" s="313"/>
    </row>
    <row r="27" spans="1:14" s="207" customFormat="1" ht="12.75" customHeight="1" x14ac:dyDescent="0.35">
      <c r="A27" s="744"/>
      <c r="B27" s="330"/>
      <c r="C27" s="353"/>
      <c r="D27" s="99"/>
      <c r="E27" s="99"/>
      <c r="F27" s="99"/>
      <c r="G27" s="99"/>
      <c r="H27" s="99"/>
      <c r="I27" s="99"/>
      <c r="J27" s="345"/>
      <c r="K27" s="308"/>
      <c r="L27" s="308"/>
      <c r="M27" s="308"/>
      <c r="N27" s="313"/>
    </row>
    <row r="28" spans="1:14" s="207" customFormat="1" ht="12.75" customHeight="1" x14ac:dyDescent="0.35">
      <c r="A28" s="744"/>
      <c r="B28" s="330"/>
      <c r="C28" s="353"/>
      <c r="D28" s="99"/>
      <c r="E28" s="99"/>
      <c r="F28" s="99"/>
      <c r="G28" s="99"/>
      <c r="H28" s="99"/>
      <c r="I28" s="99"/>
      <c r="J28" s="99"/>
      <c r="K28" s="308"/>
      <c r="L28" s="308"/>
      <c r="M28" s="308"/>
      <c r="N28" s="313"/>
    </row>
    <row r="29" spans="1:14" s="207" customFormat="1" ht="12.75" customHeight="1" thickBot="1" x14ac:dyDescent="0.35">
      <c r="A29" s="744"/>
      <c r="B29" s="330"/>
      <c r="C29" s="66"/>
      <c r="D29" s="99"/>
      <c r="E29" s="99"/>
      <c r="F29" s="99"/>
      <c r="G29" s="99"/>
      <c r="H29" s="99"/>
      <c r="I29" s="99"/>
      <c r="J29" s="99"/>
      <c r="K29" s="308"/>
      <c r="L29" s="308"/>
      <c r="M29" s="308"/>
      <c r="N29" s="313"/>
    </row>
    <row r="30" spans="1:14" s="207" customFormat="1" ht="12.75" customHeight="1" thickBot="1" x14ac:dyDescent="0.4">
      <c r="A30" s="744"/>
      <c r="B30" s="330"/>
      <c r="C30" s="66"/>
      <c r="D30" s="99"/>
      <c r="E30" s="99"/>
      <c r="F30" s="99"/>
      <c r="G30" s="20"/>
      <c r="H30" s="354" t="s">
        <v>458</v>
      </c>
      <c r="I30" s="355">
        <f>IF(H26*100&lt;30,10,IF(H26*100&lt;50,8,IF(H26*100&lt;70,6,IF(H26*100&lt;85,4,IF(H26*100&lt;96,2,0)))))</f>
        <v>0</v>
      </c>
      <c r="J30" s="99"/>
      <c r="K30" s="308"/>
      <c r="L30" s="308"/>
      <c r="M30" s="308"/>
      <c r="N30" s="313"/>
    </row>
    <row r="31" spans="1:14" s="207" customFormat="1" ht="12.75" customHeight="1" x14ac:dyDescent="0.35">
      <c r="A31" s="744"/>
      <c r="B31" s="356"/>
      <c r="C31" s="308"/>
      <c r="D31" s="99"/>
      <c r="E31" s="99"/>
      <c r="F31" s="99"/>
      <c r="G31" s="99"/>
      <c r="H31" s="99"/>
      <c r="I31" s="99"/>
      <c r="J31" s="99"/>
      <c r="K31" s="308"/>
      <c r="L31" s="308"/>
      <c r="M31" s="308"/>
      <c r="N31" s="313"/>
    </row>
    <row r="32" spans="1:14" s="207" customFormat="1" ht="12.75" customHeight="1" thickBot="1" x14ac:dyDescent="0.35">
      <c r="A32" s="744"/>
      <c r="B32" s="357"/>
      <c r="C32" s="358"/>
      <c r="D32" s="359"/>
      <c r="E32" s="359"/>
      <c r="F32" s="359"/>
      <c r="G32" s="359"/>
      <c r="H32" s="359"/>
      <c r="I32" s="359"/>
      <c r="J32" s="359"/>
      <c r="K32" s="312"/>
      <c r="L32" s="312"/>
      <c r="M32" s="312"/>
      <c r="N32" s="314"/>
    </row>
  </sheetData>
  <sheetProtection algorithmName="SHA-512" hashValue="cE/ATZlqE1EYflu08p/spiV5555SVeGAjosxDHbLeRF/tJJp2/hwRwgiJ5W9zes67MdJrTFGtf2dXh6jX9tYMw==" saltValue="dutiN1GKHWZPPvyN/W4VjQ==" spinCount="100000" sheet="1" selectLockedCells="1"/>
  <mergeCells count="21">
    <mergeCell ref="A3:A32"/>
    <mergeCell ref="B21:G21"/>
    <mergeCell ref="B6:F7"/>
    <mergeCell ref="B8:K8"/>
    <mergeCell ref="B23:G23"/>
    <mergeCell ref="B3:D4"/>
    <mergeCell ref="K21:M21"/>
    <mergeCell ref="K15:M16"/>
    <mergeCell ref="B24:G24"/>
    <mergeCell ref="B25:G25"/>
    <mergeCell ref="B19:G19"/>
    <mergeCell ref="K17:M17"/>
    <mergeCell ref="K18:M18"/>
    <mergeCell ref="B18:G18"/>
    <mergeCell ref="B13:F14"/>
    <mergeCell ref="B17:G17"/>
    <mergeCell ref="B20:G20"/>
    <mergeCell ref="K20:M20"/>
    <mergeCell ref="B22:G22"/>
    <mergeCell ref="K19:M19"/>
    <mergeCell ref="G12:I13"/>
  </mergeCells>
  <hyperlinks>
    <hyperlink ref="B6" r:id="rId1" xr:uid="{00000000-0004-0000-0600-000000000000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"/>
  <sheetViews>
    <sheetView zoomScale="75" workbookViewId="0">
      <selection activeCell="I8" sqref="I8"/>
    </sheetView>
  </sheetViews>
  <sheetFormatPr defaultColWidth="9.1796875" defaultRowHeight="10.5" x14ac:dyDescent="0.3"/>
  <cols>
    <col min="1" max="1" width="16.54296875" style="85" customWidth="1"/>
    <col min="2" max="2" width="15.7265625" style="85" customWidth="1"/>
    <col min="3" max="3" width="18" style="85" customWidth="1"/>
    <col min="4" max="4" width="14.54296875" style="85" customWidth="1"/>
    <col min="5" max="5" width="23" style="85" customWidth="1"/>
    <col min="6" max="6" width="7.7265625" style="85" customWidth="1"/>
    <col min="7" max="7" width="7.1796875" style="85" customWidth="1"/>
    <col min="8" max="16384" width="9.1796875" style="85"/>
  </cols>
  <sheetData>
    <row r="1" spans="1:9" ht="25" customHeight="1" x14ac:dyDescent="0.3">
      <c r="E1" s="762" t="s">
        <v>482</v>
      </c>
      <c r="F1" s="762"/>
      <c r="G1" s="762"/>
      <c r="H1" s="762"/>
      <c r="I1" s="762"/>
    </row>
    <row r="2" spans="1:9" ht="25" customHeight="1" thickBot="1" x14ac:dyDescent="0.35">
      <c r="A2" s="86"/>
      <c r="F2" s="761"/>
      <c r="G2" s="761"/>
      <c r="H2" s="761"/>
      <c r="I2" s="761"/>
    </row>
    <row r="3" spans="1:9" ht="35.15" customHeight="1" thickTop="1" x14ac:dyDescent="0.3">
      <c r="A3" s="763" t="s">
        <v>179</v>
      </c>
      <c r="B3" s="764"/>
      <c r="C3" s="765"/>
      <c r="D3" s="87" t="s">
        <v>180</v>
      </c>
      <c r="E3" s="88" t="s">
        <v>181</v>
      </c>
    </row>
    <row r="4" spans="1:9" ht="35.15" customHeight="1" x14ac:dyDescent="0.3">
      <c r="A4" s="772" t="s">
        <v>182</v>
      </c>
      <c r="B4" s="766" t="s">
        <v>183</v>
      </c>
      <c r="C4" s="766" t="s">
        <v>184</v>
      </c>
      <c r="D4" s="89" t="s">
        <v>185</v>
      </c>
      <c r="E4" s="90" t="s">
        <v>186</v>
      </c>
    </row>
    <row r="5" spans="1:9" ht="35.15" customHeight="1" x14ac:dyDescent="0.25">
      <c r="A5" s="773"/>
      <c r="B5" s="771"/>
      <c r="C5" s="767"/>
      <c r="D5" s="89" t="s">
        <v>187</v>
      </c>
      <c r="E5" s="90" t="s">
        <v>188</v>
      </c>
      <c r="G5" s="91" t="s">
        <v>5</v>
      </c>
    </row>
    <row r="6" spans="1:9" ht="35.15" customHeight="1" x14ac:dyDescent="0.3">
      <c r="A6" s="773"/>
      <c r="B6" s="771"/>
      <c r="C6" s="766" t="s">
        <v>189</v>
      </c>
      <c r="D6" s="89" t="s">
        <v>190</v>
      </c>
      <c r="E6" s="90" t="s">
        <v>191</v>
      </c>
    </row>
    <row r="7" spans="1:9" ht="35.15" customHeight="1" x14ac:dyDescent="0.3">
      <c r="A7" s="773"/>
      <c r="B7" s="767"/>
      <c r="C7" s="767"/>
      <c r="D7" s="89" t="s">
        <v>192</v>
      </c>
      <c r="E7" s="90" t="s">
        <v>193</v>
      </c>
    </row>
    <row r="8" spans="1:9" ht="35.15" customHeight="1" x14ac:dyDescent="0.3">
      <c r="A8" s="773"/>
      <c r="B8" s="766" t="s">
        <v>194</v>
      </c>
      <c r="C8" s="766" t="s">
        <v>195</v>
      </c>
      <c r="D8" s="89" t="s">
        <v>196</v>
      </c>
      <c r="E8" s="90" t="s">
        <v>197</v>
      </c>
    </row>
    <row r="9" spans="1:9" ht="35.15" customHeight="1" x14ac:dyDescent="0.25">
      <c r="A9" s="773"/>
      <c r="B9" s="771"/>
      <c r="C9" s="767"/>
      <c r="D9" s="89" t="s">
        <v>198</v>
      </c>
      <c r="E9" s="90" t="s">
        <v>199</v>
      </c>
      <c r="G9" s="91" t="s">
        <v>169</v>
      </c>
    </row>
    <row r="10" spans="1:9" ht="35.15" customHeight="1" x14ac:dyDescent="0.3">
      <c r="A10" s="773"/>
      <c r="B10" s="771"/>
      <c r="C10" s="766" t="s">
        <v>200</v>
      </c>
      <c r="D10" s="89" t="s">
        <v>201</v>
      </c>
      <c r="E10" s="90" t="s">
        <v>202</v>
      </c>
    </row>
    <row r="11" spans="1:9" ht="35.15" customHeight="1" x14ac:dyDescent="0.3">
      <c r="A11" s="774"/>
      <c r="B11" s="767"/>
      <c r="C11" s="767"/>
      <c r="D11" s="89" t="s">
        <v>203</v>
      </c>
      <c r="E11" s="90" t="s">
        <v>204</v>
      </c>
    </row>
    <row r="12" spans="1:9" ht="35.15" customHeight="1" x14ac:dyDescent="0.3">
      <c r="A12" s="772" t="s">
        <v>205</v>
      </c>
      <c r="B12" s="766" t="s">
        <v>206</v>
      </c>
      <c r="C12" s="766" t="s">
        <v>207</v>
      </c>
      <c r="D12" s="89" t="s">
        <v>208</v>
      </c>
      <c r="E12" s="90" t="s">
        <v>172</v>
      </c>
      <c r="F12" s="92" t="s">
        <v>172</v>
      </c>
    </row>
    <row r="13" spans="1:9" ht="35.15" customHeight="1" x14ac:dyDescent="0.3">
      <c r="A13" s="773"/>
      <c r="B13" s="771"/>
      <c r="C13" s="767"/>
      <c r="D13" s="89" t="s">
        <v>209</v>
      </c>
      <c r="E13" s="90" t="s">
        <v>170</v>
      </c>
      <c r="F13" s="92" t="s">
        <v>170</v>
      </c>
    </row>
    <row r="14" spans="1:9" ht="35.15" customHeight="1" x14ac:dyDescent="0.3">
      <c r="A14" s="773"/>
      <c r="B14" s="767"/>
      <c r="C14" s="89" t="s">
        <v>171</v>
      </c>
      <c r="D14" s="89" t="s">
        <v>210</v>
      </c>
      <c r="E14" s="90" t="s">
        <v>211</v>
      </c>
      <c r="F14" s="92" t="s">
        <v>171</v>
      </c>
    </row>
    <row r="15" spans="1:9" ht="35.15" customHeight="1" x14ac:dyDescent="0.3">
      <c r="A15" s="773"/>
      <c r="B15" s="766" t="s">
        <v>212</v>
      </c>
      <c r="C15" s="766" t="s">
        <v>207</v>
      </c>
      <c r="D15" s="89" t="s">
        <v>213</v>
      </c>
      <c r="E15" s="90" t="s">
        <v>214</v>
      </c>
      <c r="F15" s="92" t="s">
        <v>172</v>
      </c>
    </row>
    <row r="16" spans="1:9" ht="35.15" customHeight="1" x14ac:dyDescent="0.3">
      <c r="A16" s="773"/>
      <c r="B16" s="771"/>
      <c r="C16" s="767"/>
      <c r="D16" s="89" t="s">
        <v>215</v>
      </c>
      <c r="E16" s="90" t="s">
        <v>216</v>
      </c>
      <c r="F16" s="92" t="s">
        <v>170</v>
      </c>
    </row>
    <row r="17" spans="1:6" ht="35.15" customHeight="1" x14ac:dyDescent="0.3">
      <c r="A17" s="774"/>
      <c r="B17" s="767"/>
      <c r="C17" s="89" t="s">
        <v>171</v>
      </c>
      <c r="D17" s="89" t="s">
        <v>217</v>
      </c>
      <c r="E17" s="90" t="s">
        <v>218</v>
      </c>
      <c r="F17" s="92" t="s">
        <v>171</v>
      </c>
    </row>
    <row r="18" spans="1:6" ht="35.15" customHeight="1" thickBot="1" x14ac:dyDescent="0.35">
      <c r="A18" s="768" t="s">
        <v>219</v>
      </c>
      <c r="B18" s="769"/>
      <c r="C18" s="770"/>
      <c r="D18" s="93" t="s">
        <v>220</v>
      </c>
      <c r="E18" s="94" t="s">
        <v>221</v>
      </c>
      <c r="F18" s="92" t="s">
        <v>171</v>
      </c>
    </row>
    <row r="19" spans="1:6" ht="11.5" thickTop="1" x14ac:dyDescent="0.3">
      <c r="A19" s="95"/>
    </row>
  </sheetData>
  <sheetProtection algorithmName="SHA-512" hashValue="VWSYMH1V7NXCN75fmuAgUXPIQ7olTxaGeJuH4SK9q4S6DjB7aZiTFZjkyP3+1wMabK37MLzfJ4pSd7MbMxBkXA==" saltValue="pl2ortTFIUaI3eCeVtGFmQ==" spinCount="100000" sheet="1" selectLockedCells="1"/>
  <mergeCells count="16">
    <mergeCell ref="F2:I2"/>
    <mergeCell ref="E1:I1"/>
    <mergeCell ref="A3:C3"/>
    <mergeCell ref="C4:C5"/>
    <mergeCell ref="A18:C18"/>
    <mergeCell ref="B8:B11"/>
    <mergeCell ref="B4:B7"/>
    <mergeCell ref="B15:B17"/>
    <mergeCell ref="B12:B14"/>
    <mergeCell ref="A12:A17"/>
    <mergeCell ref="A4:A11"/>
    <mergeCell ref="C10:C11"/>
    <mergeCell ref="C12:C13"/>
    <mergeCell ref="C15:C16"/>
    <mergeCell ref="C6:C7"/>
    <mergeCell ref="C8:C9"/>
  </mergeCells>
  <phoneticPr fontId="21" type="noConversion"/>
  <pageMargins left="0.32" right="0.28000000000000003" top="1" bottom="1" header="0.5" footer="0.5"/>
  <pageSetup orientation="portrait" r:id="rId1"/>
  <headerFooter alignWithMargins="0">
    <oddHeader>&amp;CUnified Soil Classification System;
from American Society for
 Testing and Materials, 1985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26"/>
  </sheetPr>
  <dimension ref="A1:L48"/>
  <sheetViews>
    <sheetView workbookViewId="0">
      <selection activeCell="O28" sqref="O28"/>
    </sheetView>
  </sheetViews>
  <sheetFormatPr defaultColWidth="9.1796875" defaultRowHeight="15.5" x14ac:dyDescent="0.35"/>
  <cols>
    <col min="1" max="1" width="3.26953125" style="79" customWidth="1"/>
    <col min="2" max="2" width="12" style="79" customWidth="1"/>
    <col min="3" max="3" width="3.7265625" style="79" customWidth="1"/>
    <col min="4" max="4" width="4.1796875" style="79" customWidth="1"/>
    <col min="5" max="11" width="9.1796875" style="79"/>
    <col min="12" max="12" width="3.26953125" style="79" customWidth="1"/>
    <col min="13" max="16384" width="9.1796875" style="79"/>
  </cols>
  <sheetData>
    <row r="1" spans="1:12" ht="18.5" x14ac:dyDescent="0.45">
      <c r="A1" s="775" t="s">
        <v>137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</row>
    <row r="2" spans="1:12" ht="18.5" x14ac:dyDescent="0.45">
      <c r="A2" s="775" t="s">
        <v>138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</row>
    <row r="3" spans="1:12" ht="18.75" customHeight="1" x14ac:dyDescent="0.35">
      <c r="A3" s="776" t="s">
        <v>139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  <c r="L3" s="776"/>
    </row>
    <row r="7" spans="1:12" x14ac:dyDescent="0.35">
      <c r="A7" s="79" t="s">
        <v>140</v>
      </c>
      <c r="D7" s="777"/>
      <c r="E7" s="777"/>
      <c r="F7" s="777"/>
    </row>
    <row r="8" spans="1:12" x14ac:dyDescent="0.35">
      <c r="A8" s="79" t="s">
        <v>141</v>
      </c>
      <c r="D8" s="777"/>
      <c r="E8" s="777"/>
      <c r="F8" s="777"/>
      <c r="G8" s="777"/>
      <c r="H8" s="777"/>
    </row>
    <row r="9" spans="1:12" x14ac:dyDescent="0.35">
      <c r="A9" s="79" t="s">
        <v>142</v>
      </c>
      <c r="D9" s="780"/>
      <c r="E9" s="780"/>
      <c r="F9" s="780"/>
    </row>
    <row r="13" spans="1:12" x14ac:dyDescent="0.35">
      <c r="A13" s="79" t="s">
        <v>143</v>
      </c>
    </row>
    <row r="14" spans="1:12" x14ac:dyDescent="0.35">
      <c r="A14" s="79" t="s">
        <v>144</v>
      </c>
      <c r="E14" s="781"/>
      <c r="F14" s="781"/>
      <c r="G14" s="79" t="s">
        <v>145</v>
      </c>
    </row>
    <row r="15" spans="1:12" x14ac:dyDescent="0.35">
      <c r="A15" s="79" t="s">
        <v>146</v>
      </c>
    </row>
    <row r="17" spans="1:2" x14ac:dyDescent="0.35">
      <c r="A17" s="79" t="s">
        <v>147</v>
      </c>
    </row>
    <row r="18" spans="1:2" x14ac:dyDescent="0.35">
      <c r="A18" s="79" t="s">
        <v>148</v>
      </c>
    </row>
    <row r="20" spans="1:2" x14ac:dyDescent="0.35">
      <c r="B20" s="79" t="s">
        <v>149</v>
      </c>
    </row>
    <row r="21" spans="1:2" x14ac:dyDescent="0.35">
      <c r="B21" s="79" t="s">
        <v>150</v>
      </c>
    </row>
    <row r="22" spans="1:2" x14ac:dyDescent="0.35">
      <c r="B22" s="79" t="s">
        <v>151</v>
      </c>
    </row>
    <row r="23" spans="1:2" x14ac:dyDescent="0.35">
      <c r="B23" s="79" t="s">
        <v>152</v>
      </c>
    </row>
    <row r="24" spans="1:2" x14ac:dyDescent="0.35">
      <c r="B24" s="79" t="s">
        <v>153</v>
      </c>
    </row>
    <row r="25" spans="1:2" x14ac:dyDescent="0.35">
      <c r="B25" s="79" t="s">
        <v>154</v>
      </c>
    </row>
    <row r="27" spans="1:2" x14ac:dyDescent="0.35">
      <c r="A27" s="79" t="s">
        <v>155</v>
      </c>
    </row>
    <row r="29" spans="1:2" x14ac:dyDescent="0.35">
      <c r="B29" s="79" t="s">
        <v>156</v>
      </c>
    </row>
    <row r="30" spans="1:2" x14ac:dyDescent="0.35">
      <c r="B30" s="79" t="s">
        <v>157</v>
      </c>
    </row>
    <row r="31" spans="1:2" x14ac:dyDescent="0.35">
      <c r="B31" s="79" t="s">
        <v>158</v>
      </c>
    </row>
    <row r="32" spans="1:2" x14ac:dyDescent="0.35">
      <c r="B32" s="79" t="s">
        <v>159</v>
      </c>
    </row>
    <row r="33" spans="1:12" x14ac:dyDescent="0.35">
      <c r="B33" s="79" t="s">
        <v>160</v>
      </c>
    </row>
    <row r="34" spans="1:12" x14ac:dyDescent="0.35">
      <c r="B34" s="79" t="s">
        <v>161</v>
      </c>
    </row>
    <row r="35" spans="1:12" x14ac:dyDescent="0.35">
      <c r="B35" s="79" t="s">
        <v>162</v>
      </c>
    </row>
    <row r="37" spans="1:12" x14ac:dyDescent="0.35">
      <c r="A37" s="80" t="s">
        <v>163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5">
      <c r="A38" s="80" t="s">
        <v>164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5">
      <c r="A39" s="80" t="s">
        <v>165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4" spans="1:12" x14ac:dyDescent="0.35">
      <c r="A44" s="781"/>
      <c r="B44" s="781"/>
      <c r="C44" s="781"/>
      <c r="D44" s="781"/>
      <c r="E44" s="781"/>
      <c r="H44" s="782"/>
      <c r="I44" s="782"/>
    </row>
    <row r="45" spans="1:12" x14ac:dyDescent="0.35">
      <c r="A45" s="778" t="s">
        <v>166</v>
      </c>
      <c r="B45" s="778"/>
      <c r="C45" s="778"/>
      <c r="D45" s="778"/>
      <c r="E45" s="778"/>
      <c r="H45" s="779" t="s">
        <v>167</v>
      </c>
      <c r="I45" s="779"/>
    </row>
    <row r="47" spans="1:12" x14ac:dyDescent="0.35">
      <c r="A47" s="82" t="s">
        <v>168</v>
      </c>
      <c r="B47" s="82"/>
    </row>
    <row r="48" spans="1:12" x14ac:dyDescent="0.35">
      <c r="A48" s="82"/>
      <c r="B48" s="82"/>
    </row>
  </sheetData>
  <sheetProtection algorithmName="SHA-512" hashValue="ZsJsDd7SZidnDw1iZCERaxTkRmwD87pIYxB8daCPF4LSVCIrNYCDpdSgLcHHrJB9vbmIRLwdiJEywsqqw6D1lg==" saltValue="+xN3yDWfWZ4xneITxpJcwg==" spinCount="100000" sheet="1" objects="1" scenarios="1"/>
  <mergeCells count="11">
    <mergeCell ref="A1:L1"/>
    <mergeCell ref="A2:L2"/>
    <mergeCell ref="A3:L3"/>
    <mergeCell ref="D7:F7"/>
    <mergeCell ref="A45:E45"/>
    <mergeCell ref="H45:I45"/>
    <mergeCell ref="D8:H8"/>
    <mergeCell ref="D9:F9"/>
    <mergeCell ref="E14:F14"/>
    <mergeCell ref="A44:E44"/>
    <mergeCell ref="H44:I44"/>
  </mergeCells>
  <phoneticPr fontId="21" type="noConversion"/>
  <pageMargins left="0.75" right="0.75" top="0.65" bottom="0.7" header="0.32" footer="0.3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3R RATING SUMMARY</vt:lpstr>
      <vt:lpstr>TRAFFIC &amp; ACCIDENTS</vt:lpstr>
      <vt:lpstr>Local &amp; Links</vt:lpstr>
      <vt:lpstr>STRUCTURE</vt:lpstr>
      <vt:lpstr>GEOMETRY</vt:lpstr>
      <vt:lpstr>3R Checklist Safety</vt:lpstr>
      <vt:lpstr>INTERSECTION</vt:lpstr>
      <vt:lpstr>USCS</vt:lpstr>
      <vt:lpstr>Engr's 3R letter</vt:lpstr>
      <vt:lpstr>'3R Checklist Safety'!Print_Area</vt:lpstr>
      <vt:lpstr>'3R RATING SUMMARY'!Print_Area</vt:lpstr>
      <vt:lpstr>GEOMETRY!Print_Area</vt:lpstr>
      <vt:lpstr>STRUCTURE!Print_Area</vt:lpstr>
      <vt:lpstr>'TRAFFIC &amp; ACCIDENTS'!Print_Area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2020-02-20T19:14:58Z</cp:lastPrinted>
  <dcterms:created xsi:type="dcterms:W3CDTF">2001-08-02T21:00:18Z</dcterms:created>
  <dcterms:modified xsi:type="dcterms:W3CDTF">2021-08-13T17:57:52Z</dcterms:modified>
</cp:coreProperties>
</file>