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NE/"/>
    </mc:Choice>
  </mc:AlternateContent>
  <xr:revisionPtr revIDLastSave="46" documentId="11_FD09EF1792BA550F846371124F292C9806160BEC" xr6:coauthVersionLast="46" xr6:coauthVersionMax="46" xr10:uidLastSave="{987D743C-A7E8-4F14-986C-E9EA4FA35026}"/>
  <bookViews>
    <workbookView xWindow="-110" yWindow="-110" windowWidth="38620" windowHeight="21220" tabRatio="865" xr2:uid="{00000000-000D-0000-FFFF-FFFF00000000}"/>
  </bookViews>
  <sheets>
    <sheet name="2R RATING SUMMARY" sheetId="7" r:id="rId1"/>
    <sheet name="TRAFFIC &amp; ACCIDENTS" sheetId="14" r:id="rId2"/>
    <sheet name="STRUCTURE" sheetId="15" r:id="rId3"/>
    <sheet name="GEOMETRY" sheetId="16" r:id="rId4"/>
    <sheet name="ROADSIDE SAFETY" sheetId="17" r:id="rId5"/>
  </sheets>
  <definedNames>
    <definedName name="_xlnm.Print_Area" localSheetId="0">'2R RATING SUMMARY'!$B$3:$M$62</definedName>
    <definedName name="_xlnm.Print_Area" localSheetId="3">GEOMETRY!$B$2:$N$43</definedName>
    <definedName name="_xlnm.Print_Area" localSheetId="4">'ROADSIDE SAFETY'!$B$3:$L$37</definedName>
    <definedName name="_xlnm.Print_Area" localSheetId="2">STRUCTURE!$B$46:$N$90</definedName>
    <definedName name="_xlnm.Print_Area" localSheetId="1">'TRAFFIC &amp; ACCIDENTS'!$B$4:$K$17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7" l="1"/>
  <c r="K34" i="16"/>
  <c r="L34" i="16" s="1"/>
  <c r="M34" i="16" s="1"/>
  <c r="G34" i="16"/>
  <c r="F34" i="16"/>
  <c r="K33" i="16"/>
  <c r="L33" i="16" s="1"/>
  <c r="M33" i="16" s="1"/>
  <c r="G33" i="16"/>
  <c r="F33" i="16"/>
  <c r="K32" i="16"/>
  <c r="L32" i="16" s="1"/>
  <c r="M32" i="16" s="1"/>
  <c r="G32" i="16"/>
  <c r="F32" i="16"/>
  <c r="K31" i="16"/>
  <c r="L31" i="16"/>
  <c r="M31" i="16" s="1"/>
  <c r="G31" i="16"/>
  <c r="F31" i="16"/>
  <c r="K30" i="16"/>
  <c r="L30" i="16" s="1"/>
  <c r="M30" i="16" s="1"/>
  <c r="G30" i="16"/>
  <c r="F30" i="16"/>
  <c r="K29" i="16"/>
  <c r="L29" i="16" s="1"/>
  <c r="M29" i="16" s="1"/>
  <c r="G29" i="16"/>
  <c r="F29" i="16"/>
  <c r="I20" i="16"/>
  <c r="H21" i="16" s="1"/>
  <c r="E69" i="14"/>
  <c r="K40" i="16"/>
  <c r="K39" i="16"/>
  <c r="K38" i="16"/>
  <c r="K37" i="16"/>
  <c r="K36" i="16"/>
  <c r="K35" i="16"/>
  <c r="K28" i="16"/>
  <c r="K27" i="16"/>
  <c r="K26" i="16"/>
  <c r="K25" i="16"/>
  <c r="K24" i="16"/>
  <c r="K23" i="16"/>
  <c r="K22" i="16"/>
  <c r="K21" i="16"/>
  <c r="W48" i="16"/>
  <c r="V48" i="16" s="1"/>
  <c r="U48" i="16" s="1"/>
  <c r="U47" i="16" s="1"/>
  <c r="R48" i="16"/>
  <c r="W47" i="16"/>
  <c r="V47" i="16" s="1"/>
  <c r="R47" i="16"/>
  <c r="W46" i="16"/>
  <c r="V46" i="16" s="1"/>
  <c r="R46" i="16"/>
  <c r="AA16" i="16"/>
  <c r="X9" i="16"/>
  <c r="X7" i="16"/>
  <c r="F14" i="15"/>
  <c r="K50" i="14"/>
  <c r="K49" i="14" s="1"/>
  <c r="K48" i="14" s="1"/>
  <c r="K47" i="14" s="1"/>
  <c r="K46" i="14" s="1"/>
  <c r="K45" i="14" s="1"/>
  <c r="I50" i="14"/>
  <c r="I49" i="14" s="1"/>
  <c r="I48" i="14" s="1"/>
  <c r="I47" i="14" s="1"/>
  <c r="I46" i="14" s="1"/>
  <c r="I45" i="14" s="1"/>
  <c r="D61" i="14"/>
  <c r="D65" i="14" s="1"/>
  <c r="F61" i="14"/>
  <c r="F65" i="14" s="1"/>
  <c r="H61" i="14"/>
  <c r="H65" i="14" s="1"/>
  <c r="K26" i="7"/>
  <c r="L13" i="15"/>
  <c r="L12" i="15"/>
  <c r="L11" i="15"/>
  <c r="D12" i="14"/>
  <c r="K46" i="7" s="1"/>
  <c r="M14" i="15"/>
  <c r="M13" i="15"/>
  <c r="M12" i="15"/>
  <c r="M11" i="15"/>
  <c r="T8" i="7"/>
  <c r="T7" i="7" s="1"/>
  <c r="T6" i="7" s="1"/>
  <c r="T5" i="7" s="1"/>
  <c r="T4" i="7" s="1"/>
  <c r="I32" i="17"/>
  <c r="L14" i="15"/>
  <c r="I14" i="15"/>
  <c r="I20" i="7"/>
  <c r="I57" i="7" s="1"/>
  <c r="K47" i="7"/>
  <c r="K49" i="7"/>
  <c r="L15" i="15" l="1"/>
  <c r="K28" i="7" s="1"/>
  <c r="K29" i="7" s="1"/>
  <c r="U46" i="16"/>
  <c r="U50" i="16" s="1"/>
  <c r="L40" i="16" s="1"/>
  <c r="M40" i="16" s="1"/>
  <c r="J65" i="14"/>
  <c r="C69" i="14" s="1"/>
  <c r="G69" i="14" s="1"/>
  <c r="J87" i="14" s="1"/>
  <c r="K19" i="7" s="1"/>
  <c r="I52" i="14"/>
  <c r="K18" i="7" s="1"/>
  <c r="G72" i="16"/>
  <c r="C12" i="17"/>
  <c r="D26" i="17"/>
  <c r="K17" i="15" l="1"/>
  <c r="L35" i="16"/>
  <c r="M35" i="16" s="1"/>
  <c r="K50" i="16"/>
  <c r="L24" i="16"/>
  <c r="M24" i="16" s="1"/>
  <c r="Z17" i="16"/>
  <c r="Z16" i="16" s="1"/>
  <c r="Y17" i="16" s="1"/>
  <c r="Y16" i="16" s="1"/>
  <c r="X17" i="16" s="1"/>
  <c r="X16" i="16" s="1"/>
  <c r="S15" i="16" s="1"/>
  <c r="R8" i="16" s="1"/>
  <c r="L27" i="16"/>
  <c r="M27" i="16" s="1"/>
  <c r="L25" i="16"/>
  <c r="M25" i="16" s="1"/>
  <c r="L28" i="16"/>
  <c r="M28" i="16" s="1"/>
  <c r="L39" i="16"/>
  <c r="M39" i="16" s="1"/>
  <c r="L8" i="16"/>
  <c r="C37" i="16" s="1"/>
  <c r="L22" i="16"/>
  <c r="M22" i="16" s="1"/>
  <c r="L21" i="16"/>
  <c r="M21" i="16" s="1"/>
  <c r="L38" i="16"/>
  <c r="M38" i="16" s="1"/>
  <c r="L26" i="16"/>
  <c r="M26" i="16" s="1"/>
  <c r="L37" i="16"/>
  <c r="M37" i="16" s="1"/>
  <c r="Y6" i="17"/>
  <c r="L36" i="16"/>
  <c r="M36" i="16" s="1"/>
  <c r="L23" i="16"/>
  <c r="M23" i="16" s="1"/>
  <c r="D15" i="14"/>
  <c r="I15" i="14"/>
  <c r="C14" i="17"/>
  <c r="E14" i="17" s="1"/>
  <c r="K20" i="7"/>
  <c r="D31" i="17"/>
  <c r="F31" i="17" s="1"/>
  <c r="G31" i="17" s="1"/>
  <c r="D29" i="17"/>
  <c r="F29" i="17" s="1"/>
  <c r="G29" i="17" s="1"/>
  <c r="D30" i="17"/>
  <c r="F30" i="17" s="1"/>
  <c r="G30" i="17" s="1"/>
  <c r="F28" i="16" l="1"/>
  <c r="C26" i="16"/>
  <c r="F27" i="16"/>
  <c r="C39" i="16"/>
  <c r="G38" i="16"/>
  <c r="C32" i="16"/>
  <c r="F37" i="16"/>
  <c r="G36" i="16"/>
  <c r="G28" i="16"/>
  <c r="C36" i="16"/>
  <c r="C28" i="16"/>
  <c r="G25" i="16"/>
  <c r="C34" i="16"/>
  <c r="C21" i="16"/>
  <c r="C31" i="16"/>
  <c r="M41" i="16"/>
  <c r="G71" i="16" s="1"/>
  <c r="F38" i="16"/>
  <c r="G37" i="16"/>
  <c r="F8" i="16"/>
  <c r="G21" i="16"/>
  <c r="F21" i="16" s="1"/>
  <c r="C25" i="16"/>
  <c r="F39" i="16"/>
  <c r="G23" i="16"/>
  <c r="G26" i="16"/>
  <c r="F35" i="16"/>
  <c r="F26" i="16"/>
  <c r="F24" i="16"/>
  <c r="C35" i="16"/>
  <c r="C22" i="16"/>
  <c r="F36" i="16"/>
  <c r="C24" i="16"/>
  <c r="G40" i="16"/>
  <c r="C38" i="16"/>
  <c r="C29" i="16"/>
  <c r="C30" i="16"/>
  <c r="F23" i="16"/>
  <c r="G35" i="16"/>
  <c r="G39" i="16"/>
  <c r="C27" i="16"/>
  <c r="G22" i="16"/>
  <c r="F22" i="16" s="1"/>
  <c r="F25" i="16"/>
  <c r="F40" i="16"/>
  <c r="C23" i="16"/>
  <c r="G27" i="16"/>
  <c r="C40" i="16"/>
  <c r="G24" i="16"/>
  <c r="C33" i="16"/>
  <c r="S10" i="16"/>
  <c r="G32" i="17"/>
  <c r="F32" i="17" s="1"/>
  <c r="K32" i="17" s="1"/>
  <c r="G74" i="16" l="1"/>
  <c r="G75" i="16" s="1"/>
  <c r="F41" i="16"/>
  <c r="S9" i="16"/>
  <c r="S8" i="16" s="1"/>
  <c r="K48" i="7"/>
  <c r="K50" i="7" s="1"/>
  <c r="D41" i="16" l="1"/>
  <c r="K35" i="7" s="1"/>
  <c r="K34" i="7"/>
  <c r="G10" i="16"/>
  <c r="K36" i="7" l="1"/>
  <c r="K57" i="7" s="1"/>
</calcChain>
</file>

<file path=xl/sharedStrings.xml><?xml version="1.0" encoding="utf-8"?>
<sst xmlns="http://schemas.openxmlformats.org/spreadsheetml/2006/main" count="313" uniqueCount="276">
  <si>
    <t>Possible</t>
  </si>
  <si>
    <t xml:space="preserve">                                                                      </t>
  </si>
  <si>
    <t>Points</t>
  </si>
  <si>
    <t xml:space="preserve"> </t>
  </si>
  <si>
    <t>Subtotal</t>
  </si>
  <si>
    <t>Calculation Table</t>
  </si>
  <si>
    <t>AADT</t>
  </si>
  <si>
    <t>POINTS</t>
  </si>
  <si>
    <t>&gt;750</t>
  </si>
  <si>
    <t xml:space="preserve">                      </t>
  </si>
  <si>
    <t>=</t>
  </si>
  <si>
    <t>+</t>
  </si>
  <si>
    <t xml:space="preserve">  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</si>
  <si>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</si>
  <si>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</si>
  <si>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</si>
  <si>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</si>
  <si>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</si>
  <si>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>Adequate</t>
  </si>
  <si>
    <t>Fair</t>
  </si>
  <si>
    <t>Marginal</t>
  </si>
  <si>
    <t>Poor</t>
  </si>
  <si>
    <t>*  Intermediate values are acceptable</t>
  </si>
  <si>
    <t xml:space="preserve">No signs of displacement or settling                   </t>
  </si>
  <si>
    <t xml:space="preserve">Minor localized sags along shoulder                    </t>
  </si>
  <si>
    <t>Very Poor</t>
  </si>
  <si>
    <t>POINTS:</t>
  </si>
  <si>
    <t>&gt; 2000</t>
  </si>
  <si>
    <t>2'</t>
  </si>
  <si>
    <t>3' - 4'</t>
  </si>
  <si>
    <t>Proposed</t>
  </si>
  <si>
    <t>Design</t>
  </si>
  <si>
    <t>Terrain</t>
  </si>
  <si>
    <t>Minimum Des. Speed Calc. Table</t>
  </si>
  <si>
    <t>Flat</t>
  </si>
  <si>
    <t>Rolling</t>
  </si>
  <si>
    <t>Mountainous</t>
  </si>
  <si>
    <t>Minimum Design Speed</t>
  </si>
  <si>
    <t>Speed</t>
  </si>
  <si>
    <t>FATAL ACCIDENTS</t>
  </si>
  <si>
    <t>TRUCK ADT</t>
  </si>
  <si>
    <t>Percent</t>
  </si>
  <si>
    <t>miles</t>
  </si>
  <si>
    <t>HORIZONTAL CURVES:</t>
  </si>
  <si>
    <t>P.D. ONLY ACCIDENTS</t>
  </si>
  <si>
    <t>Points:</t>
  </si>
  <si>
    <t>ADT</t>
  </si>
  <si>
    <t>CLASS</t>
  </si>
  <si>
    <t>SELECT ONE:</t>
  </si>
  <si>
    <t>T6 or T7</t>
  </si>
  <si>
    <t>T5</t>
  </si>
  <si>
    <t>T4</t>
  </si>
  <si>
    <t>STRUCTURAL CONDITION:</t>
  </si>
  <si>
    <t>F&amp;G</t>
  </si>
  <si>
    <t>to 1/100s</t>
  </si>
  <si>
    <t>ACCIDENTS</t>
  </si>
  <si>
    <t>COUNTY</t>
  </si>
  <si>
    <t>PROJECT NAME</t>
  </si>
  <si>
    <t>INJURY, NON FATAL ACCIDENTS</t>
  </si>
  <si>
    <t>PROPOSED</t>
  </si>
  <si>
    <t>EXISTING</t>
  </si>
  <si>
    <t>&lt; 400</t>
  </si>
  <si>
    <t>400 - 1500</t>
  </si>
  <si>
    <t>1500 - 2000</t>
  </si>
  <si>
    <t>Existing Roadbed Width</t>
  </si>
  <si>
    <t>Proposed Roadbed Width</t>
  </si>
  <si>
    <t>Improved</t>
  </si>
  <si>
    <t>Curve #</t>
  </si>
  <si>
    <t>TRAFFIC RATING</t>
  </si>
  <si>
    <t>PROJECT LENGTH, MI.</t>
  </si>
  <si>
    <t>Scored</t>
  </si>
  <si>
    <t>TRAFFIC:</t>
  </si>
  <si>
    <t>TRAFFIC VOLUME</t>
  </si>
  <si>
    <t>TRAFFIC ACCIDENTS</t>
  </si>
  <si>
    <t>GEOMETRY:</t>
  </si>
  <si>
    <t>T1-T3</t>
  </si>
  <si>
    <t>GEOMETRY RATING</t>
  </si>
  <si>
    <t>Widening</t>
  </si>
  <si>
    <t>5' - 8'</t>
  </si>
  <si>
    <t>Culvert end treatments</t>
  </si>
  <si>
    <t>Relocate Utility Poles</t>
  </si>
  <si>
    <t>NOTES:</t>
  </si>
  <si>
    <t>Design Speed</t>
  </si>
  <si>
    <t>Attach Roadside Hazard Review</t>
  </si>
  <si>
    <t>Reduce Roadside Hazards</t>
  </si>
  <si>
    <t>Condition:</t>
  </si>
  <si>
    <t>Project length</t>
  </si>
  <si>
    <t>Sideslopes and Guardrail</t>
  </si>
  <si>
    <t>Slopes or cuts must be 2:1 or steeper</t>
  </si>
  <si>
    <t>points</t>
  </si>
  <si>
    <t>fill sections must be 6' or higher</t>
  </si>
  <si>
    <t>Culvert End Treatments (5)</t>
  </si>
  <si>
    <t>Count road approach culverts to be beveled, Cross culverts to have safety bars added.</t>
  </si>
  <si>
    <t>1 pt for each treatment, up to 5 points</t>
  </si>
  <si>
    <t>for Safety Bars on cross culverts</t>
  </si>
  <si>
    <t>and beveled ends on road approach culverts</t>
  </si>
  <si>
    <t>Remove structure and obstuction from clear zone</t>
  </si>
  <si>
    <t>Objects per mile</t>
  </si>
  <si>
    <t>a)</t>
  </si>
  <si>
    <t>Structures and Obstructions</t>
  </si>
  <si>
    <t>trees, stumps &gt; 1.5 ft above ground level,</t>
  </si>
  <si>
    <t>Subtotals:</t>
  </si>
  <si>
    <t xml:space="preserve">houses, concrete structures, </t>
  </si>
  <si>
    <t>1 - 4 / mile</t>
  </si>
  <si>
    <t>Mail Boxes</t>
  </si>
  <si>
    <t>5 - 10 / mile</t>
  </si>
  <si>
    <t>&gt; 10 / mile</t>
  </si>
  <si>
    <t>Relocate Utility Poles (5)</t>
  </si>
  <si>
    <t xml:space="preserve">  (to outside of clear zone,</t>
  </si>
  <si>
    <t>No. of poles to be relocated 4 ft beyond back of ditch or outside of clear zone</t>
  </si>
  <si>
    <t xml:space="preserve">  or 4' beyond back of ditch)</t>
  </si>
  <si>
    <t>Widening:</t>
  </si>
  <si>
    <r>
      <t xml:space="preserve">Number of </t>
    </r>
    <r>
      <rPr>
        <b/>
        <u/>
        <sz val="10"/>
        <rFont val="MS Sans Serif"/>
        <family val="2"/>
      </rPr>
      <t>non mailbox</t>
    </r>
    <r>
      <rPr>
        <sz val="10"/>
        <rFont val="MS Sans Serif"/>
      </rPr>
      <t xml:space="preserve"> objects that are </t>
    </r>
    <r>
      <rPr>
        <b/>
        <sz val="10"/>
        <rFont val="MS Sans Serif"/>
        <family val="2"/>
      </rPr>
      <t>"Roadside Hazards"</t>
    </r>
  </si>
  <si>
    <t>TRAFFIC VOLUME RATING</t>
  </si>
  <si>
    <t>non - breakaway sign supports, mailboxes</t>
  </si>
  <si>
    <t>10 pts total allowed</t>
  </si>
  <si>
    <t>(10 points max.)</t>
  </si>
  <si>
    <t>Sideslopes and Guardrail (5)</t>
  </si>
  <si>
    <t>X 5 pts =</t>
  </si>
  <si>
    <t>PROPERTY</t>
  </si>
  <si>
    <t>No. of</t>
  </si>
  <si>
    <t>DAMAGE</t>
  </si>
  <si>
    <t>INJURY</t>
  </si>
  <si>
    <t>FATAL</t>
  </si>
  <si>
    <t>ONLY</t>
  </si>
  <si>
    <t>accidents</t>
  </si>
  <si>
    <t>Subtotals</t>
  </si>
  <si>
    <t>Factors</t>
  </si>
  <si>
    <t>X 25</t>
  </si>
  <si>
    <t>TOTAL</t>
  </si>
  <si>
    <t>(Total)</t>
  </si>
  <si>
    <t>(Equiv.</t>
  </si>
  <si>
    <t>&lt;--Points</t>
  </si>
  <si>
    <t>RATING</t>
  </si>
  <si>
    <t>&lt;50</t>
  </si>
  <si>
    <t>50-100</t>
  </si>
  <si>
    <t>101-250</t>
  </si>
  <si>
    <t>251-500</t>
  </si>
  <si>
    <t>501-750</t>
  </si>
  <si>
    <t>Surface</t>
  </si>
  <si>
    <t>FREIGHT AND GOODS CLASS</t>
  </si>
  <si>
    <t>VISUAL AND STRUCTURE</t>
  </si>
  <si>
    <t>&gt;75</t>
  </si>
  <si>
    <t>AVERAGE</t>
  </si>
  <si>
    <t>TRUCK</t>
  </si>
  <si>
    <t>TRUCK AADT</t>
  </si>
  <si>
    <t>&lt;5</t>
  </si>
  <si>
    <t>5-10</t>
  </si>
  <si>
    <t>Remove Structure and Obstructions (5)</t>
  </si>
  <si>
    <t>TERRAIN</t>
  </si>
  <si>
    <t>(check one)</t>
  </si>
  <si>
    <t>FLAT</t>
  </si>
  <si>
    <t>ROLLING</t>
  </si>
  <si>
    <t>MOUNTAINOUS</t>
  </si>
  <si>
    <t>Minimum</t>
  </si>
  <si>
    <t>Speed:</t>
  </si>
  <si>
    <t>Ball Bank</t>
  </si>
  <si>
    <t>Avg.</t>
  </si>
  <si>
    <t>Dc</t>
  </si>
  <si>
    <t xml:space="preserve">     2) Horizontal Curvature Deficiency   Dc</t>
  </si>
  <si>
    <t>Vr:</t>
  </si>
  <si>
    <t>1 - Vr</t>
  </si>
  <si>
    <t>Vb</t>
  </si>
  <si>
    <t>Hc</t>
  </si>
  <si>
    <t>0.001 - 0.100</t>
  </si>
  <si>
    <t>0.101 - 0.200</t>
  </si>
  <si>
    <t>0.201 - 0.300</t>
  </si>
  <si>
    <t>0.301 - 0.400</t>
  </si>
  <si>
    <t>0.401 - 0.500</t>
  </si>
  <si>
    <t>HORIZONTAL ALIGNMENT (5 Pts. Max.)</t>
  </si>
  <si>
    <r>
      <t xml:space="preserve">b)  Calculate the ratio </t>
    </r>
    <r>
      <rPr>
        <b/>
        <sz val="10"/>
        <color indexed="30"/>
        <rFont val="MS Sans Serif"/>
        <family val="2"/>
      </rPr>
      <t>Vr</t>
    </r>
    <r>
      <rPr>
        <sz val="10"/>
        <rFont val="MS Sans Serif"/>
        <family val="2"/>
      </rPr>
      <t xml:space="preserve"> = Vb/Vd for all curves where Vb &lt; Vd</t>
    </r>
  </si>
  <si>
    <r>
      <t xml:space="preserve">a)  Determine "Safe Speed"   </t>
    </r>
    <r>
      <rPr>
        <b/>
        <sz val="10"/>
        <color indexed="30"/>
        <rFont val="MS Sans Serif"/>
        <family val="2"/>
      </rPr>
      <t>Vb</t>
    </r>
    <r>
      <rPr>
        <sz val="10"/>
        <color indexed="30"/>
        <rFont val="MS Sans Serif"/>
        <family val="2"/>
      </rPr>
      <t xml:space="preserve"> </t>
    </r>
    <r>
      <rPr>
        <sz val="10"/>
        <rFont val="MS Sans Serif"/>
        <family val="2"/>
      </rPr>
      <t>from Ball Bank Indicator readings</t>
    </r>
  </si>
  <si>
    <r>
      <t xml:space="preserve">c)  Calculate the Curvature Deficiency Index, </t>
    </r>
    <r>
      <rPr>
        <b/>
        <sz val="10"/>
        <color indexed="30"/>
        <rFont val="MS Sans Serif"/>
        <family val="2"/>
      </rPr>
      <t xml:space="preserve">Dc </t>
    </r>
  </si>
  <si>
    <r>
      <t xml:space="preserve">   </t>
    </r>
    <r>
      <rPr>
        <sz val="10"/>
        <color indexed="30"/>
        <rFont val="MS Sans Serif"/>
        <family val="2"/>
      </rPr>
      <t xml:space="preserve"> </t>
    </r>
    <r>
      <rPr>
        <b/>
        <sz val="10"/>
        <color indexed="30"/>
        <rFont val="MS Sans Serif"/>
        <family val="2"/>
      </rPr>
      <t>Dc</t>
    </r>
    <r>
      <rPr>
        <sz val="10"/>
        <rFont val="MS Sans Serif"/>
        <family val="2"/>
      </rPr>
      <t xml:space="preserve"> =  </t>
    </r>
    <r>
      <rPr>
        <sz val="14"/>
        <rFont val="MS Sans Serif"/>
        <family val="2"/>
      </rPr>
      <t xml:space="preserve">Σ </t>
    </r>
    <r>
      <rPr>
        <sz val="10"/>
        <rFont val="MS Sans Serif"/>
        <family val="2"/>
      </rPr>
      <t xml:space="preserve"> (1 -  Vrn)  for curves 1, 2, 3 ... n</t>
    </r>
  </si>
  <si>
    <r>
      <t xml:space="preserve">    3)  Horizontal Alignment Deficiency,</t>
    </r>
    <r>
      <rPr>
        <b/>
        <sz val="10"/>
        <color indexed="10"/>
        <rFont val="MS Sans Serif"/>
        <family val="2"/>
      </rPr>
      <t xml:space="preserve"> Hc   </t>
    </r>
  </si>
  <si>
    <t>ROADSIDE SAFETY CHECKLIST:</t>
  </si>
  <si>
    <r>
      <rPr>
        <b/>
        <u/>
        <sz val="10"/>
        <color indexed="12"/>
        <rFont val="MS Sans Serif"/>
        <family val="2"/>
      </rPr>
      <t>ROADSIDE SAFETY CHECKLIST</t>
    </r>
    <r>
      <rPr>
        <b/>
        <u/>
        <sz val="10"/>
        <rFont val="MS Sans Serif"/>
        <family val="2"/>
      </rPr>
      <t xml:space="preserve"> DEFINITIONS</t>
    </r>
  </si>
  <si>
    <t>Rate only fot those conditions that will be improved as indicated below</t>
  </si>
  <si>
    <t>ROADSIDE SAFETY:</t>
  </si>
  <si>
    <r>
      <t xml:space="preserve">Length of project to be improved in </t>
    </r>
    <r>
      <rPr>
        <b/>
        <sz val="10"/>
        <rFont val="MS Sans Serif"/>
        <family val="2"/>
      </rPr>
      <t>miles</t>
    </r>
    <r>
      <rPr>
        <sz val="10"/>
        <rFont val="MS Sans Serif"/>
      </rPr>
      <t xml:space="preserve">, only for slopes </t>
    </r>
    <r>
      <rPr>
        <u/>
        <sz val="10"/>
        <rFont val="MS Sans Serif"/>
        <family val="2"/>
      </rPr>
      <t>&gt;</t>
    </r>
    <r>
      <rPr>
        <sz val="10"/>
        <rFont val="MS Sans Serif"/>
      </rPr>
      <t xml:space="preserve"> 6 ft. and 2:1 or steeper.</t>
    </r>
  </si>
  <si>
    <t xml:space="preserve">      3:1 or flatter</t>
  </si>
  <si>
    <t>TOTAL 2R RAP WORKSHEET RATING:</t>
  </si>
  <si>
    <t>Count section improved only once for any and all guardrail and slope improvements</t>
  </si>
  <si>
    <t>VOLUME</t>
  </si>
  <si>
    <t>ROAD WIDTH (shoulder to shoulder)</t>
  </si>
  <si>
    <t>HORIZONTAL  ALIGNMENT</t>
  </si>
  <si>
    <t>SIDESLOPES &amp; GUARDRAIL</t>
  </si>
  <si>
    <t>CULVERT END TREATMENTS</t>
  </si>
  <si>
    <t>REMOVE STRUCTURES &amp; OBSTRUCTIONS</t>
  </si>
  <si>
    <t>Calculated as % project length treated X 5 pts</t>
  </si>
  <si>
    <t>2R RATING SUMMARY:</t>
  </si>
  <si>
    <t>(Click on underlined text to input project data)</t>
  </si>
  <si>
    <r>
      <t xml:space="preserve">Roadside Safety - Reduce Roadside Hazards (10 pts) - </t>
    </r>
    <r>
      <rPr>
        <b/>
        <sz val="8"/>
        <color indexed="10"/>
        <rFont val="MS Sans Serif"/>
        <family val="2"/>
      </rPr>
      <t>Attach Hazard Review Documentation</t>
    </r>
  </si>
  <si>
    <t>Reduce Roadside Hazards:</t>
  </si>
  <si>
    <t>Accident Rate = Total(From Above) / AADT</t>
  </si>
  <si>
    <t>RATE</t>
  </si>
  <si>
    <t>POINTS-ROADS</t>
  </si>
  <si>
    <t>POINTS-BRIDGES</t>
  </si>
  <si>
    <t>Acc./AADT</t>
  </si>
  <si>
    <t>X 1</t>
  </si>
  <si>
    <t>X 6</t>
  </si>
  <si>
    <t>possible</t>
  </si>
  <si>
    <t>scored</t>
  </si>
  <si>
    <t>SURFACE</t>
  </si>
  <si>
    <t>SUBSURFACE</t>
  </si>
  <si>
    <t>PROJECT LENGTH</t>
  </si>
  <si>
    <t xml:space="preserve">2:1 or steeper
either side   </t>
  </si>
  <si>
    <t>TRAFFIC VOLUME (5 Points Max.)</t>
  </si>
  <si>
    <t>TRAFFIC ACCIDENTS (5 Points Max.)</t>
  </si>
  <si>
    <t>STRUCTURE RATING</t>
  </si>
  <si>
    <t>LOCAL SIGNIFICANCE:</t>
  </si>
  <si>
    <t xml:space="preserve">      per biennium.)</t>
  </si>
  <si>
    <t>(15 points, one project</t>
  </si>
  <si>
    <t>type in 15 points if this is the most</t>
  </si>
  <si>
    <t>important RAP application this biennium</t>
  </si>
  <si>
    <t>(50 points max.)</t>
  </si>
  <si>
    <t>UTILITY POLES</t>
  </si>
  <si>
    <t>TOTAL STRUCTURAL RATING</t>
  </si>
  <si>
    <t>RAP 2R project</t>
  </si>
  <si>
    <t xml:space="preserve">   1.  Points for Surface and Subsurface visual portions of the STRUCTURAL CONDITION will be assigned by CRAB Engineer.</t>
  </si>
  <si>
    <t xml:space="preserve">   2.  No points are allowed for conditions which will not be improved by the proposed project.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</si>
  <si>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>6'</t>
    </r>
  </si>
  <si>
    <t xml:space="preserve">Subsurface
</t>
  </si>
  <si>
    <t>(15 points max.)</t>
  </si>
  <si>
    <t>TOTAL AADT</t>
  </si>
  <si>
    <t>TRAFFIC VOLUME RATING TABLE</t>
  </si>
  <si>
    <t>Minor, localized, longitudinal cracks;  rutting, spalling or ravelling;  minor seal patching has been required;  some transverse cracking</t>
  </si>
  <si>
    <t xml:space="preserve">Small areas that have required patching;  larger areas have required seal patching;  some longitudinal cracks, spalling, rutting, or ravelling </t>
  </si>
  <si>
    <t>Several areas that have required moderate to heavy patching; moderate to heavy cracking, spalling, rutting or ravelling.</t>
  </si>
  <si>
    <t>Large areas that have required asphalt patching and frequent seal coating;  heavy cracking, spalling, rutting and/or ravelling.</t>
  </si>
  <si>
    <t>Moderate alligator cracking mid lane, some sags on shoulders and  mid lane, minor localized settling</t>
  </si>
  <si>
    <t xml:space="preserve">     </t>
  </si>
  <si>
    <t>Large areas of heavy alligator cracking, extensive sagging and settling.</t>
  </si>
  <si>
    <t>Major subgrade deterioration;  extensive deep sags and settling;  heavy alligator cracking throughout section.</t>
  </si>
  <si>
    <t>SURFACE CONDITION (20 Points Max.)</t>
  </si>
  <si>
    <t>SUBSURFACE CONDITION (20 pts Max)</t>
  </si>
  <si>
    <t>Input the ratings furnished by CRAB</t>
  </si>
  <si>
    <t>(Includes Truck Class)</t>
  </si>
  <si>
    <t>VISUAL RATING SHEET</t>
  </si>
  <si>
    <t>WITH STANDARDS FORCOLLECTORS</t>
  </si>
  <si>
    <r>
      <rPr>
        <b/>
        <sz val="10"/>
        <color indexed="10"/>
        <rFont val="MS Sans Serif"/>
        <family val="2"/>
      </rPr>
      <t>Hc</t>
    </r>
    <r>
      <rPr>
        <sz val="10"/>
        <rFont val="MS Sans Serif"/>
        <family val="2"/>
      </rPr>
      <t xml:space="preserve"> = Dc / (3L)   where L = Length of Project in Miles</t>
    </r>
  </si>
  <si>
    <r>
      <t xml:space="preserve">     1)  Determine the minimum design speed - </t>
    </r>
    <r>
      <rPr>
        <b/>
        <sz val="10"/>
        <color indexed="30"/>
        <rFont val="MS Sans Serif"/>
        <family val="2"/>
      </rPr>
      <t>Vd</t>
    </r>
    <r>
      <rPr>
        <sz val="10"/>
        <rFont val="MS Sans Serif"/>
        <family val="2"/>
      </rPr>
      <t xml:space="preserve"> (volume and terrain)</t>
    </r>
  </si>
  <si>
    <t>Project Length</t>
  </si>
  <si>
    <t>Ratio</t>
  </si>
  <si>
    <t>to Std</t>
  </si>
  <si>
    <t>See below for definitions and calculation method</t>
  </si>
  <si>
    <r>
      <t xml:space="preserve">INPUT   ALL   </t>
    </r>
    <r>
      <rPr>
        <b/>
        <sz val="10"/>
        <color indexed="10"/>
        <rFont val="MS Sans Serif"/>
        <family val="2"/>
      </rPr>
      <t>DEFICIENT</t>
    </r>
    <r>
      <rPr>
        <sz val="10"/>
        <color indexed="10"/>
        <rFont val="MS Sans Serif"/>
        <family val="2"/>
      </rPr>
      <t xml:space="preserve">   CURVES
(curves designed into the existing alignment)</t>
    </r>
  </si>
  <si>
    <t>UNADJUSTED FOR % IMPROVEMENT</t>
  </si>
  <si>
    <t>UNADJUSTED POINTS</t>
  </si>
  <si>
    <t>AASHTO Stnd (Not applied to 2R projects)</t>
  </si>
  <si>
    <t>See rating sheet below</t>
  </si>
  <si>
    <t>See calculation sheet below</t>
  </si>
  <si>
    <t>ROADBED WIDTH CALCULATION</t>
  </si>
  <si>
    <t>ACCIDENT RATE =</t>
  </si>
  <si>
    <r>
      <t xml:space="preserve">Determine Accident </t>
    </r>
    <r>
      <rPr>
        <b/>
        <sz val="10"/>
        <rFont val="MS Sans Serif"/>
        <family val="2"/>
      </rPr>
      <t>Rating</t>
    </r>
    <r>
      <rPr>
        <sz val="10"/>
        <rFont val="MS Sans Serif"/>
        <family val="2"/>
      </rPr>
      <t xml:space="preserve"> using table below.</t>
    </r>
  </si>
  <si>
    <t>TOTAL ACCIDENT RATING</t>
  </si>
  <si>
    <t>SCORE</t>
  </si>
  <si>
    <t xml:space="preserve">     Proposed width gains no points beyond:</t>
  </si>
  <si>
    <t>(Design STD Roadbed width)</t>
  </si>
  <si>
    <t>SCORE:</t>
  </si>
  <si>
    <t>NE Region</t>
  </si>
  <si>
    <t>Number of 'Hazard'</t>
  </si>
  <si>
    <t>3'</t>
  </si>
  <si>
    <t>&gt;=4'</t>
  </si>
  <si>
    <t xml:space="preserve"> If forested, and to be cleared, count 1 object every 100 ft</t>
  </si>
  <si>
    <t xml:space="preserve">    If forested, and to be cleared, count 1 object every 100 ft</t>
  </si>
  <si>
    <t>Total Roadway</t>
  </si>
  <si>
    <r>
      <t>ROADBED WIDTH</t>
    </r>
    <r>
      <rPr>
        <sz val="8"/>
        <rFont val="MS Sans Serif"/>
      </rPr>
      <t xml:space="preserve"> </t>
    </r>
  </si>
  <si>
    <t>outside of shoulder to outside of shoulder</t>
  </si>
  <si>
    <t>miles to hundredths</t>
  </si>
  <si>
    <t>Use the last five 
full years' reports</t>
  </si>
  <si>
    <t>NE - 2R</t>
  </si>
  <si>
    <t>Calculating Error</t>
  </si>
  <si>
    <t>11-25</t>
  </si>
  <si>
    <t>26-50</t>
  </si>
  <si>
    <t>51-75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</si>
</sst>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yyyy"/>
    <numFmt numFmtId="165" formatCode="#,###"/>
    <numFmt numFmtId="166" formatCode="0.0"/>
    <numFmt numFmtId="167" formatCode="#,##0.0_);[Red]\(#,##0.0\)"/>
    <numFmt numFmtId="168" formatCode="[$-409]mmmm\ d\,\ yyyy;@"/>
    <numFmt numFmtId="169" formatCode="mm/dd/yy;@"/>
    <numFmt numFmtId="170" formatCode="0.0000"/>
  </numFmts>
  <fonts count="81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u/>
      <sz val="8"/>
      <name val="MS Sans Serif"/>
      <family val="2"/>
    </font>
    <font>
      <sz val="8"/>
      <color indexed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b/>
      <u/>
      <sz val="10"/>
      <color indexed="12"/>
      <name val="MS Sans Serif"/>
      <family val="2"/>
    </font>
    <font>
      <sz val="10"/>
      <color indexed="9"/>
      <name val="MS Sans Serif"/>
      <family val="2"/>
    </font>
    <font>
      <b/>
      <sz val="10"/>
      <name val="Arial"/>
      <family val="2"/>
    </font>
    <font>
      <sz val="8.5"/>
      <name val="MS Sans Serif"/>
      <family val="2"/>
    </font>
    <font>
      <sz val="14"/>
      <color indexed="10"/>
      <name val="MS Sans Serif"/>
      <family val="2"/>
    </font>
    <font>
      <sz val="7"/>
      <color indexed="10"/>
      <name val="MS Sans Serif"/>
      <family val="2"/>
    </font>
    <font>
      <sz val="10"/>
      <name val="MS Sans Serif"/>
      <family val="2"/>
    </font>
    <font>
      <sz val="9.5"/>
      <name val="MS Sans Serif"/>
      <family val="2"/>
    </font>
    <font>
      <u/>
      <sz val="7"/>
      <name val="MS Sans Serif"/>
      <family val="2"/>
    </font>
    <font>
      <sz val="14"/>
      <name val="MS Sans Serif"/>
      <family val="2"/>
    </font>
    <font>
      <sz val="10"/>
      <color indexed="30"/>
      <name val="MS Sans Serif"/>
      <family val="2"/>
    </font>
    <font>
      <b/>
      <sz val="10"/>
      <color indexed="30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name val="MS Sans Serif"/>
      <family val="2"/>
    </font>
    <font>
      <b/>
      <u/>
      <sz val="14"/>
      <color indexed="12"/>
      <name val="Arial"/>
      <family val="2"/>
    </font>
    <font>
      <b/>
      <u/>
      <sz val="18"/>
      <color indexed="12"/>
      <name val="Arial"/>
      <family val="2"/>
    </font>
    <font>
      <b/>
      <sz val="8"/>
      <color indexed="10"/>
      <name val="MS Sans Serif"/>
      <family val="2"/>
    </font>
    <font>
      <sz val="7"/>
      <name val="MS Sans Serif"/>
      <family val="2"/>
    </font>
    <font>
      <b/>
      <sz val="14"/>
      <color indexed="14"/>
      <name val="MS Sans Serif"/>
      <family val="2"/>
    </font>
    <font>
      <b/>
      <sz val="9"/>
      <name val="MS Sans Serif"/>
      <family val="2"/>
    </font>
    <font>
      <sz val="12"/>
      <name val="Arial"/>
      <family val="2"/>
    </font>
    <font>
      <b/>
      <sz val="8.5"/>
      <name val="MS Sans Serif"/>
      <family val="2"/>
    </font>
    <font>
      <b/>
      <sz val="8"/>
      <name val="Arial"/>
      <family val="2"/>
    </font>
    <font>
      <i/>
      <sz val="10"/>
      <name val="MS Sans Serif"/>
      <family val="2"/>
    </font>
    <font>
      <sz val="8"/>
      <name val="MS Sans Serif"/>
    </font>
    <font>
      <b/>
      <sz val="8"/>
      <name val="MS Sans Serif"/>
    </font>
    <font>
      <u/>
      <sz val="8"/>
      <name val="MS Sans Serif"/>
    </font>
    <font>
      <sz val="11"/>
      <color theme="1"/>
      <name val="Arial"/>
      <family val="2"/>
    </font>
    <font>
      <sz val="10"/>
      <color theme="0" tint="-0.14999847407452621"/>
      <name val="MS Sans Serif"/>
      <family val="2"/>
    </font>
    <font>
      <b/>
      <sz val="10"/>
      <color rgb="FFFF0000"/>
      <name val="MS Sans Serif"/>
      <family val="2"/>
    </font>
    <font>
      <b/>
      <u/>
      <sz val="10"/>
      <color rgb="FF0070C0"/>
      <name val="MS Sans Serif"/>
      <family val="2"/>
    </font>
    <font>
      <b/>
      <sz val="10"/>
      <color rgb="FF0070C0"/>
      <name val="MS Sans Serif"/>
      <family val="2"/>
    </font>
    <font>
      <sz val="10"/>
      <color theme="0"/>
      <name val="MS Sans Serif"/>
      <family val="2"/>
    </font>
    <font>
      <b/>
      <sz val="10"/>
      <color rgb="FFC00000"/>
      <name val="MS Sans Serif"/>
      <family val="2"/>
    </font>
    <font>
      <b/>
      <sz val="12"/>
      <color rgb="FFFF0000"/>
      <name val="MS Sans Serif"/>
      <family val="2"/>
    </font>
    <font>
      <b/>
      <sz val="14"/>
      <color rgb="FF7030A0"/>
      <name val="MS Sans Serif"/>
      <family val="2"/>
    </font>
    <font>
      <b/>
      <sz val="18"/>
      <color rgb="FF7030A0"/>
      <name val="MS Sans Serif"/>
      <family val="2"/>
    </font>
    <font>
      <b/>
      <u/>
      <sz val="10"/>
      <color rgb="FF7030A0"/>
      <name val="MS Sans Serif"/>
      <family val="2"/>
    </font>
    <font>
      <b/>
      <sz val="10"/>
      <color rgb="FF0000FF"/>
      <name val="MS Sans Serif"/>
      <family val="2"/>
    </font>
    <font>
      <b/>
      <u/>
      <sz val="10"/>
      <color rgb="FF0000FF"/>
      <name val="MS Sans Serif"/>
      <family val="2"/>
    </font>
    <font>
      <sz val="8"/>
      <color theme="0"/>
      <name val="MS Sans Serif"/>
      <family val="2"/>
    </font>
    <font>
      <sz val="8"/>
      <color rgb="FFC00000"/>
      <name val="MS Sans Serif"/>
      <family val="2"/>
    </font>
    <font>
      <sz val="10"/>
      <color rgb="FFC00000"/>
      <name val="MS Sans Serif"/>
      <family val="2"/>
    </font>
    <font>
      <b/>
      <u/>
      <sz val="12"/>
      <color rgb="FFFF0000"/>
      <name val="MS Sans Serif"/>
      <family val="2"/>
    </font>
    <font>
      <sz val="10"/>
      <color rgb="FFFF0000"/>
      <name val="MS Sans Serif"/>
    </font>
    <font>
      <b/>
      <sz val="18"/>
      <color rgb="FF7030A0"/>
      <name val="Arial"/>
      <family val="2"/>
    </font>
    <font>
      <b/>
      <u/>
      <sz val="8"/>
      <color rgb="FF0000FF"/>
      <name val="MS Sans Serif"/>
      <family val="2"/>
    </font>
    <font>
      <b/>
      <sz val="8"/>
      <color rgb="FFFF0000"/>
      <name val="MS Sans Serif"/>
      <family val="2"/>
    </font>
    <font>
      <b/>
      <sz val="8"/>
      <color rgb="FFFF0000"/>
      <name val="MS Sans Serif"/>
    </font>
    <font>
      <b/>
      <sz val="8"/>
      <color rgb="FFC00000"/>
      <name val="MS Sans Serif"/>
    </font>
    <font>
      <b/>
      <sz val="20"/>
      <color rgb="FF0070C0"/>
      <name val="MS Sans Serif"/>
      <family val="2"/>
    </font>
    <font>
      <b/>
      <sz val="7"/>
      <color rgb="FFFF0000"/>
      <name val="MS Sans Serif"/>
      <family val="2"/>
    </font>
    <font>
      <b/>
      <sz val="8.5"/>
      <color rgb="FFFF0000"/>
      <name val="MS Sans Serif"/>
      <family val="2"/>
    </font>
    <font>
      <b/>
      <sz val="10"/>
      <color rgb="FFFF0000"/>
      <name val="MS Sans Serif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50"/>
      </right>
      <top/>
      <bottom/>
      <diagonal/>
    </border>
    <border>
      <left/>
      <right/>
      <top/>
      <bottom style="medium">
        <color indexed="50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50"/>
      </left>
      <right/>
      <top/>
      <bottom style="thin">
        <color indexed="64"/>
      </bottom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rgb="FF660066"/>
      </left>
      <right style="medium">
        <color rgb="FF660066"/>
      </right>
      <top style="medium">
        <color rgb="FF660066"/>
      </top>
      <bottom style="medium">
        <color rgb="FF660066"/>
      </bottom>
      <diagonal/>
    </border>
    <border>
      <left style="thick">
        <color rgb="FFD60093"/>
      </left>
      <right style="thick">
        <color rgb="FFD60093"/>
      </right>
      <top style="thick">
        <color rgb="FFD60093"/>
      </top>
      <bottom style="thick">
        <color rgb="FFD60093"/>
      </bottom>
      <diagonal/>
    </border>
    <border>
      <left style="medium">
        <color rgb="FFCC0066"/>
      </left>
      <right style="medium">
        <color rgb="FFCC0066"/>
      </right>
      <top style="medium">
        <color rgb="FFCC0066"/>
      </top>
      <bottom style="medium">
        <color rgb="FFCC0066"/>
      </bottom>
      <diagonal/>
    </border>
  </borders>
  <cellStyleXfs count="9">
    <xf numFmtId="0" fontId="0" fillId="0" borderId="0"/>
    <xf numFmtId="40" fontId="33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6" fillId="0" borderId="0">
      <alignment horizontal="center"/>
    </xf>
    <xf numFmtId="0" fontId="25" fillId="0" borderId="0"/>
    <xf numFmtId="0" fontId="2" fillId="0" borderId="0"/>
    <xf numFmtId="9" fontId="2" fillId="0" borderId="0" applyFont="0" applyFill="0" applyBorder="0" applyAlignment="0" applyProtection="0"/>
  </cellStyleXfs>
  <cellXfs count="49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1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1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0" fillId="0" borderId="3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6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2" fontId="0" fillId="0" borderId="3" xfId="0" applyNumberFormat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2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2" fontId="0" fillId="0" borderId="3" xfId="0" applyNumberForma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center"/>
    </xf>
    <xf numFmtId="9" fontId="25" fillId="0" borderId="3" xfId="8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9" fontId="25" fillId="0" borderId="0" xfId="8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/>
    <xf numFmtId="0" fontId="5" fillId="0" borderId="0" xfId="6" applyFont="1" applyAlignment="1">
      <alignment horizontal="lef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0" borderId="0" xfId="6" applyFont="1" applyAlignment="1">
      <alignment horizontal="left"/>
    </xf>
    <xf numFmtId="0" fontId="9" fillId="0" borderId="0" xfId="0" applyFont="1" applyBorder="1" applyAlignment="1" applyProtection="1">
      <alignment horizontal="left"/>
    </xf>
    <xf numFmtId="0" fontId="19" fillId="0" borderId="5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right"/>
    </xf>
    <xf numFmtId="0" fontId="0" fillId="0" borderId="5" xfId="0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0" fillId="0" borderId="6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27" fillId="0" borderId="0" xfId="6" applyFont="1" applyAlignment="1">
      <alignment horizontal="left"/>
    </xf>
    <xf numFmtId="0" fontId="6" fillId="0" borderId="0" xfId="6" applyFont="1" applyAlignment="1"/>
    <xf numFmtId="0" fontId="5" fillId="0" borderId="0" xfId="6" applyFont="1" applyAlignment="1">
      <alignment horizontal="right"/>
    </xf>
    <xf numFmtId="0" fontId="6" fillId="0" borderId="0" xfId="6" applyFont="1" applyAlignment="1">
      <alignment horizontal="center"/>
    </xf>
    <xf numFmtId="165" fontId="6" fillId="0" borderId="0" xfId="6" applyNumberFormat="1" applyFont="1" applyAlignment="1">
      <alignment horizontal="center"/>
    </xf>
    <xf numFmtId="165" fontId="6" fillId="0" borderId="7" xfId="6" applyNumberFormat="1" applyFont="1" applyBorder="1" applyAlignment="1">
      <alignment horizontal="center"/>
    </xf>
    <xf numFmtId="0" fontId="6" fillId="0" borderId="0" xfId="6" quotePrefix="1" applyFont="1" applyAlignment="1">
      <alignment horizontal="center"/>
    </xf>
    <xf numFmtId="165" fontId="14" fillId="0" borderId="7" xfId="6" applyNumberFormat="1" applyFont="1" applyBorder="1" applyAlignment="1">
      <alignment horizontal="center"/>
    </xf>
    <xf numFmtId="3" fontId="4" fillId="0" borderId="2" xfId="6" applyNumberFormat="1" applyFont="1" applyBorder="1" applyAlignment="1">
      <alignment horizontal="center"/>
    </xf>
    <xf numFmtId="0" fontId="6" fillId="0" borderId="0" xfId="6" applyFont="1" applyAlignment="1">
      <alignment horizontal="right"/>
    </xf>
    <xf numFmtId="1" fontId="4" fillId="0" borderId="0" xfId="6" applyNumberFormat="1" applyFont="1" applyAlignment="1"/>
    <xf numFmtId="0" fontId="6" fillId="0" borderId="8" xfId="6" applyFont="1" applyBorder="1" applyAlignment="1">
      <alignment horizontal="left"/>
    </xf>
    <xf numFmtId="0" fontId="6" fillId="0" borderId="1" xfId="6" applyFont="1" applyBorder="1" applyAlignment="1">
      <alignment horizontal="left"/>
    </xf>
    <xf numFmtId="0" fontId="6" fillId="0" borderId="1" xfId="6" applyFont="1" applyBorder="1" applyAlignment="1">
      <alignment horizontal="center"/>
    </xf>
    <xf numFmtId="0" fontId="6" fillId="0" borderId="9" xfId="6" applyFont="1" applyBorder="1" applyAlignment="1">
      <alignment horizontal="left"/>
    </xf>
    <xf numFmtId="0" fontId="5" fillId="0" borderId="9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28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28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0" fillId="0" borderId="6" xfId="0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Border="1" applyAlignment="1" applyProtection="1">
      <alignment horizontal="left"/>
    </xf>
    <xf numFmtId="0" fontId="18" fillId="2" borderId="0" xfId="0" applyFont="1" applyFill="1" applyProtection="1"/>
    <xf numFmtId="2" fontId="0" fillId="2" borderId="0" xfId="0" applyNumberForma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55" fillId="2" borderId="0" xfId="0" applyFont="1" applyFill="1" applyAlignment="1" applyProtection="1">
      <alignment horizontal="left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6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16" fontId="6" fillId="0" borderId="0" xfId="6" quotePrefix="1" applyNumberFormat="1" applyFont="1" applyBorder="1" applyAlignment="1">
      <alignment horizontal="center"/>
    </xf>
    <xf numFmtId="38" fontId="13" fillId="0" borderId="11" xfId="2" applyNumberFormat="1" applyFont="1" applyBorder="1" applyAlignment="1">
      <alignment horizontal="center"/>
    </xf>
    <xf numFmtId="0" fontId="34" fillId="0" borderId="9" xfId="6" applyFont="1" applyBorder="1" applyAlignment="1">
      <alignment horizontal="left"/>
    </xf>
    <xf numFmtId="0" fontId="5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32" xfId="0" applyBorder="1" applyAlignment="1" applyProtection="1">
      <alignment horizontal="left"/>
    </xf>
    <xf numFmtId="0" fontId="0" fillId="0" borderId="32" xfId="0" applyBorder="1" applyAlignment="1" applyProtection="1">
      <alignment horizontal="right"/>
    </xf>
    <xf numFmtId="0" fontId="0" fillId="0" borderId="0" xfId="0" applyBorder="1" applyAlignment="1"/>
    <xf numFmtId="0" fontId="57" fillId="0" borderId="0" xfId="6" applyFont="1" applyFill="1" applyBorder="1" applyAlignment="1">
      <alignment horizontal="center"/>
    </xf>
    <xf numFmtId="0" fontId="57" fillId="0" borderId="0" xfId="6" quotePrefix="1" applyFont="1" applyFill="1" applyBorder="1" applyAlignment="1">
      <alignment horizontal="center"/>
    </xf>
    <xf numFmtId="0" fontId="57" fillId="0" borderId="0" xfId="6" applyFont="1" applyBorder="1" applyAlignment="1">
      <alignment horizontal="center"/>
    </xf>
    <xf numFmtId="0" fontId="58" fillId="0" borderId="0" xfId="6" applyFont="1" applyBorder="1" applyAlignment="1">
      <alignment horizontal="right"/>
    </xf>
    <xf numFmtId="0" fontId="0" fillId="0" borderId="33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34" xfId="0" applyBorder="1" applyAlignment="1" applyProtection="1"/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left"/>
    </xf>
    <xf numFmtId="0" fontId="0" fillId="0" borderId="36" xfId="0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0" fillId="0" borderId="32" xfId="0" applyFill="1" applyBorder="1" applyAlignment="1" applyProtection="1">
      <alignment horizontal="center"/>
    </xf>
    <xf numFmtId="0" fontId="0" fillId="0" borderId="32" xfId="0" quotePrefix="1" applyFill="1" applyBorder="1" applyAlignment="1" applyProtection="1">
      <alignment horizontal="center"/>
    </xf>
    <xf numFmtId="9" fontId="0" fillId="0" borderId="32" xfId="0" applyNumberFormat="1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right"/>
    </xf>
    <xf numFmtId="0" fontId="30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0" fillId="0" borderId="38" xfId="0" applyBorder="1" applyAlignment="1" applyProtection="1">
      <alignment horizontal="left"/>
    </xf>
    <xf numFmtId="0" fontId="0" fillId="0" borderId="39" xfId="0" applyBorder="1" applyAlignment="1" applyProtection="1">
      <alignment horizontal="left"/>
    </xf>
    <xf numFmtId="0" fontId="18" fillId="0" borderId="36" xfId="0" applyFont="1" applyBorder="1" applyAlignment="1" applyProtection="1">
      <alignment horizontal="center"/>
    </xf>
    <xf numFmtId="2" fontId="20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right"/>
    </xf>
    <xf numFmtId="0" fontId="0" fillId="0" borderId="36" xfId="0" applyBorder="1" applyProtection="1"/>
    <xf numFmtId="0" fontId="25" fillId="0" borderId="36" xfId="0" applyFont="1" applyBorder="1" applyProtection="1"/>
    <xf numFmtId="2" fontId="7" fillId="0" borderId="0" xfId="0" applyNumberFormat="1" applyFon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2" fontId="20" fillId="0" borderId="12" xfId="0" applyNumberFormat="1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1" fillId="3" borderId="3" xfId="7" applyFont="1" applyFill="1" applyBorder="1" applyAlignment="1" applyProtection="1">
      <alignment horizontal="center"/>
      <protection locked="0"/>
    </xf>
    <xf numFmtId="0" fontId="1" fillId="3" borderId="13" xfId="7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left"/>
    </xf>
    <xf numFmtId="0" fontId="0" fillId="0" borderId="15" xfId="0" applyFill="1" applyBorder="1" applyAlignment="1" applyProtection="1">
      <alignment horizontal="left"/>
    </xf>
    <xf numFmtId="0" fontId="0" fillId="0" borderId="16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Protection="1"/>
    <xf numFmtId="0" fontId="0" fillId="0" borderId="5" xfId="0" applyFill="1" applyBorder="1" applyProtection="1"/>
    <xf numFmtId="0" fontId="24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left"/>
    </xf>
    <xf numFmtId="0" fontId="32" fillId="0" borderId="0" xfId="0" applyFont="1" applyFill="1" applyBorder="1" applyAlignment="1" applyProtection="1">
      <alignment vertical="top" wrapText="1"/>
    </xf>
    <xf numFmtId="0" fontId="24" fillId="0" borderId="5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horizontal="left"/>
    </xf>
    <xf numFmtId="0" fontId="21" fillId="0" borderId="3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textRotation="180"/>
    </xf>
    <xf numFmtId="9" fontId="1" fillId="0" borderId="0" xfId="8" applyFont="1" applyFill="1" applyBorder="1" applyAlignment="1" applyProtection="1">
      <alignment horizontal="center"/>
    </xf>
    <xf numFmtId="9" fontId="5" fillId="0" borderId="0" xfId="8" applyFont="1" applyFill="1" applyBorder="1" applyAlignment="1" applyProtection="1">
      <alignment horizontal="right"/>
    </xf>
    <xf numFmtId="0" fontId="1" fillId="0" borderId="0" xfId="7" applyFont="1" applyFill="1" applyBorder="1" applyProtection="1"/>
    <xf numFmtId="0" fontId="0" fillId="0" borderId="19" xfId="0" applyFill="1" applyBorder="1" applyProtection="1"/>
    <xf numFmtId="0" fontId="2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166" fontId="0" fillId="0" borderId="3" xfId="0" applyNumberForma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center"/>
    </xf>
    <xf numFmtId="9" fontId="59" fillId="0" borderId="0" xfId="8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56" fillId="0" borderId="0" xfId="0" applyFont="1" applyBorder="1" applyAlignment="1" applyProtection="1">
      <alignment horizontal="left"/>
    </xf>
    <xf numFmtId="0" fontId="6" fillId="3" borderId="3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left" vertical="center"/>
    </xf>
    <xf numFmtId="0" fontId="0" fillId="0" borderId="40" xfId="0" applyFill="1" applyBorder="1" applyAlignment="1" applyProtection="1">
      <alignment horizontal="left"/>
    </xf>
    <xf numFmtId="0" fontId="0" fillId="0" borderId="41" xfId="0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center"/>
    </xf>
    <xf numFmtId="2" fontId="56" fillId="0" borderId="0" xfId="0" quotePrefix="1" applyNumberFormat="1" applyFont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/>
    </xf>
    <xf numFmtId="0" fontId="0" fillId="0" borderId="42" xfId="0" applyBorder="1" applyProtection="1"/>
    <xf numFmtId="0" fontId="0" fillId="0" borderId="43" xfId="0" applyBorder="1" applyProtection="1"/>
    <xf numFmtId="0" fontId="0" fillId="0" borderId="44" xfId="0" applyBorder="1" applyProtection="1"/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19" fillId="0" borderId="20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/>
    <xf numFmtId="0" fontId="0" fillId="0" borderId="17" xfId="0" applyFill="1" applyBorder="1" applyAlignment="1" applyProtection="1">
      <alignment horizontal="right"/>
    </xf>
    <xf numFmtId="167" fontId="0" fillId="0" borderId="0" xfId="1" applyNumberFormat="1" applyFont="1" applyFill="1" applyBorder="1" applyAlignment="1" applyProtection="1">
      <alignment horizontal="center"/>
    </xf>
    <xf numFmtId="167" fontId="0" fillId="0" borderId="2" xfId="1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vertical="center"/>
    </xf>
    <xf numFmtId="0" fontId="0" fillId="4" borderId="0" xfId="0" applyFill="1" applyProtection="1"/>
    <xf numFmtId="0" fontId="0" fillId="4" borderId="0" xfId="0" applyFill="1" applyBorder="1" applyProtection="1"/>
    <xf numFmtId="2" fontId="60" fillId="4" borderId="0" xfId="0" applyNumberFormat="1" applyFont="1" applyFill="1" applyBorder="1" applyAlignment="1" applyProtection="1">
      <alignment horizontal="center" vertical="center"/>
    </xf>
    <xf numFmtId="0" fontId="0" fillId="0" borderId="37" xfId="0" applyBorder="1" applyProtection="1"/>
    <xf numFmtId="0" fontId="0" fillId="0" borderId="38" xfId="0" applyBorder="1" applyProtection="1"/>
    <xf numFmtId="0" fontId="0" fillId="0" borderId="39" xfId="0" applyBorder="1" applyProtection="1"/>
    <xf numFmtId="0" fontId="39" fillId="0" borderId="15" xfId="0" applyFont="1" applyFill="1" applyBorder="1" applyAlignment="1" applyProtection="1">
      <alignment vertical="center"/>
    </xf>
    <xf numFmtId="0" fontId="0" fillId="0" borderId="34" xfId="0" applyFill="1" applyBorder="1" applyProtection="1"/>
    <xf numFmtId="0" fontId="3" fillId="0" borderId="0" xfId="3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horizontal="center"/>
    </xf>
    <xf numFmtId="0" fontId="44" fillId="0" borderId="0" xfId="7" applyFont="1" applyFill="1" applyBorder="1" applyAlignment="1" applyProtection="1">
      <alignment horizontal="center"/>
    </xf>
    <xf numFmtId="0" fontId="35" fillId="0" borderId="0" xfId="7" applyFont="1" applyFill="1" applyBorder="1" applyAlignment="1" applyProtection="1">
      <alignment horizontal="center"/>
    </xf>
    <xf numFmtId="9" fontId="24" fillId="0" borderId="0" xfId="8" applyFont="1" applyFill="1" applyBorder="1" applyAlignment="1" applyProtection="1">
      <alignment horizontal="left"/>
    </xf>
    <xf numFmtId="0" fontId="11" fillId="0" borderId="0" xfId="0" quotePrefix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right" vertical="top"/>
    </xf>
    <xf numFmtId="0" fontId="11" fillId="0" borderId="0" xfId="0" applyFont="1" applyBorder="1" applyAlignment="1" applyProtection="1">
      <alignment horizontal="left"/>
    </xf>
    <xf numFmtId="0" fontId="55" fillId="0" borderId="33" xfId="0" applyFont="1" applyFill="1" applyBorder="1" applyAlignment="1" applyProtection="1">
      <alignment horizontal="left"/>
    </xf>
    <xf numFmtId="0" fontId="55" fillId="0" borderId="34" xfId="0" applyFont="1" applyFill="1" applyBorder="1" applyAlignment="1" applyProtection="1">
      <alignment horizontal="left"/>
    </xf>
    <xf numFmtId="0" fontId="55" fillId="0" borderId="35" xfId="0" applyFont="1" applyFill="1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4" fillId="0" borderId="12" xfId="0" applyFont="1" applyBorder="1" applyAlignment="1" applyProtection="1">
      <alignment horizontal="center"/>
    </xf>
    <xf numFmtId="2" fontId="56" fillId="0" borderId="12" xfId="0" quotePrefix="1" applyNumberFormat="1" applyFont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left"/>
    </xf>
    <xf numFmtId="0" fontId="0" fillId="0" borderId="12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2" fontId="19" fillId="0" borderId="0" xfId="0" applyNumberFormat="1" applyFont="1" applyBorder="1" applyAlignment="1" applyProtection="1">
      <alignment horizontal="center"/>
    </xf>
    <xf numFmtId="1" fontId="0" fillId="3" borderId="3" xfId="0" applyNumberForma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right"/>
    </xf>
    <xf numFmtId="9" fontId="59" fillId="0" borderId="0" xfId="8" quotePrefix="1" applyFont="1" applyFill="1" applyBorder="1" applyAlignment="1" applyProtection="1">
      <alignment horizontal="center"/>
    </xf>
    <xf numFmtId="0" fontId="59" fillId="0" borderId="0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18" fillId="0" borderId="12" xfId="0" applyFont="1" applyBorder="1" applyAlignment="1" applyProtection="1">
      <alignment horizontal="right"/>
    </xf>
    <xf numFmtId="0" fontId="9" fillId="0" borderId="12" xfId="0" applyFont="1" applyBorder="1" applyAlignment="1" applyProtection="1">
      <alignment horizontal="right"/>
    </xf>
    <xf numFmtId="0" fontId="4" fillId="0" borderId="0" xfId="0" applyFont="1" applyProtection="1"/>
    <xf numFmtId="0" fontId="15" fillId="0" borderId="12" xfId="0" applyFont="1" applyBorder="1" applyAlignment="1" applyProtection="1">
      <alignment horizontal="left"/>
    </xf>
    <xf numFmtId="0" fontId="3" fillId="0" borderId="0" xfId="3" applyBorder="1" applyAlignment="1" applyProtection="1">
      <alignment horizontal="left"/>
      <protection locked="0"/>
    </xf>
    <xf numFmtId="0" fontId="3" fillId="0" borderId="0" xfId="3" applyBorder="1" applyAlignment="1" applyProtection="1">
      <protection locked="0"/>
    </xf>
    <xf numFmtId="0" fontId="21" fillId="0" borderId="2" xfId="0" applyFont="1" applyFill="1" applyBorder="1" applyProtection="1"/>
    <xf numFmtId="0" fontId="6" fillId="0" borderId="2" xfId="0" applyFont="1" applyFill="1" applyBorder="1" applyProtection="1"/>
    <xf numFmtId="168" fontId="0" fillId="0" borderId="0" xfId="0" applyNumberFormat="1" applyFill="1" applyBorder="1" applyAlignment="1" applyProtection="1"/>
    <xf numFmtId="168" fontId="0" fillId="0" borderId="0" xfId="0" applyNumberFormat="1" applyFill="1" applyBorder="1" applyAlignment="1" applyProtection="1">
      <alignment horizontal="center"/>
    </xf>
    <xf numFmtId="0" fontId="0" fillId="0" borderId="20" xfId="0" applyFill="1" applyBorder="1" applyAlignment="1" applyProtection="1"/>
    <xf numFmtId="0" fontId="17" fillId="0" borderId="7" xfId="0" applyFont="1" applyFill="1" applyBorder="1" applyAlignment="1" applyProtection="1">
      <protection locked="0"/>
    </xf>
    <xf numFmtId="0" fontId="61" fillId="0" borderId="22" xfId="0" applyFont="1" applyBorder="1" applyAlignment="1" applyProtection="1">
      <alignment textRotation="180"/>
    </xf>
    <xf numFmtId="0" fontId="61" fillId="0" borderId="0" xfId="0" applyFont="1" applyBorder="1" applyAlignment="1" applyProtection="1">
      <alignment textRotation="180"/>
    </xf>
    <xf numFmtId="0" fontId="56" fillId="0" borderId="0" xfId="0" applyFont="1" applyAlignment="1" applyProtection="1">
      <alignment horizontal="left"/>
    </xf>
    <xf numFmtId="0" fontId="6" fillId="0" borderId="20" xfId="0" applyFont="1" applyFill="1" applyBorder="1" applyAlignment="1" applyProtection="1">
      <alignment horizontal="left"/>
    </xf>
    <xf numFmtId="0" fontId="3" fillId="0" borderId="0" xfId="3" applyBorder="1" applyAlignment="1" applyProtection="1"/>
    <xf numFmtId="0" fontId="3" fillId="0" borderId="1" xfId="3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0" fillId="7" borderId="0" xfId="0" applyFill="1" applyBorder="1" applyProtection="1"/>
    <xf numFmtId="0" fontId="44" fillId="0" borderId="2" xfId="0" applyFont="1" applyFill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right"/>
    </xf>
    <xf numFmtId="0" fontId="62" fillId="0" borderId="0" xfId="0" applyFont="1" applyBorder="1" applyAlignment="1" applyProtection="1">
      <alignment wrapText="1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62" fillId="0" borderId="0" xfId="0" applyFont="1" applyBorder="1" applyAlignment="1" applyProtection="1"/>
    <xf numFmtId="0" fontId="21" fillId="0" borderId="0" xfId="0" applyFont="1" applyFill="1" applyBorder="1" applyAlignment="1" applyProtection="1"/>
    <xf numFmtId="0" fontId="6" fillId="0" borderId="2" xfId="0" applyFont="1" applyFill="1" applyBorder="1" applyAlignment="1" applyProtection="1">
      <alignment horizontal="left"/>
    </xf>
    <xf numFmtId="0" fontId="59" fillId="0" borderId="0" xfId="0" applyFont="1" applyFill="1" applyBorder="1" applyAlignment="1" applyProtection="1">
      <alignment horizontal="center"/>
    </xf>
    <xf numFmtId="0" fontId="0" fillId="0" borderId="17" xfId="0" applyFill="1" applyBorder="1" applyProtection="1"/>
    <xf numFmtId="0" fontId="6" fillId="0" borderId="23" xfId="6" applyFont="1" applyFill="1" applyBorder="1" applyAlignment="1">
      <alignment horizontal="center" vertical="center"/>
    </xf>
    <xf numFmtId="0" fontId="63" fillId="0" borderId="0" xfId="0" applyFont="1" applyBorder="1" applyAlignment="1" applyProtection="1">
      <alignment vertical="top" wrapText="1"/>
    </xf>
    <xf numFmtId="0" fontId="63" fillId="0" borderId="32" xfId="0" applyFont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right" vertical="center"/>
    </xf>
    <xf numFmtId="164" fontId="7" fillId="0" borderId="0" xfId="0" quotePrefix="1" applyNumberFormat="1" applyFont="1" applyFill="1" applyBorder="1" applyAlignment="1" applyProtection="1">
      <alignment horizontal="left"/>
    </xf>
    <xf numFmtId="0" fontId="11" fillId="8" borderId="0" xfId="0" applyFont="1" applyFill="1" applyAlignment="1">
      <alignment horizontal="left"/>
    </xf>
    <xf numFmtId="0" fontId="0" fillId="8" borderId="0" xfId="0" applyFill="1" applyProtection="1"/>
    <xf numFmtId="0" fontId="64" fillId="8" borderId="0" xfId="6" applyFont="1" applyFill="1" applyAlignment="1">
      <alignment wrapText="1"/>
    </xf>
    <xf numFmtId="0" fontId="12" fillId="8" borderId="0" xfId="0" applyFont="1" applyFill="1" applyAlignment="1"/>
    <xf numFmtId="0" fontId="6" fillId="8" borderId="0" xfId="6" applyFont="1" applyFill="1" applyAlignment="1">
      <alignment horizontal="left"/>
    </xf>
    <xf numFmtId="0" fontId="6" fillId="8" borderId="23" xfId="6" applyFont="1" applyFill="1" applyBorder="1" applyAlignment="1">
      <alignment horizontal="center"/>
    </xf>
    <xf numFmtId="0" fontId="6" fillId="8" borderId="0" xfId="6" applyFont="1" applyFill="1" applyAlignment="1">
      <alignment horizontal="center"/>
    </xf>
    <xf numFmtId="0" fontId="9" fillId="4" borderId="0" xfId="0" applyFont="1" applyFill="1" applyAlignment="1">
      <alignment horizontal="centerContinuous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6" fillId="4" borderId="0" xfId="6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165" fontId="6" fillId="0" borderId="3" xfId="6" applyNumberFormat="1" applyFont="1" applyFill="1" applyBorder="1" applyAlignment="1">
      <alignment horizontal="center"/>
    </xf>
    <xf numFmtId="0" fontId="0" fillId="0" borderId="1" xfId="0" applyFill="1" applyBorder="1" applyProtection="1"/>
    <xf numFmtId="0" fontId="0" fillId="0" borderId="2" xfId="0" applyFill="1" applyBorder="1" applyAlignment="1">
      <alignment horizontal="left"/>
    </xf>
    <xf numFmtId="2" fontId="4" fillId="0" borderId="11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45" fillId="0" borderId="0" xfId="0" applyFont="1" applyFill="1" applyBorder="1" applyAlignment="1">
      <alignment horizontal="center"/>
    </xf>
    <xf numFmtId="0" fontId="28" fillId="0" borderId="36" xfId="0" quotePrefix="1" applyFont="1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0" fillId="0" borderId="38" xfId="0" applyFill="1" applyBorder="1" applyAlignment="1"/>
    <xf numFmtId="0" fontId="0" fillId="0" borderId="38" xfId="0" applyFill="1" applyBorder="1" applyProtection="1"/>
    <xf numFmtId="0" fontId="0" fillId="0" borderId="39" xfId="0" applyFill="1" applyBorder="1" applyProtection="1"/>
    <xf numFmtId="2" fontId="4" fillId="0" borderId="48" xfId="0" applyNumberFormat="1" applyFont="1" applyBorder="1" applyAlignment="1" applyProtection="1">
      <alignment horizontal="center"/>
    </xf>
    <xf numFmtId="0" fontId="65" fillId="0" borderId="0" xfId="0" applyFont="1" applyAlignment="1">
      <alignment horizontal="left"/>
    </xf>
    <xf numFmtId="0" fontId="65" fillId="0" borderId="0" xfId="0" applyFont="1" applyAlignment="1" applyProtection="1">
      <alignment horizontal="right"/>
    </xf>
    <xf numFmtId="0" fontId="65" fillId="0" borderId="0" xfId="0" applyFont="1" applyFill="1" applyAlignment="1">
      <alignment horizontal="left"/>
    </xf>
    <xf numFmtId="0" fontId="65" fillId="0" borderId="0" xfId="0" applyFont="1" applyFill="1" applyAlignment="1" applyProtection="1">
      <alignment horizontal="right"/>
    </xf>
    <xf numFmtId="0" fontId="0" fillId="0" borderId="8" xfId="0" applyFill="1" applyBorder="1" applyProtection="1"/>
    <xf numFmtId="0" fontId="0" fillId="0" borderId="1" xfId="0" applyFill="1" applyBorder="1" applyAlignment="1">
      <alignment horizontal="left"/>
    </xf>
    <xf numFmtId="0" fontId="0" fillId="0" borderId="24" xfId="0" applyFill="1" applyBorder="1" applyProtection="1"/>
    <xf numFmtId="0" fontId="0" fillId="0" borderId="9" xfId="0" applyFill="1" applyBorder="1" applyProtection="1"/>
    <xf numFmtId="0" fontId="1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25" xfId="0" applyFill="1" applyBorder="1" applyProtection="1"/>
    <xf numFmtId="0" fontId="20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9" xfId="0" applyFill="1" applyBorder="1" applyAlignment="1" applyProtection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6" fillId="0" borderId="0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66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/>
    <xf numFmtId="0" fontId="0" fillId="0" borderId="10" xfId="0" applyFill="1" applyBorder="1" applyProtection="1"/>
    <xf numFmtId="0" fontId="0" fillId="0" borderId="26" xfId="0" applyFill="1" applyBorder="1" applyProtection="1"/>
    <xf numFmtId="0" fontId="31" fillId="0" borderId="0" xfId="0" applyFont="1" applyFill="1" applyBorder="1" applyAlignment="1" applyProtection="1">
      <alignment vertical="center" wrapText="1"/>
    </xf>
    <xf numFmtId="0" fontId="11" fillId="0" borderId="0" xfId="6" applyFont="1" applyBorder="1" applyAlignment="1">
      <alignment horizontal="center"/>
    </xf>
    <xf numFmtId="0" fontId="1" fillId="3" borderId="27" xfId="7" applyFont="1" applyFill="1" applyBorder="1" applyAlignment="1" applyProtection="1">
      <alignment horizontal="center"/>
      <protection locked="0"/>
    </xf>
    <xf numFmtId="2" fontId="6" fillId="0" borderId="49" xfId="0" applyNumberFormat="1" applyFont="1" applyFill="1" applyBorder="1" applyAlignment="1" applyProtection="1">
      <alignment horizontal="center"/>
    </xf>
    <xf numFmtId="0" fontId="29" fillId="0" borderId="0" xfId="7" applyFont="1" applyFill="1" applyBorder="1" applyProtection="1"/>
    <xf numFmtId="0" fontId="5" fillId="4" borderId="0" xfId="6" applyFont="1" applyFill="1" applyBorder="1" applyAlignment="1">
      <alignment horizontal="left"/>
    </xf>
    <xf numFmtId="0" fontId="6" fillId="4" borderId="0" xfId="6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29" fillId="4" borderId="0" xfId="6" applyFont="1" applyFill="1" applyBorder="1" applyAlignment="1">
      <alignment horizontal="center"/>
    </xf>
    <xf numFmtId="0" fontId="50" fillId="0" borderId="0" xfId="0" applyFont="1" applyFill="1" applyBorder="1" applyAlignment="1" applyProtection="1">
      <alignment horizontal="center"/>
    </xf>
    <xf numFmtId="0" fontId="0" fillId="7" borderId="5" xfId="0" applyFill="1" applyBorder="1" applyProtection="1"/>
    <xf numFmtId="0" fontId="31" fillId="0" borderId="17" xfId="0" applyFont="1" applyFill="1" applyBorder="1" applyAlignment="1" applyProtection="1">
      <alignment horizontal="right" vertical="top"/>
    </xf>
    <xf numFmtId="0" fontId="0" fillId="0" borderId="5" xfId="0" applyFill="1" applyBorder="1" applyAlignment="1" applyProtection="1">
      <alignment horizontal="right"/>
    </xf>
    <xf numFmtId="165" fontId="56" fillId="0" borderId="3" xfId="6" applyNumberFormat="1" applyFont="1" applyFill="1" applyBorder="1" applyAlignment="1">
      <alignment horizontal="center"/>
    </xf>
    <xf numFmtId="38" fontId="48" fillId="0" borderId="11" xfId="2" applyNumberFormat="1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right" vertical="center"/>
    </xf>
    <xf numFmtId="0" fontId="67" fillId="0" borderId="0" xfId="0" applyFont="1" applyFill="1" applyBorder="1" applyProtection="1"/>
    <xf numFmtId="0" fontId="68" fillId="0" borderId="0" xfId="0" applyFont="1" applyFill="1" applyBorder="1" applyProtection="1"/>
    <xf numFmtId="0" fontId="6" fillId="0" borderId="0" xfId="0" applyFont="1" applyFill="1" applyBorder="1" applyAlignment="1" applyProtection="1">
      <alignment wrapText="1"/>
    </xf>
    <xf numFmtId="2" fontId="69" fillId="0" borderId="3" xfId="0" applyNumberFormat="1" applyFont="1" applyFill="1" applyBorder="1" applyAlignment="1" applyProtection="1">
      <alignment horizontal="center"/>
    </xf>
    <xf numFmtId="0" fontId="18" fillId="0" borderId="17" xfId="0" applyFont="1" applyFill="1" applyBorder="1" applyAlignment="1" applyProtection="1">
      <alignment textRotation="90"/>
    </xf>
    <xf numFmtId="0" fontId="0" fillId="2" borderId="3" xfId="0" quotePrefix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right"/>
    </xf>
    <xf numFmtId="1" fontId="11" fillId="0" borderId="5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/>
    <xf numFmtId="0" fontId="16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0" fillId="2" borderId="3" xfId="6" applyFont="1" applyFill="1" applyBorder="1" applyAlignment="1">
      <alignment horizontal="center"/>
    </xf>
    <xf numFmtId="0" fontId="25" fillId="2" borderId="0" xfId="6" applyFont="1" applyFill="1" applyAlignment="1">
      <alignment horizontal="left"/>
    </xf>
    <xf numFmtId="0" fontId="25" fillId="2" borderId="0" xfId="6" applyFill="1" applyAlignment="1">
      <alignment horizontal="left"/>
    </xf>
    <xf numFmtId="0" fontId="25" fillId="2" borderId="0" xfId="6" applyFill="1" applyAlignment="1">
      <alignment horizontal="center"/>
    </xf>
    <xf numFmtId="1" fontId="9" fillId="2" borderId="1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right"/>
    </xf>
    <xf numFmtId="0" fontId="9" fillId="2" borderId="0" xfId="0" applyFont="1" applyFill="1" applyBorder="1" applyAlignment="1"/>
    <xf numFmtId="0" fontId="11" fillId="2" borderId="2" xfId="0" applyFont="1" applyFill="1" applyBorder="1" applyAlignment="1">
      <alignment horizontal="center"/>
    </xf>
    <xf numFmtId="0" fontId="4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29" fillId="2" borderId="0" xfId="0" applyFont="1" applyFill="1" applyBorder="1" applyAlignment="1" applyProtection="1">
      <alignment horizontal="center"/>
    </xf>
    <xf numFmtId="0" fontId="8" fillId="2" borderId="0" xfId="0" applyFont="1" applyFill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27" fillId="2" borderId="0" xfId="6" applyFont="1" applyFill="1" applyAlignment="1">
      <alignment horizontal="left"/>
    </xf>
    <xf numFmtId="0" fontId="5" fillId="2" borderId="0" xfId="6" applyFont="1" applyFill="1" applyAlignment="1">
      <alignment horizontal="left"/>
    </xf>
    <xf numFmtId="0" fontId="6" fillId="2" borderId="0" xfId="6" applyFont="1" applyFill="1" applyAlignment="1">
      <alignment horizontal="left"/>
    </xf>
    <xf numFmtId="0" fontId="5" fillId="2" borderId="0" xfId="6" applyFont="1" applyFill="1" applyBorder="1" applyAlignment="1">
      <alignment horizontal="left"/>
    </xf>
    <xf numFmtId="0" fontId="6" fillId="2" borderId="0" xfId="6" applyFont="1" applyFill="1" applyBorder="1" applyAlignment="1">
      <alignment horizontal="left"/>
    </xf>
    <xf numFmtId="0" fontId="4" fillId="2" borderId="3" xfId="6" applyFont="1" applyFill="1" applyBorder="1" applyAlignment="1">
      <alignment horizontal="center"/>
    </xf>
    <xf numFmtId="0" fontId="7" fillId="2" borderId="0" xfId="6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/>
    </xf>
    <xf numFmtId="0" fontId="6" fillId="2" borderId="0" xfId="6" applyFont="1" applyFill="1" applyAlignment="1"/>
    <xf numFmtId="0" fontId="70" fillId="2" borderId="0" xfId="6" applyFont="1" applyFill="1" applyAlignment="1">
      <alignment horizontal="center" vertical="center"/>
    </xf>
    <xf numFmtId="0" fontId="22" fillId="2" borderId="0" xfId="6" applyFont="1" applyFill="1" applyAlignment="1">
      <alignment horizontal="center"/>
    </xf>
    <xf numFmtId="0" fontId="70" fillId="2" borderId="0" xfId="6" applyFont="1" applyFill="1" applyAlignment="1">
      <alignment vertical="center"/>
    </xf>
    <xf numFmtId="0" fontId="14" fillId="2" borderId="0" xfId="6" applyFont="1" applyFill="1" applyAlignment="1">
      <alignment horizontal="center"/>
    </xf>
    <xf numFmtId="0" fontId="11" fillId="2" borderId="0" xfId="6" applyFont="1" applyFill="1" applyAlignment="1">
      <alignment horizontal="left"/>
    </xf>
    <xf numFmtId="0" fontId="11" fillId="2" borderId="0" xfId="6" applyFont="1" applyFill="1" applyAlignment="1">
      <alignment horizontal="center"/>
    </xf>
    <xf numFmtId="0" fontId="6" fillId="2" borderId="0" xfId="6" applyFont="1" applyFill="1" applyBorder="1" applyAlignment="1">
      <alignment horizontal="right"/>
    </xf>
    <xf numFmtId="0" fontId="58" fillId="2" borderId="0" xfId="6" applyFont="1" applyFill="1" applyAlignment="1">
      <alignment horizontal="left"/>
    </xf>
    <xf numFmtId="0" fontId="2" fillId="2" borderId="0" xfId="7" applyFill="1" applyAlignment="1">
      <alignment horizontal="left"/>
    </xf>
    <xf numFmtId="0" fontId="58" fillId="2" borderId="0" xfId="6" applyFont="1" applyFill="1" applyBorder="1" applyAlignment="1">
      <alignment horizontal="right"/>
    </xf>
    <xf numFmtId="0" fontId="17" fillId="2" borderId="0" xfId="0" applyFont="1" applyFill="1" applyAlignment="1">
      <alignment horizontal="left"/>
    </xf>
    <xf numFmtId="2" fontId="6" fillId="2" borderId="0" xfId="6" applyNumberFormat="1" applyFont="1" applyFill="1" applyBorder="1" applyAlignment="1">
      <alignment horizontal="center"/>
    </xf>
    <xf numFmtId="0" fontId="4" fillId="2" borderId="0" xfId="6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1" fillId="2" borderId="0" xfId="6" applyFont="1" applyFill="1" applyBorder="1" applyAlignment="1">
      <alignment horizontal="right"/>
    </xf>
    <xf numFmtId="0" fontId="4" fillId="2" borderId="0" xfId="6" applyFont="1" applyFill="1" applyBorder="1" applyAlignment="1">
      <alignment horizontal="right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right"/>
    </xf>
    <xf numFmtId="2" fontId="9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3" fillId="0" borderId="0" xfId="3" applyBorder="1" applyAlignment="1" applyProtection="1">
      <alignment horizontal="left"/>
    </xf>
    <xf numFmtId="40" fontId="6" fillId="0" borderId="23" xfId="1" applyFont="1" applyFill="1" applyBorder="1" applyAlignment="1">
      <alignment horizontal="center" vertical="center"/>
    </xf>
    <xf numFmtId="0" fontId="6" fillId="2" borderId="3" xfId="6" applyFont="1" applyFill="1" applyBorder="1" applyAlignment="1">
      <alignment horizontal="center"/>
    </xf>
    <xf numFmtId="0" fontId="6" fillId="2" borderId="0" xfId="6" applyFont="1" applyFill="1" applyBorder="1" applyAlignment="1">
      <alignment horizontal="center" vertical="center"/>
    </xf>
    <xf numFmtId="2" fontId="0" fillId="9" borderId="23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71" fillId="0" borderId="0" xfId="0" applyFont="1" applyFill="1" applyBorder="1" applyAlignment="1" applyProtection="1">
      <alignment horizontal="left"/>
    </xf>
    <xf numFmtId="0" fontId="52" fillId="2" borderId="0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2" fontId="11" fillId="0" borderId="0" xfId="0" applyNumberFormat="1" applyFont="1" applyFill="1" applyBorder="1" applyAlignment="1" applyProtection="1">
      <alignment horizontal="center"/>
    </xf>
    <xf numFmtId="169" fontId="6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75" fillId="0" borderId="32" xfId="0" applyFont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center"/>
      <protection locked="0"/>
    </xf>
    <xf numFmtId="0" fontId="78" fillId="0" borderId="0" xfId="0" applyFont="1" applyBorder="1" applyAlignment="1" applyProtection="1">
      <alignment horizontal="left"/>
    </xf>
    <xf numFmtId="0" fontId="79" fillId="0" borderId="0" xfId="0" applyFont="1" applyFill="1" applyBorder="1" applyAlignment="1" applyProtection="1">
      <alignment horizontal="right"/>
    </xf>
    <xf numFmtId="0" fontId="78" fillId="0" borderId="0" xfId="0" applyFont="1" applyFill="1" applyBorder="1" applyAlignment="1" applyProtection="1">
      <alignment horizontal="left"/>
    </xf>
    <xf numFmtId="0" fontId="80" fillId="2" borderId="0" xfId="6" applyFont="1" applyFill="1" applyBorder="1" applyAlignment="1">
      <alignment horizontal="left"/>
    </xf>
    <xf numFmtId="40" fontId="6" fillId="10" borderId="0" xfId="6" applyNumberFormat="1" applyFont="1" applyFill="1" applyBorder="1" applyAlignment="1">
      <alignment horizontal="center"/>
    </xf>
    <xf numFmtId="170" fontId="6" fillId="0" borderId="2" xfId="6" applyNumberFormat="1" applyFont="1" applyBorder="1" applyAlignment="1">
      <alignment horizontal="center"/>
    </xf>
    <xf numFmtId="0" fontId="0" fillId="11" borderId="36" xfId="0" applyFill="1" applyBorder="1" applyAlignment="1">
      <alignment horizontal="left"/>
    </xf>
    <xf numFmtId="0" fontId="0" fillId="11" borderId="0" xfId="0" applyFill="1" applyBorder="1" applyAlignment="1">
      <alignment horizontal="left"/>
    </xf>
    <xf numFmtId="0" fontId="0" fillId="11" borderId="0" xfId="0" applyFill="1" applyBorder="1" applyAlignment="1">
      <alignment horizontal="center"/>
    </xf>
    <xf numFmtId="0" fontId="72" fillId="0" borderId="0" xfId="0" applyFont="1" applyAlignment="1" applyProtection="1">
      <alignment horizontal="center" vertical="center"/>
    </xf>
    <xf numFmtId="0" fontId="72" fillId="0" borderId="32" xfId="0" applyFont="1" applyBorder="1" applyAlignment="1" applyProtection="1">
      <alignment horizontal="center" vertical="center"/>
    </xf>
    <xf numFmtId="0" fontId="72" fillId="0" borderId="0" xfId="0" applyFont="1" applyBorder="1" applyAlignment="1" applyProtection="1">
      <alignment horizontal="center" vertical="top"/>
    </xf>
    <xf numFmtId="0" fontId="72" fillId="0" borderId="32" xfId="0" applyFont="1" applyBorder="1" applyAlignment="1" applyProtection="1">
      <alignment horizontal="center" vertical="top"/>
    </xf>
    <xf numFmtId="0" fontId="3" fillId="0" borderId="0" xfId="3" applyBorder="1" applyAlignment="1" applyProtection="1">
      <alignment horizontal="left"/>
      <protection locked="0"/>
    </xf>
    <xf numFmtId="0" fontId="56" fillId="0" borderId="0" xfId="0" applyFont="1" applyBorder="1" applyAlignment="1" applyProtection="1">
      <alignment horizontal="left"/>
    </xf>
    <xf numFmtId="0" fontId="3" fillId="0" borderId="9" xfId="3" applyBorder="1" applyAlignment="1" applyProtection="1">
      <alignment horizontal="left" vertical="center"/>
    </xf>
    <xf numFmtId="0" fontId="3" fillId="0" borderId="32" xfId="3" applyBorder="1" applyAlignment="1" applyProtection="1">
      <alignment horizontal="left" vertical="center"/>
    </xf>
    <xf numFmtId="0" fontId="6" fillId="6" borderId="28" xfId="0" applyFont="1" applyFill="1" applyBorder="1" applyAlignment="1" applyProtection="1">
      <alignment horizontal="left"/>
      <protection locked="0"/>
    </xf>
    <xf numFmtId="0" fontId="6" fillId="6" borderId="21" xfId="0" applyFont="1" applyFill="1" applyBorder="1" applyAlignment="1" applyProtection="1">
      <alignment horizontal="left"/>
      <protection locked="0"/>
    </xf>
    <xf numFmtId="0" fontId="6" fillId="6" borderId="29" xfId="0" applyFont="1" applyFill="1" applyBorder="1" applyAlignment="1" applyProtection="1">
      <alignment horizontal="left"/>
      <protection locked="0"/>
    </xf>
    <xf numFmtId="0" fontId="17" fillId="6" borderId="28" xfId="0" applyFont="1" applyFill="1" applyBorder="1" applyAlignment="1" applyProtection="1">
      <alignment horizontal="left"/>
      <protection locked="0"/>
    </xf>
    <xf numFmtId="0" fontId="17" fillId="6" borderId="29" xfId="0" applyFont="1" applyFill="1" applyBorder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center"/>
    </xf>
    <xf numFmtId="0" fontId="0" fillId="0" borderId="3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6" applyFont="1" applyAlignment="1">
      <alignment horizontal="left" wrapText="1"/>
    </xf>
    <xf numFmtId="0" fontId="41" fillId="0" borderId="0" xfId="0" applyFont="1" applyFill="1" applyBorder="1" applyAlignment="1" applyProtection="1">
      <alignment horizontal="center" vertical="center"/>
    </xf>
    <xf numFmtId="0" fontId="64" fillId="8" borderId="0" xfId="6" applyFont="1" applyFill="1" applyAlignment="1">
      <alignment horizontal="center" wrapText="1"/>
    </xf>
    <xf numFmtId="0" fontId="27" fillId="0" borderId="0" xfId="6" applyFont="1" applyAlignment="1">
      <alignment horizontal="center" vertical="center"/>
    </xf>
    <xf numFmtId="0" fontId="7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5" fillId="0" borderId="0" xfId="0" applyFont="1" applyBorder="1" applyAlignment="1" applyProtection="1">
      <alignment horizontal="center" wrapText="1"/>
    </xf>
    <xf numFmtId="0" fontId="42" fillId="0" borderId="34" xfId="0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right" vertical="top"/>
    </xf>
    <xf numFmtId="0" fontId="21" fillId="0" borderId="2" xfId="0" applyFont="1" applyFill="1" applyBorder="1" applyAlignment="1" applyProtection="1">
      <alignment horizontal="center"/>
    </xf>
    <xf numFmtId="0" fontId="46" fillId="0" borderId="9" xfId="0" applyFont="1" applyFill="1" applyBorder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4" fillId="0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center"/>
    </xf>
    <xf numFmtId="0" fontId="44" fillId="0" borderId="0" xfId="0" applyFont="1" applyFill="1" applyBorder="1" applyAlignment="1" applyProtection="1">
      <alignment horizontal="right" wrapText="1"/>
    </xf>
    <xf numFmtId="0" fontId="68" fillId="0" borderId="9" xfId="0" applyFont="1" applyFill="1" applyBorder="1" applyAlignment="1" applyProtection="1">
      <alignment horizontal="left" wrapText="1"/>
    </xf>
    <xf numFmtId="0" fontId="68" fillId="0" borderId="0" xfId="0" applyFont="1" applyFill="1" applyBorder="1" applyAlignment="1" applyProtection="1">
      <alignment horizontal="left" wrapText="1"/>
    </xf>
    <xf numFmtId="0" fontId="7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4" fillId="2" borderId="0" xfId="6" applyFont="1" applyFill="1" applyBorder="1" applyAlignment="1">
      <alignment horizontal="right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textRotation="90"/>
    </xf>
    <xf numFmtId="0" fontId="6" fillId="2" borderId="0" xfId="6" applyFont="1" applyFill="1" applyAlignment="1">
      <alignment horizontal="center" vertical="center"/>
    </xf>
    <xf numFmtId="0" fontId="21" fillId="2" borderId="0" xfId="0" applyFont="1" applyFill="1" applyBorder="1" applyAlignment="1">
      <alignment horizontal="center"/>
    </xf>
    <xf numFmtId="0" fontId="6" fillId="2" borderId="0" xfId="6" applyFont="1" applyFill="1" applyAlignment="1">
      <alignment horizontal="center" wrapText="1"/>
    </xf>
    <xf numFmtId="0" fontId="76" fillId="0" borderId="0" xfId="0" applyFont="1" applyFill="1" applyBorder="1" applyAlignment="1" applyProtection="1">
      <alignment horizontal="center" vertical="top" wrapText="1"/>
    </xf>
    <xf numFmtId="0" fontId="76" fillId="0" borderId="30" xfId="0" applyFont="1" applyFill="1" applyBorder="1" applyAlignment="1" applyProtection="1">
      <alignment horizontal="center" vertical="top" wrapText="1"/>
    </xf>
    <xf numFmtId="0" fontId="44" fillId="0" borderId="0" xfId="0" applyFont="1" applyFill="1" applyBorder="1" applyAlignment="1" applyProtection="1">
      <alignment horizontal="left" vertical="top" wrapText="1"/>
    </xf>
    <xf numFmtId="0" fontId="42" fillId="0" borderId="15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wrapText="1"/>
    </xf>
    <xf numFmtId="0" fontId="11" fillId="0" borderId="17" xfId="0" applyFont="1" applyFill="1" applyBorder="1" applyAlignment="1" applyProtection="1">
      <alignment horizontal="right" textRotation="90"/>
    </xf>
    <xf numFmtId="0" fontId="11" fillId="0" borderId="31" xfId="0" applyFont="1" applyFill="1" applyBorder="1" applyAlignment="1" applyProtection="1">
      <alignment horizontal="right" textRotation="90"/>
    </xf>
    <xf numFmtId="0" fontId="47" fillId="0" borderId="0" xfId="0" applyFont="1" applyFill="1" applyBorder="1" applyAlignment="1" applyProtection="1">
      <alignment horizontal="center" vertical="top" textRotation="27"/>
    </xf>
    <xf numFmtId="0" fontId="17" fillId="0" borderId="0" xfId="0" applyFont="1" applyFill="1" applyBorder="1" applyAlignment="1" applyProtection="1">
      <alignment horizontal="center" vertical="top" textRotation="27"/>
    </xf>
    <xf numFmtId="0" fontId="24" fillId="0" borderId="25" xfId="0" applyFont="1" applyFill="1" applyBorder="1" applyAlignment="1" applyProtection="1">
      <alignment horizontal="center" vertical="center" wrapText="1"/>
    </xf>
    <xf numFmtId="0" fontId="42" fillId="0" borderId="14" xfId="0" applyFont="1" applyFill="1" applyBorder="1" applyAlignment="1" applyProtection="1">
      <alignment horizontal="center" vertical="center"/>
    </xf>
    <xf numFmtId="0" fontId="42" fillId="0" borderId="16" xfId="0" applyFont="1" applyFill="1" applyBorder="1" applyAlignment="1" applyProtection="1">
      <alignment horizontal="center" vertical="center"/>
    </xf>
    <xf numFmtId="0" fontId="42" fillId="0" borderId="17" xfId="0" applyFont="1" applyFill="1" applyBorder="1" applyAlignment="1" applyProtection="1">
      <alignment horizontal="center" vertical="center"/>
    </xf>
    <xf numFmtId="0" fontId="42" fillId="0" borderId="5" xfId="0" applyFont="1" applyFill="1" applyBorder="1" applyAlignment="1" applyProtection="1">
      <alignment horizontal="center" vertical="center"/>
    </xf>
    <xf numFmtId="0" fontId="74" fillId="0" borderId="0" xfId="0" applyFont="1" applyFill="1" applyBorder="1" applyAlignment="1" applyProtection="1">
      <alignment horizontal="center" vertical="center" wrapText="1"/>
    </xf>
  </cellXfs>
  <cellStyles count="9">
    <cellStyle name="Comma" xfId="1" builtinId="3"/>
    <cellStyle name="Comma_SERWKSHT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2 2" xfId="5" xr:uid="{00000000-0005-0000-0000-000005000000}"/>
    <cellStyle name="Normal_SWRWKSHT" xfId="6" xr:uid="{00000000-0005-0000-0000-000006000000}"/>
    <cellStyle name="Normal_SWRWKSHT - 3R" xfId="7" xr:uid="{00000000-0005-0000-0000-000007000000}"/>
    <cellStyle name="Percent" xfId="8" builtinId="5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75</xdr:row>
      <xdr:rowOff>66675</xdr:rowOff>
    </xdr:from>
    <xdr:to>
      <xdr:col>9</xdr:col>
      <xdr:colOff>0</xdr:colOff>
      <xdr:row>81</xdr:row>
      <xdr:rowOff>104775</xdr:rowOff>
    </xdr:to>
    <xdr:sp macro="" textlink="">
      <xdr:nvSpPr>
        <xdr:cNvPr id="22567" name="Rectangle 12">
          <a:extLst>
            <a:ext uri="{FF2B5EF4-FFF2-40B4-BE49-F238E27FC236}">
              <a16:creationId xmlns:a16="http://schemas.microsoft.com/office/drawing/2014/main" id="{00000000-0008-0000-0100-000027580000}"/>
            </a:ext>
          </a:extLst>
        </xdr:cNvPr>
        <xdr:cNvSpPr>
          <a:spLocks noChangeArrowheads="1"/>
        </xdr:cNvSpPr>
      </xdr:nvSpPr>
      <xdr:spPr bwMode="auto">
        <a:xfrm>
          <a:off x="180975" y="12334875"/>
          <a:ext cx="4867275" cy="10953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68</xdr:row>
          <xdr:rowOff>31750</xdr:rowOff>
        </xdr:from>
        <xdr:to>
          <xdr:col>3</xdr:col>
          <xdr:colOff>431800</xdr:colOff>
          <xdr:row>68</xdr:row>
          <xdr:rowOff>152400</xdr:rowOff>
        </xdr:to>
        <xdr:sp macro="" textlink="">
          <xdr:nvSpPr>
            <xdr:cNvPr id="22529" name="Picture 2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29</xdr:row>
      <xdr:rowOff>0</xdr:rowOff>
    </xdr:from>
    <xdr:to>
      <xdr:col>4</xdr:col>
      <xdr:colOff>304800</xdr:colOff>
      <xdr:row>29</xdr:row>
      <xdr:rowOff>0</xdr:rowOff>
    </xdr:to>
    <xdr:sp macro="" textlink="">
      <xdr:nvSpPr>
        <xdr:cNvPr id="23752" name="Line 3">
          <a:extLst>
            <a:ext uri="{FF2B5EF4-FFF2-40B4-BE49-F238E27FC236}">
              <a16:creationId xmlns:a16="http://schemas.microsoft.com/office/drawing/2014/main" id="{00000000-0008-0000-0400-0000C85C0000}"/>
            </a:ext>
          </a:extLst>
        </xdr:cNvPr>
        <xdr:cNvSpPr>
          <a:spLocks noChangeShapeType="1"/>
        </xdr:cNvSpPr>
      </xdr:nvSpPr>
      <xdr:spPr bwMode="auto">
        <a:xfrm>
          <a:off x="24003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11</xdr:row>
      <xdr:rowOff>28575</xdr:rowOff>
    </xdr:from>
    <xdr:to>
      <xdr:col>8</xdr:col>
      <xdr:colOff>209550</xdr:colOff>
      <xdr:row>14</xdr:row>
      <xdr:rowOff>28575</xdr:rowOff>
    </xdr:to>
    <xdr:sp macro="" textlink="">
      <xdr:nvSpPr>
        <xdr:cNvPr id="23753" name="Line 4">
          <a:extLst>
            <a:ext uri="{FF2B5EF4-FFF2-40B4-BE49-F238E27FC236}">
              <a16:creationId xmlns:a16="http://schemas.microsoft.com/office/drawing/2014/main" id="{00000000-0008-0000-0400-0000C95C0000}"/>
            </a:ext>
          </a:extLst>
        </xdr:cNvPr>
        <xdr:cNvSpPr>
          <a:spLocks noChangeShapeType="1"/>
        </xdr:cNvSpPr>
      </xdr:nvSpPr>
      <xdr:spPr bwMode="auto">
        <a:xfrm flipH="1">
          <a:off x="4229100" y="1819275"/>
          <a:ext cx="514350" cy="4857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11</xdr:row>
      <xdr:rowOff>38100</xdr:rowOff>
    </xdr:from>
    <xdr:to>
      <xdr:col>9</xdr:col>
      <xdr:colOff>190500</xdr:colOff>
      <xdr:row>11</xdr:row>
      <xdr:rowOff>38100</xdr:rowOff>
    </xdr:to>
    <xdr:sp macro="" textlink="">
      <xdr:nvSpPr>
        <xdr:cNvPr id="23754" name="Line 5">
          <a:extLst>
            <a:ext uri="{FF2B5EF4-FFF2-40B4-BE49-F238E27FC236}">
              <a16:creationId xmlns:a16="http://schemas.microsoft.com/office/drawing/2014/main" id="{00000000-0008-0000-0400-0000CA5C0000}"/>
            </a:ext>
          </a:extLst>
        </xdr:cNvPr>
        <xdr:cNvSpPr>
          <a:spLocks noChangeShapeType="1"/>
        </xdr:cNvSpPr>
      </xdr:nvSpPr>
      <xdr:spPr bwMode="auto">
        <a:xfrm>
          <a:off x="4752975" y="182880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10</xdr:col>
      <xdr:colOff>28575</xdr:colOff>
      <xdr:row>13</xdr:row>
      <xdr:rowOff>152400</xdr:rowOff>
    </xdr:to>
    <xdr:sp macro="" textlink="">
      <xdr:nvSpPr>
        <xdr:cNvPr id="23755" name="Line 6">
          <a:extLst>
            <a:ext uri="{FF2B5EF4-FFF2-40B4-BE49-F238E27FC236}">
              <a16:creationId xmlns:a16="http://schemas.microsoft.com/office/drawing/2014/main" id="{00000000-0008-0000-0400-0000CB5C0000}"/>
            </a:ext>
          </a:extLst>
        </xdr:cNvPr>
        <xdr:cNvSpPr>
          <a:spLocks noChangeShapeType="1"/>
        </xdr:cNvSpPr>
      </xdr:nvSpPr>
      <xdr:spPr bwMode="auto">
        <a:xfrm>
          <a:off x="5343525" y="1819275"/>
          <a:ext cx="438150" cy="4476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11</xdr:row>
      <xdr:rowOff>28575</xdr:rowOff>
    </xdr:from>
    <xdr:to>
      <xdr:col>8</xdr:col>
      <xdr:colOff>200025</xdr:colOff>
      <xdr:row>14</xdr:row>
      <xdr:rowOff>38100</xdr:rowOff>
    </xdr:to>
    <xdr:sp macro="" textlink="">
      <xdr:nvSpPr>
        <xdr:cNvPr id="23756" name="Line 7">
          <a:extLst>
            <a:ext uri="{FF2B5EF4-FFF2-40B4-BE49-F238E27FC236}">
              <a16:creationId xmlns:a16="http://schemas.microsoft.com/office/drawing/2014/main" id="{00000000-0008-0000-0400-0000CC5C0000}"/>
            </a:ext>
          </a:extLst>
        </xdr:cNvPr>
        <xdr:cNvSpPr>
          <a:spLocks noChangeShapeType="1"/>
        </xdr:cNvSpPr>
      </xdr:nvSpPr>
      <xdr:spPr bwMode="auto">
        <a:xfrm flipH="1">
          <a:off x="3714750" y="1819275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11</xdr:col>
      <xdr:colOff>28575</xdr:colOff>
      <xdr:row>13</xdr:row>
      <xdr:rowOff>161925</xdr:rowOff>
    </xdr:to>
    <xdr:sp macro="" textlink="">
      <xdr:nvSpPr>
        <xdr:cNvPr id="23757" name="Line 8">
          <a:extLst>
            <a:ext uri="{FF2B5EF4-FFF2-40B4-BE49-F238E27FC236}">
              <a16:creationId xmlns:a16="http://schemas.microsoft.com/office/drawing/2014/main" id="{00000000-0008-0000-0400-0000CD5C0000}"/>
            </a:ext>
          </a:extLst>
        </xdr:cNvPr>
        <xdr:cNvSpPr>
          <a:spLocks noChangeShapeType="1"/>
        </xdr:cNvSpPr>
      </xdr:nvSpPr>
      <xdr:spPr bwMode="auto">
        <a:xfrm>
          <a:off x="5343525" y="1819275"/>
          <a:ext cx="1047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161925</xdr:rowOff>
    </xdr:from>
    <xdr:to>
      <xdr:col>11</xdr:col>
      <xdr:colOff>28575</xdr:colOff>
      <xdr:row>14</xdr:row>
      <xdr:rowOff>38100</xdr:rowOff>
    </xdr:to>
    <xdr:sp macro="" textlink="">
      <xdr:nvSpPr>
        <xdr:cNvPr id="23758" name="Line 9">
          <a:extLst>
            <a:ext uri="{FF2B5EF4-FFF2-40B4-BE49-F238E27FC236}">
              <a16:creationId xmlns:a16="http://schemas.microsoft.com/office/drawing/2014/main" id="{00000000-0008-0000-0400-0000CE5C0000}"/>
            </a:ext>
          </a:extLst>
        </xdr:cNvPr>
        <xdr:cNvSpPr>
          <a:spLocks noChangeShapeType="1"/>
        </xdr:cNvSpPr>
      </xdr:nvSpPr>
      <xdr:spPr bwMode="auto">
        <a:xfrm flipV="1">
          <a:off x="3705225" y="2276475"/>
          <a:ext cx="268605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10</xdr:row>
      <xdr:rowOff>9525</xdr:rowOff>
    </xdr:from>
    <xdr:to>
      <xdr:col>9</xdr:col>
      <xdr:colOff>219075</xdr:colOff>
      <xdr:row>11</xdr:row>
      <xdr:rowOff>28575</xdr:rowOff>
    </xdr:to>
    <xdr:sp macro="" textlink="">
      <xdr:nvSpPr>
        <xdr:cNvPr id="23759" name="AutoShape 11">
          <a:extLst>
            <a:ext uri="{FF2B5EF4-FFF2-40B4-BE49-F238E27FC236}">
              <a16:creationId xmlns:a16="http://schemas.microsoft.com/office/drawing/2014/main" id="{00000000-0008-0000-0400-0000CF5C0000}"/>
            </a:ext>
          </a:extLst>
        </xdr:cNvPr>
        <xdr:cNvSpPr>
          <a:spLocks noChangeArrowheads="1"/>
        </xdr:cNvSpPr>
      </xdr:nvSpPr>
      <xdr:spPr bwMode="auto">
        <a:xfrm>
          <a:off x="5314950" y="1638300"/>
          <a:ext cx="47625" cy="180975"/>
        </a:xfrm>
        <a:prstGeom prst="leftArrowCallout">
          <a:avLst>
            <a:gd name="adj1" fmla="val 95000"/>
            <a:gd name="adj2" fmla="val 90004"/>
            <a:gd name="adj3" fmla="val 16667"/>
            <a:gd name="adj4" fmla="val 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485775</xdr:colOff>
      <xdr:row>13</xdr:row>
      <xdr:rowOff>19050</xdr:rowOff>
    </xdr:from>
    <xdr:to>
      <xdr:col>9</xdr:col>
      <xdr:colOff>504825</xdr:colOff>
      <xdr:row>13</xdr:row>
      <xdr:rowOff>28575</xdr:rowOff>
    </xdr:to>
    <xdr:cxnSp macro="">
      <xdr:nvCxnSpPr>
        <xdr:cNvPr id="23760" name="Straight Arrow Connector 12">
          <a:extLst>
            <a:ext uri="{FF2B5EF4-FFF2-40B4-BE49-F238E27FC236}">
              <a16:creationId xmlns:a16="http://schemas.microsoft.com/office/drawing/2014/main" id="{00000000-0008-0000-0400-0000D05C0000}"/>
            </a:ext>
          </a:extLst>
        </xdr:cNvPr>
        <xdr:cNvCxnSpPr>
          <a:cxnSpLocks noChangeShapeType="1"/>
        </xdr:cNvCxnSpPr>
      </xdr:nvCxnSpPr>
      <xdr:spPr bwMode="auto">
        <a:xfrm>
          <a:off x="4410075" y="2133600"/>
          <a:ext cx="12382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333375</xdr:colOff>
      <xdr:row>11</xdr:row>
      <xdr:rowOff>0</xdr:rowOff>
    </xdr:from>
    <xdr:to>
      <xdr:col>10</xdr:col>
      <xdr:colOff>333375</xdr:colOff>
      <xdr:row>13</xdr:row>
      <xdr:rowOff>152400</xdr:rowOff>
    </xdr:to>
    <xdr:cxnSp macro="">
      <xdr:nvCxnSpPr>
        <xdr:cNvPr id="23761" name="Straight Arrow Connector 11">
          <a:extLst>
            <a:ext uri="{FF2B5EF4-FFF2-40B4-BE49-F238E27FC236}">
              <a16:creationId xmlns:a16="http://schemas.microsoft.com/office/drawing/2014/main" id="{00000000-0008-0000-0400-0000D15C0000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5848350" y="2028825"/>
          <a:ext cx="476250" cy="0"/>
        </a:xfrm>
        <a:prstGeom prst="straightConnector1">
          <a:avLst/>
        </a:prstGeom>
        <a:noFill/>
        <a:ln w="0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AT336"/>
  <sheetViews>
    <sheetView showGridLines="0" tabSelected="1" zoomScaleNormal="100" workbookViewId="0">
      <selection activeCell="F6" sqref="F6"/>
    </sheetView>
  </sheetViews>
  <sheetFormatPr defaultColWidth="9.1796875" defaultRowHeight="12" customHeight="1" x14ac:dyDescent="0.3"/>
  <cols>
    <col min="1" max="1" width="4.54296875" style="96" customWidth="1"/>
    <col min="2" max="2" width="5.1796875" style="8" customWidth="1"/>
    <col min="3" max="3" width="4.1796875" style="8" customWidth="1"/>
    <col min="4" max="4" width="9.1796875" style="8"/>
    <col min="5" max="6" width="9.26953125" style="8" bestFit="1" customWidth="1"/>
    <col min="7" max="7" width="9.1796875" style="8"/>
    <col min="8" max="8" width="9.26953125" style="11" bestFit="1" customWidth="1"/>
    <col min="9" max="10" width="9.26953125" style="8" bestFit="1" customWidth="1"/>
    <col min="11" max="11" width="9.26953125" style="8" customWidth="1"/>
    <col min="12" max="12" width="5.81640625" style="8" customWidth="1"/>
    <col min="13" max="13" width="5.7265625" style="8" customWidth="1"/>
    <col min="14" max="23" width="6.7265625" style="83" customWidth="1"/>
    <col min="24" max="24" width="9.1796875" style="83"/>
    <col min="25" max="25" width="7.81640625" style="83" customWidth="1"/>
    <col min="26" max="26" width="8.1796875" style="83" customWidth="1"/>
    <col min="27" max="16384" width="9.1796875" style="83"/>
  </cols>
  <sheetData>
    <row r="1" spans="2:27" s="96" customFormat="1" ht="12" customHeight="1" x14ac:dyDescent="0.3"/>
    <row r="2" spans="2:27" s="96" customFormat="1" ht="12" customHeight="1" thickBot="1" x14ac:dyDescent="0.35"/>
    <row r="3" spans="2:27" s="96" customFormat="1" ht="12" customHeight="1" x14ac:dyDescent="0.3">
      <c r="B3" s="222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4"/>
    </row>
    <row r="4" spans="2:27" ht="12" customHeight="1" x14ac:dyDescent="0.35">
      <c r="B4" s="119"/>
      <c r="C4" s="439" t="s">
        <v>56</v>
      </c>
      <c r="D4" s="439"/>
      <c r="E4" s="439"/>
      <c r="F4" s="445"/>
      <c r="G4" s="446"/>
      <c r="H4" s="255"/>
      <c r="I4" s="255"/>
      <c r="J4" s="436" t="s">
        <v>218</v>
      </c>
      <c r="K4" s="436"/>
      <c r="L4" s="436"/>
      <c r="M4" s="437"/>
      <c r="T4" s="96" t="str">
        <f>IF(OR(F4="Adams",F4="Chelan",F4="Douglas",F4="Ferry",F4="Grant",F4="Lincoln",F4="Okanogan",F4="Pend Oreille",F4="Spokane",F4="Stevens",F4="Whitman"),"NE",T5)</f>
        <v>?County Name?</v>
      </c>
    </row>
    <row r="5" spans="2:27" ht="12" customHeight="1" x14ac:dyDescent="0.3">
      <c r="B5" s="119"/>
      <c r="C5" s="12" t="s">
        <v>57</v>
      </c>
      <c r="D5" s="12"/>
      <c r="E5" s="12"/>
      <c r="F5" s="442"/>
      <c r="G5" s="443"/>
      <c r="H5" s="443"/>
      <c r="I5" s="444"/>
      <c r="J5" s="436"/>
      <c r="K5" s="436"/>
      <c r="L5" s="436"/>
      <c r="M5" s="437"/>
      <c r="T5" s="96" t="str">
        <f>IF(OR(F4="Clallam",F4="Island",F4="Jefferson",F4="Kitsap",F4="San Juan",F4="Skagit",F4="Whatcom"),"NW",T6)</f>
        <v>?County Name?</v>
      </c>
    </row>
    <row r="6" spans="2:27" ht="12" customHeight="1" x14ac:dyDescent="0.3">
      <c r="B6" s="119"/>
      <c r="C6" s="258" t="s">
        <v>205</v>
      </c>
      <c r="F6" s="415"/>
      <c r="G6" s="259" t="s">
        <v>269</v>
      </c>
      <c r="H6" s="254"/>
      <c r="I6" s="254"/>
      <c r="J6" s="434" t="s">
        <v>260</v>
      </c>
      <c r="K6" s="434"/>
      <c r="L6" s="434"/>
      <c r="M6" s="435"/>
      <c r="T6" s="96" t="str">
        <f>IF(OR(F4="King",F4="Pierce",F4="Snohomish"),"PS",T7)</f>
        <v>?County Name?</v>
      </c>
    </row>
    <row r="7" spans="2:27" ht="12" customHeight="1" x14ac:dyDescent="0.3">
      <c r="B7" s="119"/>
      <c r="C7" s="12"/>
      <c r="D7" s="12"/>
      <c r="E7" s="12"/>
      <c r="F7" s="236"/>
      <c r="G7" s="253"/>
      <c r="H7" s="252"/>
      <c r="I7" s="252"/>
      <c r="J7" s="434"/>
      <c r="K7" s="434"/>
      <c r="L7" s="434"/>
      <c r="M7" s="435"/>
      <c r="T7" s="96" t="str">
        <f>IF(OR(F4="Asotin",F4="Benton",F4="Columbia",F4="Franklin",F4="Garfield",F4="Kittitas",F4="Klickitat",F4="Walla Walla",F4="Yakima"),"SE",T8)</f>
        <v>?County Name?</v>
      </c>
    </row>
    <row r="8" spans="2:27" ht="12" customHeight="1" x14ac:dyDescent="0.3">
      <c r="B8" s="119"/>
      <c r="C8" s="12"/>
      <c r="D8" s="12"/>
      <c r="E8" s="12"/>
      <c r="F8" s="421"/>
      <c r="G8" s="25"/>
      <c r="H8" s="18"/>
      <c r="I8" s="12"/>
      <c r="J8" s="279"/>
      <c r="K8" s="279"/>
      <c r="L8" s="279"/>
      <c r="M8" s="280"/>
      <c r="T8" s="96" t="str">
        <f>IF(OR(F4="Clark",F4="Cowlitz",F4="Grays Harbor",F4="Lewis",F4="Mason",F4="Pacific",F4="Skamania",F4="Thurston",F4="Wahkiakum"),"SW","?County Name?")</f>
        <v>?County Name?</v>
      </c>
    </row>
    <row r="9" spans="2:27" ht="12" customHeight="1" x14ac:dyDescent="0.3">
      <c r="B9" s="119"/>
      <c r="C9" s="12"/>
      <c r="D9" s="12"/>
      <c r="E9" s="12"/>
      <c r="F9" s="422"/>
      <c r="G9" s="25"/>
      <c r="H9" s="18"/>
      <c r="I9" s="12"/>
      <c r="J9" s="279"/>
      <c r="K9" s="279"/>
      <c r="L9" s="279"/>
      <c r="M9" s="280"/>
    </row>
    <row r="10" spans="2:27" ht="12" customHeight="1" x14ac:dyDescent="0.3">
      <c r="B10" s="119"/>
      <c r="C10" s="12"/>
      <c r="D10" s="25"/>
      <c r="E10" s="25"/>
      <c r="F10" s="447" t="s">
        <v>190</v>
      </c>
      <c r="G10" s="447"/>
      <c r="H10" s="447"/>
      <c r="I10" s="447"/>
      <c r="J10" s="279"/>
      <c r="K10" s="279"/>
      <c r="L10" s="279"/>
      <c r="M10" s="280"/>
    </row>
    <row r="11" spans="2:27" ht="12" customHeight="1" x14ac:dyDescent="0.3">
      <c r="B11" s="119"/>
      <c r="C11" s="25"/>
      <c r="D11" s="12"/>
      <c r="E11" s="12"/>
      <c r="F11" s="447"/>
      <c r="G11" s="447"/>
      <c r="H11" s="447"/>
      <c r="I11" s="447"/>
      <c r="J11" s="279"/>
      <c r="K11" s="279"/>
      <c r="L11" s="279"/>
      <c r="M11" s="280"/>
    </row>
    <row r="12" spans="2:27" ht="12" customHeight="1" x14ac:dyDescent="0.3">
      <c r="B12" s="119"/>
      <c r="C12" s="31"/>
      <c r="D12" s="31"/>
      <c r="E12" s="12"/>
      <c r="F12" s="260" t="s">
        <v>191</v>
      </c>
      <c r="G12" s="260"/>
      <c r="H12" s="31"/>
      <c r="I12" s="18"/>
      <c r="J12" s="31"/>
      <c r="K12" s="31"/>
      <c r="L12" s="12"/>
      <c r="M12" s="107"/>
    </row>
    <row r="13" spans="2:27" ht="12" customHeight="1" x14ac:dyDescent="0.3">
      <c r="B13" s="119"/>
      <c r="C13" s="31"/>
      <c r="D13" s="31"/>
      <c r="E13" s="12"/>
      <c r="F13" s="12"/>
      <c r="G13" s="31"/>
      <c r="H13" s="12"/>
      <c r="I13" s="18"/>
      <c r="J13" s="18"/>
      <c r="K13" s="18"/>
      <c r="L13" s="12"/>
      <c r="M13" s="107"/>
    </row>
    <row r="14" spans="2:27" ht="12" customHeight="1" x14ac:dyDescent="0.3">
      <c r="B14" s="119"/>
      <c r="C14" s="231"/>
      <c r="D14" s="10"/>
      <c r="E14" s="231"/>
      <c r="F14" s="231"/>
      <c r="G14" s="231"/>
      <c r="H14" s="231"/>
      <c r="I14" s="232"/>
      <c r="J14" s="232"/>
      <c r="K14" s="232"/>
      <c r="L14" s="231"/>
      <c r="M14" s="107"/>
    </row>
    <row r="15" spans="2:27" ht="12" customHeight="1" x14ac:dyDescent="0.3">
      <c r="B15" s="119"/>
      <c r="C15" s="12"/>
      <c r="D15" s="36"/>
      <c r="E15" s="25"/>
      <c r="F15" s="25"/>
      <c r="G15" s="25"/>
      <c r="H15" s="25"/>
      <c r="I15" s="18" t="s">
        <v>0</v>
      </c>
      <c r="J15" s="18"/>
      <c r="K15" s="18" t="s">
        <v>70</v>
      </c>
      <c r="L15" s="12"/>
      <c r="M15" s="107"/>
      <c r="AA15" s="84"/>
    </row>
    <row r="16" spans="2:27" ht="12" customHeight="1" x14ac:dyDescent="0.3">
      <c r="B16" s="131"/>
      <c r="C16" s="12"/>
      <c r="D16" s="243" t="s">
        <v>71</v>
      </c>
      <c r="E16" s="25"/>
      <c r="F16" s="51" t="s">
        <v>116</v>
      </c>
      <c r="G16" s="25"/>
      <c r="H16" s="25"/>
      <c r="I16" s="27" t="s">
        <v>2</v>
      </c>
      <c r="J16" s="27"/>
      <c r="K16" s="27" t="s">
        <v>2</v>
      </c>
      <c r="L16" s="12"/>
      <c r="M16" s="107"/>
      <c r="AA16" s="84"/>
    </row>
    <row r="17" spans="2:30" ht="12" customHeight="1" x14ac:dyDescent="0.3">
      <c r="B17" s="131"/>
      <c r="C17" s="19"/>
      <c r="D17" s="31"/>
      <c r="E17" s="12"/>
      <c r="F17" s="12"/>
      <c r="G17" s="31"/>
      <c r="H17" s="12"/>
      <c r="I17" s="18"/>
      <c r="J17" s="18"/>
      <c r="K17" s="26"/>
      <c r="L17" s="12"/>
      <c r="M17" s="107"/>
      <c r="AA17" s="85"/>
    </row>
    <row r="18" spans="2:30" ht="12" customHeight="1" x14ac:dyDescent="0.3">
      <c r="B18" s="131"/>
      <c r="C18" s="12"/>
      <c r="D18" s="12"/>
      <c r="E18" s="438" t="s">
        <v>72</v>
      </c>
      <c r="F18" s="438"/>
      <c r="G18" s="49"/>
      <c r="H18" s="12"/>
      <c r="I18" s="18">
        <v>5</v>
      </c>
      <c r="J18" s="18"/>
      <c r="K18" s="21" t="str">
        <f>'TRAFFIC &amp; ACCIDENTS'!I52</f>
        <v/>
      </c>
      <c r="L18" s="12"/>
      <c r="M18" s="107"/>
      <c r="AA18" s="86"/>
      <c r="AB18" s="87"/>
    </row>
    <row r="19" spans="2:30" ht="12" customHeight="1" x14ac:dyDescent="0.3">
      <c r="B19" s="119"/>
      <c r="C19" s="12"/>
      <c r="D19" s="12"/>
      <c r="E19" s="438" t="s">
        <v>73</v>
      </c>
      <c r="F19" s="438"/>
      <c r="G19" s="438"/>
      <c r="H19" s="12"/>
      <c r="I19" s="26">
        <v>5</v>
      </c>
      <c r="J19" s="18"/>
      <c r="K19" s="21" t="e">
        <f>'TRAFFIC &amp; ACCIDENTS'!J87</f>
        <v>#DIV/0!</v>
      </c>
      <c r="L19" s="12"/>
      <c r="M19" s="107"/>
      <c r="AD19" s="88"/>
    </row>
    <row r="20" spans="2:30" ht="12" customHeight="1" x14ac:dyDescent="0.3">
      <c r="B20" s="119"/>
      <c r="C20" s="12"/>
      <c r="D20" s="12"/>
      <c r="E20" s="12"/>
      <c r="F20" s="12"/>
      <c r="G20" s="49"/>
      <c r="H20" s="120" t="s">
        <v>4</v>
      </c>
      <c r="I20" s="240">
        <f>SUM(I18:I19)</f>
        <v>10</v>
      </c>
      <c r="J20" s="17"/>
      <c r="K20" s="132">
        <f>IF('TRAFFIC &amp; ACCIDENTS'!D10=0,0,SUM(K18:K19))</f>
        <v>0</v>
      </c>
      <c r="L20" s="12"/>
      <c r="M20" s="107"/>
      <c r="AD20" s="88"/>
    </row>
    <row r="21" spans="2:30" ht="12" customHeight="1" thickBot="1" x14ac:dyDescent="0.35">
      <c r="B21" s="119"/>
      <c r="C21" s="225"/>
      <c r="D21" s="225"/>
      <c r="E21" s="225"/>
      <c r="F21" s="225"/>
      <c r="G21" s="244"/>
      <c r="H21" s="245"/>
      <c r="I21" s="226"/>
      <c r="J21" s="226"/>
      <c r="K21" s="139"/>
      <c r="L21" s="225"/>
      <c r="M21" s="107"/>
      <c r="AD21" s="88"/>
    </row>
    <row r="22" spans="2:30" ht="12" customHeight="1" thickTop="1" x14ac:dyDescent="0.3">
      <c r="B22" s="119"/>
      <c r="C22" s="12"/>
      <c r="D22" s="12"/>
      <c r="E22" s="12"/>
      <c r="F22" s="12"/>
      <c r="G22" s="49"/>
      <c r="H22" s="256"/>
      <c r="I22" s="17"/>
      <c r="J22" s="17"/>
      <c r="K22" s="132"/>
      <c r="L22" s="256"/>
      <c r="M22" s="107"/>
      <c r="AD22" s="88"/>
    </row>
    <row r="23" spans="2:30" ht="12" customHeight="1" x14ac:dyDescent="0.3">
      <c r="B23" s="119"/>
      <c r="C23" s="12"/>
      <c r="D23" s="12"/>
      <c r="E23" s="12"/>
      <c r="F23" s="12"/>
      <c r="G23" s="49"/>
      <c r="H23" s="257"/>
      <c r="I23" s="17"/>
      <c r="J23" s="18"/>
      <c r="K23" s="133"/>
      <c r="L23" s="257"/>
      <c r="M23" s="107"/>
      <c r="AA23" s="89"/>
      <c r="AD23" s="90"/>
    </row>
    <row r="24" spans="2:30" ht="12" customHeight="1" x14ac:dyDescent="0.35">
      <c r="B24" s="119"/>
      <c r="C24" s="12"/>
      <c r="D24" s="270" t="s">
        <v>52</v>
      </c>
      <c r="E24" s="271"/>
      <c r="F24" s="271"/>
      <c r="G24" s="272" t="s">
        <v>215</v>
      </c>
      <c r="H24" s="269"/>
      <c r="I24" s="269"/>
      <c r="J24" s="27"/>
      <c r="K24" s="273"/>
      <c r="L24" s="273"/>
      <c r="M24" s="107"/>
      <c r="AA24" s="89"/>
      <c r="AD24" s="90"/>
    </row>
    <row r="25" spans="2:30" ht="12" customHeight="1" x14ac:dyDescent="0.35">
      <c r="B25" s="119"/>
      <c r="C25" s="12"/>
      <c r="D25" s="31"/>
      <c r="E25" s="31"/>
      <c r="H25" s="269"/>
      <c r="I25" s="269"/>
      <c r="J25" s="12"/>
      <c r="K25" s="273"/>
      <c r="L25" s="273"/>
      <c r="M25" s="107"/>
      <c r="AA25" s="91"/>
      <c r="AD25" s="88"/>
    </row>
    <row r="26" spans="2:30" ht="12" customHeight="1" x14ac:dyDescent="0.3">
      <c r="B26" s="119"/>
      <c r="C26" s="12"/>
      <c r="D26" s="19"/>
      <c r="E26" s="248" t="s">
        <v>203</v>
      </c>
      <c r="F26" s="249"/>
      <c r="G26" s="260"/>
      <c r="I26" s="11">
        <v>20</v>
      </c>
      <c r="J26" s="221"/>
      <c r="K26" s="97">
        <f>STRUCTURE!F11</f>
        <v>0</v>
      </c>
      <c r="L26" s="260"/>
      <c r="M26" s="107"/>
      <c r="AA26" s="91"/>
      <c r="AD26" s="88"/>
    </row>
    <row r="27" spans="2:30" ht="12" customHeight="1" x14ac:dyDescent="0.3">
      <c r="B27" s="119"/>
      <c r="C27" s="12"/>
      <c r="D27" s="12"/>
      <c r="E27" s="248" t="s">
        <v>204</v>
      </c>
      <c r="F27" s="249"/>
      <c r="G27" s="260"/>
      <c r="I27" s="11">
        <v>20</v>
      </c>
      <c r="J27" s="221"/>
      <c r="K27" s="97">
        <f>STRUCTURE!F12</f>
        <v>0</v>
      </c>
      <c r="L27" s="440"/>
      <c r="M27" s="441"/>
      <c r="AA27" s="91"/>
    </row>
    <row r="28" spans="2:30" ht="12" customHeight="1" x14ac:dyDescent="0.3">
      <c r="B28" s="119"/>
      <c r="C28" s="12"/>
      <c r="D28" s="12"/>
      <c r="E28" s="248" t="s">
        <v>53</v>
      </c>
      <c r="F28" s="249"/>
      <c r="G28" s="260"/>
      <c r="I28" s="11">
        <v>10</v>
      </c>
      <c r="J28" s="190"/>
      <c r="K28" s="97">
        <f>STRUCTURE!L15</f>
        <v>0</v>
      </c>
      <c r="L28" s="411"/>
      <c r="M28" s="107"/>
      <c r="N28" s="92"/>
      <c r="AA28" s="89"/>
    </row>
    <row r="29" spans="2:30" ht="12" customHeight="1" x14ac:dyDescent="0.3">
      <c r="B29" s="119"/>
      <c r="C29" s="12"/>
      <c r="D29" s="12"/>
      <c r="E29" s="12"/>
      <c r="F29" s="12"/>
      <c r="G29" s="12"/>
      <c r="H29" s="268" t="s">
        <v>4</v>
      </c>
      <c r="I29" s="241">
        <v>50</v>
      </c>
      <c r="K29" s="188" t="str">
        <f>IF(SUM(K26:K28)=0,"",SUM(K26:K28))</f>
        <v/>
      </c>
      <c r="L29" s="28"/>
      <c r="M29" s="107"/>
      <c r="N29" s="92"/>
      <c r="AA29" s="84"/>
    </row>
    <row r="30" spans="2:30" ht="12" customHeight="1" thickBot="1" x14ac:dyDescent="0.35">
      <c r="B30" s="119"/>
      <c r="C30" s="225"/>
      <c r="D30" s="225"/>
      <c r="E30" s="225"/>
      <c r="F30" s="225"/>
      <c r="G30" s="225"/>
      <c r="H30" s="247"/>
      <c r="I30" s="227"/>
      <c r="J30" s="228"/>
      <c r="K30" s="227"/>
      <c r="L30" s="229"/>
      <c r="M30" s="107"/>
      <c r="N30" s="92"/>
      <c r="AA30" s="84"/>
    </row>
    <row r="31" spans="2:30" ht="12" customHeight="1" thickTop="1" x14ac:dyDescent="0.3">
      <c r="B31" s="119"/>
      <c r="C31" s="12"/>
      <c r="D31" s="12"/>
      <c r="E31" s="12"/>
      <c r="F31" s="12"/>
      <c r="G31" s="12"/>
      <c r="H31" s="32"/>
      <c r="I31" s="188"/>
      <c r="J31" s="187"/>
      <c r="K31" s="188"/>
      <c r="L31" s="28"/>
      <c r="M31" s="107"/>
      <c r="N31" s="92"/>
      <c r="AA31" s="84"/>
    </row>
    <row r="32" spans="2:30" ht="12" customHeight="1" x14ac:dyDescent="0.3">
      <c r="B32" s="119"/>
      <c r="C32" s="12"/>
      <c r="D32" s="246" t="s">
        <v>74</v>
      </c>
      <c r="E32" s="25"/>
      <c r="F32" s="51" t="s">
        <v>116</v>
      </c>
      <c r="G32" s="12"/>
      <c r="H32" s="32"/>
      <c r="I32" s="187"/>
      <c r="K32" s="134"/>
      <c r="L32" s="12"/>
      <c r="M32" s="107"/>
      <c r="N32" s="92"/>
      <c r="AA32" s="84"/>
    </row>
    <row r="33" spans="2:27" ht="12" customHeight="1" x14ac:dyDescent="0.3">
      <c r="B33" s="119"/>
      <c r="C33" s="12"/>
      <c r="D33" s="31"/>
      <c r="E33" s="31"/>
      <c r="F33" s="31"/>
      <c r="G33" s="31"/>
      <c r="H33" s="12"/>
      <c r="I33" s="18"/>
      <c r="J33" s="18"/>
      <c r="K33" s="18"/>
      <c r="L33" s="12"/>
      <c r="M33" s="107"/>
    </row>
    <row r="34" spans="2:27" ht="12" customHeight="1" x14ac:dyDescent="0.3">
      <c r="B34" s="119"/>
      <c r="C34" s="12"/>
      <c r="D34" s="12"/>
      <c r="E34" s="438" t="s">
        <v>184</v>
      </c>
      <c r="F34" s="438"/>
      <c r="G34" s="438"/>
      <c r="H34" s="438"/>
      <c r="I34" s="18">
        <v>10</v>
      </c>
      <c r="J34" s="49"/>
      <c r="K34" s="138">
        <f>GEOMETRY!S8</f>
        <v>0</v>
      </c>
      <c r="L34" s="12"/>
      <c r="M34" s="107"/>
    </row>
    <row r="35" spans="2:27" ht="12" customHeight="1" x14ac:dyDescent="0.3">
      <c r="B35" s="119"/>
      <c r="C35" s="12"/>
      <c r="D35" s="12"/>
      <c r="E35" s="438" t="s">
        <v>185</v>
      </c>
      <c r="F35" s="438"/>
      <c r="G35" s="438"/>
      <c r="H35" s="12"/>
      <c r="I35" s="26">
        <v>5</v>
      </c>
      <c r="J35" s="49"/>
      <c r="K35" s="21" t="str">
        <f>GEOMETRY!D41</f>
        <v/>
      </c>
      <c r="L35" s="12"/>
      <c r="M35" s="107"/>
    </row>
    <row r="36" spans="2:27" ht="12" customHeight="1" x14ac:dyDescent="0.3">
      <c r="B36" s="119"/>
      <c r="C36" s="12"/>
      <c r="D36" s="12"/>
      <c r="E36" s="12"/>
      <c r="F36" s="12"/>
      <c r="G36" s="12"/>
      <c r="H36" s="120" t="s">
        <v>4</v>
      </c>
      <c r="I36" s="240">
        <v>10</v>
      </c>
      <c r="J36" s="17"/>
      <c r="K36" s="132">
        <f>IF(ROUND(SUM(K34:K35),2)&gt;10,10,ROUND(SUM(K34:K35),2))</f>
        <v>0</v>
      </c>
      <c r="L36" s="12"/>
      <c r="M36" s="107"/>
    </row>
    <row r="37" spans="2:27" ht="12" customHeight="1" x14ac:dyDescent="0.3">
      <c r="B37" s="119"/>
      <c r="C37" s="12"/>
      <c r="D37" s="25"/>
      <c r="E37" s="18" t="s">
        <v>77</v>
      </c>
      <c r="F37" s="18" t="s">
        <v>2</v>
      </c>
      <c r="G37" s="12"/>
      <c r="H37" s="18"/>
      <c r="I37" s="12"/>
      <c r="J37" s="12"/>
      <c r="K37" s="18"/>
      <c r="L37" s="12"/>
      <c r="M37" s="107"/>
      <c r="AA37" s="89"/>
    </row>
    <row r="38" spans="2:27" ht="12" customHeight="1" x14ac:dyDescent="0.3">
      <c r="B38" s="119"/>
      <c r="C38" s="12"/>
      <c r="D38" s="12"/>
      <c r="E38" s="18" t="s">
        <v>28</v>
      </c>
      <c r="F38" s="18">
        <v>4</v>
      </c>
      <c r="G38" s="12"/>
      <c r="H38" s="18"/>
      <c r="I38" s="18"/>
      <c r="J38" s="18"/>
      <c r="K38" s="18"/>
      <c r="L38" s="12"/>
      <c r="M38" s="107"/>
      <c r="AA38" s="89"/>
    </row>
    <row r="39" spans="2:27" ht="12" customHeight="1" x14ac:dyDescent="0.3">
      <c r="B39" s="119"/>
      <c r="C39" s="12"/>
      <c r="D39" s="12"/>
      <c r="E39" s="18" t="s">
        <v>29</v>
      </c>
      <c r="F39" s="18">
        <v>7</v>
      </c>
      <c r="G39" s="12"/>
      <c r="H39" s="18"/>
      <c r="I39" s="18"/>
      <c r="J39" s="18"/>
      <c r="K39" s="18"/>
      <c r="L39" s="12"/>
      <c r="M39" s="107"/>
      <c r="AA39" s="89"/>
    </row>
    <row r="40" spans="2:27" ht="12" customHeight="1" x14ac:dyDescent="0.3">
      <c r="B40" s="119"/>
      <c r="C40" s="12"/>
      <c r="D40" s="12"/>
      <c r="E40" s="18" t="s">
        <v>78</v>
      </c>
      <c r="F40" s="18">
        <v>10</v>
      </c>
      <c r="G40" s="12"/>
      <c r="H40" s="18"/>
      <c r="I40" s="18"/>
      <c r="J40" s="18"/>
      <c r="K40" s="17"/>
      <c r="L40" s="12"/>
      <c r="M40" s="107"/>
      <c r="AA40" s="89"/>
    </row>
    <row r="41" spans="2:27" ht="12" customHeight="1" thickBot="1" x14ac:dyDescent="0.35">
      <c r="B41" s="119"/>
      <c r="C41" s="225"/>
      <c r="D41" s="225"/>
      <c r="E41" s="230"/>
      <c r="F41" s="230"/>
      <c r="G41" s="225"/>
      <c r="H41" s="230"/>
      <c r="I41" s="230"/>
      <c r="J41" s="230"/>
      <c r="K41" s="226"/>
      <c r="L41" s="225"/>
      <c r="M41" s="107"/>
      <c r="AA41" s="89"/>
    </row>
    <row r="42" spans="2:27" ht="12" customHeight="1" thickTop="1" x14ac:dyDescent="0.3">
      <c r="B42" s="119"/>
      <c r="C42" s="12"/>
      <c r="D42" s="12"/>
      <c r="E42" s="18"/>
      <c r="F42" s="18"/>
      <c r="G42" s="12"/>
      <c r="H42" s="18"/>
      <c r="I42" s="18"/>
      <c r="J42" s="18"/>
      <c r="K42" s="17"/>
      <c r="L42" s="12"/>
      <c r="M42" s="107"/>
      <c r="AA42" s="89"/>
    </row>
    <row r="43" spans="2:27" ht="12" customHeight="1" x14ac:dyDescent="0.3">
      <c r="B43" s="119"/>
      <c r="C43" s="12"/>
      <c r="D43" s="246" t="s">
        <v>178</v>
      </c>
      <c r="E43" s="12"/>
      <c r="G43" s="51" t="s">
        <v>223</v>
      </c>
      <c r="H43" s="12"/>
      <c r="I43" s="29"/>
      <c r="J43" s="29"/>
      <c r="K43" s="18"/>
      <c r="L43" s="12"/>
      <c r="M43" s="107"/>
      <c r="AA43" s="84"/>
    </row>
    <row r="44" spans="2:27" ht="12" customHeight="1" x14ac:dyDescent="0.3">
      <c r="B44" s="119"/>
      <c r="C44" s="12"/>
      <c r="D44" s="31"/>
      <c r="E44" s="31"/>
      <c r="F44" s="31"/>
      <c r="G44" s="31"/>
      <c r="H44" s="12"/>
      <c r="I44" s="18"/>
      <c r="J44" s="18"/>
      <c r="K44" s="17"/>
      <c r="L44" s="12"/>
      <c r="M44" s="107"/>
    </row>
    <row r="45" spans="2:27" ht="12" customHeight="1" x14ac:dyDescent="0.3">
      <c r="B45" s="135"/>
      <c r="C45" s="12"/>
      <c r="D45" s="12"/>
      <c r="E45" s="19" t="s">
        <v>193</v>
      </c>
      <c r="F45" s="12"/>
      <c r="G45" s="12"/>
      <c r="H45" s="12"/>
      <c r="I45" s="12"/>
      <c r="J45" s="12"/>
      <c r="K45" s="18"/>
      <c r="L45" s="12"/>
      <c r="M45" s="107"/>
      <c r="AA45" s="84"/>
    </row>
    <row r="46" spans="2:27" ht="12" customHeight="1" x14ac:dyDescent="0.3">
      <c r="B46" s="135"/>
      <c r="C46" s="12"/>
      <c r="D46" s="20"/>
      <c r="E46" s="438" t="s">
        <v>186</v>
      </c>
      <c r="F46" s="438"/>
      <c r="G46" s="438"/>
      <c r="H46" s="18"/>
      <c r="I46" s="18">
        <v>5</v>
      </c>
      <c r="J46" s="18"/>
      <c r="K46" s="21">
        <f>IF('2R RATING SUMMARY'!F6=0,0,IF(('ROADSIDE SAFETY'!C10/'TRAFFIC &amp; ACCIDENTS'!D12)*5&gt;5,5,('ROADSIDE SAFETY'!C10/'TRAFFIC &amp; ACCIDENTS'!D12)*5))</f>
        <v>0</v>
      </c>
      <c r="L46" s="12"/>
      <c r="M46" s="107"/>
      <c r="AA46" s="89"/>
    </row>
    <row r="47" spans="2:27" ht="12" customHeight="1" x14ac:dyDescent="0.3">
      <c r="B47" s="136"/>
      <c r="C47" s="12"/>
      <c r="D47" s="20"/>
      <c r="E47" s="438" t="s">
        <v>187</v>
      </c>
      <c r="F47" s="438"/>
      <c r="G47" s="438"/>
      <c r="H47" s="18"/>
      <c r="I47" s="18">
        <v>5</v>
      </c>
      <c r="J47" s="18"/>
      <c r="K47" s="21">
        <f>IF('ROADSIDE SAFETY'!C19&gt;5,5,'ROADSIDE SAFETY'!C19)</f>
        <v>0</v>
      </c>
      <c r="L47" s="12"/>
      <c r="M47" s="107"/>
      <c r="AA47" s="89"/>
    </row>
    <row r="48" spans="2:27" ht="12" customHeight="1" x14ac:dyDescent="0.3">
      <c r="B48" s="119"/>
      <c r="C48" s="12"/>
      <c r="D48" s="20"/>
      <c r="E48" s="438" t="s">
        <v>188</v>
      </c>
      <c r="F48" s="438"/>
      <c r="G48" s="438"/>
      <c r="H48" s="438"/>
      <c r="I48" s="18">
        <v>5</v>
      </c>
      <c r="J48" s="18"/>
      <c r="K48" s="21">
        <f>IF(F6=0,0,'ROADSIDE SAFETY'!K32)</f>
        <v>0</v>
      </c>
      <c r="L48" s="12"/>
      <c r="M48" s="107"/>
    </row>
    <row r="49" spans="2:27" ht="12" customHeight="1" x14ac:dyDescent="0.3">
      <c r="B49" s="119"/>
      <c r="C49" s="12"/>
      <c r="D49" s="20"/>
      <c r="E49" s="438" t="s">
        <v>216</v>
      </c>
      <c r="F49" s="438"/>
      <c r="G49" s="438"/>
      <c r="H49" s="18"/>
      <c r="I49" s="26">
        <v>5</v>
      </c>
      <c r="J49" s="18"/>
      <c r="K49" s="21">
        <f>IF('ROADSIDE SAFETY'!C36&gt;5,5,'ROADSIDE SAFETY'!C36)</f>
        <v>0</v>
      </c>
      <c r="L49" s="12"/>
      <c r="M49" s="107"/>
    </row>
    <row r="50" spans="2:27" ht="12" customHeight="1" x14ac:dyDescent="0.3">
      <c r="B50" s="119"/>
      <c r="C50" s="12"/>
      <c r="D50" s="12"/>
      <c r="E50" s="12"/>
      <c r="F50" s="12"/>
      <c r="G50" s="12"/>
      <c r="H50" s="120" t="s">
        <v>4</v>
      </c>
      <c r="I50" s="242">
        <v>15</v>
      </c>
      <c r="J50" s="29"/>
      <c r="K50" s="137">
        <f>IF(SUM(K46:K49)&gt;15,15,SUM(K46:K49))</f>
        <v>0</v>
      </c>
      <c r="L50" s="12"/>
      <c r="M50" s="107"/>
    </row>
    <row r="51" spans="2:27" ht="12" customHeight="1" thickBot="1" x14ac:dyDescent="0.35">
      <c r="B51" s="119"/>
      <c r="C51" s="225"/>
      <c r="D51" s="225"/>
      <c r="E51" s="225"/>
      <c r="F51" s="225"/>
      <c r="G51" s="225"/>
      <c r="H51" s="230"/>
      <c r="I51" s="225"/>
      <c r="J51" s="225"/>
      <c r="K51" s="225"/>
      <c r="L51" s="225"/>
      <c r="M51" s="107"/>
    </row>
    <row r="52" spans="2:27" ht="12" customHeight="1" thickTop="1" x14ac:dyDescent="0.3">
      <c r="B52" s="119"/>
      <c r="C52" s="36"/>
      <c r="D52" s="38"/>
      <c r="E52" s="36"/>
      <c r="F52" s="36"/>
      <c r="G52" s="36"/>
      <c r="H52" s="82"/>
      <c r="I52" s="39"/>
      <c r="J52" s="39"/>
      <c r="K52" s="29"/>
      <c r="L52" s="12"/>
      <c r="M52" s="107"/>
      <c r="AA52" s="84"/>
    </row>
    <row r="53" spans="2:27" ht="12" customHeight="1" x14ac:dyDescent="0.3">
      <c r="B53" s="119"/>
      <c r="C53" s="36"/>
      <c r="D53" s="246" t="s">
        <v>210</v>
      </c>
      <c r="E53" s="36"/>
      <c r="F53" s="36"/>
      <c r="G53" s="425" t="s">
        <v>212</v>
      </c>
      <c r="H53" s="426"/>
      <c r="I53" s="242">
        <v>15</v>
      </c>
      <c r="J53" s="39"/>
      <c r="K53" s="235"/>
      <c r="L53" s="12"/>
      <c r="M53" s="107"/>
      <c r="AA53" s="84"/>
    </row>
    <row r="54" spans="2:27" ht="12" customHeight="1" x14ac:dyDescent="0.3">
      <c r="B54" s="119"/>
      <c r="C54" s="36"/>
      <c r="D54" s="38"/>
      <c r="E54" s="36"/>
      <c r="F54" s="36"/>
      <c r="G54" s="427" t="s">
        <v>211</v>
      </c>
      <c r="H54" s="426"/>
      <c r="I54" s="39"/>
      <c r="J54" s="39"/>
      <c r="K54" s="263" t="s">
        <v>213</v>
      </c>
      <c r="L54" s="12"/>
      <c r="M54" s="107"/>
      <c r="AA54" s="84"/>
    </row>
    <row r="55" spans="2:27" ht="12" customHeight="1" thickBot="1" x14ac:dyDescent="0.35">
      <c r="B55" s="119"/>
      <c r="C55" s="225"/>
      <c r="D55" s="225"/>
      <c r="E55" s="225"/>
      <c r="F55" s="225"/>
      <c r="G55" s="225"/>
      <c r="H55" s="230"/>
      <c r="I55" s="225"/>
      <c r="J55" s="225"/>
      <c r="K55" s="264" t="s">
        <v>214</v>
      </c>
      <c r="L55" s="225"/>
      <c r="M55" s="107"/>
      <c r="AA55" s="84"/>
    </row>
    <row r="56" spans="2:27" ht="12" customHeight="1" thickTop="1" x14ac:dyDescent="0.3">
      <c r="B56" s="119"/>
      <c r="C56" s="36"/>
      <c r="D56" s="38"/>
      <c r="E56" s="36"/>
      <c r="F56" s="36"/>
      <c r="G56" s="36"/>
      <c r="H56" s="82"/>
      <c r="I56" s="39"/>
      <c r="J56" s="39"/>
      <c r="K56" s="29"/>
      <c r="L56" s="12"/>
      <c r="M56" s="107"/>
      <c r="AA56" s="84"/>
    </row>
    <row r="57" spans="2:27" ht="12" customHeight="1" thickBot="1" x14ac:dyDescent="0.35">
      <c r="B57" s="136"/>
      <c r="C57" s="12"/>
      <c r="D57" s="272" t="s">
        <v>181</v>
      </c>
      <c r="E57" s="272"/>
      <c r="F57" s="272"/>
      <c r="G57" s="272"/>
      <c r="I57" s="240">
        <f>SUM(I20,I29,I50,I36,I53)</f>
        <v>100</v>
      </c>
      <c r="J57" s="17"/>
      <c r="K57" s="139">
        <f>SUM(K20,K29,K36,K50,K53)</f>
        <v>0</v>
      </c>
      <c r="L57" s="12"/>
      <c r="M57" s="107"/>
      <c r="AA57" s="89"/>
    </row>
    <row r="58" spans="2:27" ht="12" customHeight="1" thickTop="1" x14ac:dyDescent="0.3">
      <c r="B58" s="136"/>
      <c r="C58" s="12"/>
      <c r="D58" s="51"/>
      <c r="E58" s="51"/>
      <c r="F58" s="51"/>
      <c r="G58" s="51"/>
      <c r="I58" s="233" t="s">
        <v>201</v>
      </c>
      <c r="J58" s="17"/>
      <c r="K58" s="234" t="s">
        <v>202</v>
      </c>
      <c r="L58" s="12"/>
      <c r="M58" s="107"/>
      <c r="AA58" s="89"/>
    </row>
    <row r="59" spans="2:27" ht="12" customHeight="1" x14ac:dyDescent="0.3">
      <c r="B59" s="119"/>
      <c r="C59" s="51" t="s">
        <v>81</v>
      </c>
      <c r="D59" s="12"/>
      <c r="E59" s="12"/>
      <c r="F59" s="12"/>
      <c r="G59" s="12"/>
      <c r="H59" s="12"/>
      <c r="I59" s="18"/>
      <c r="J59" s="18"/>
      <c r="K59" s="18"/>
      <c r="L59" s="12"/>
      <c r="M59" s="107"/>
      <c r="AA59" s="89"/>
    </row>
    <row r="60" spans="2:27" ht="12" customHeight="1" x14ac:dyDescent="0.3">
      <c r="B60" s="119"/>
      <c r="C60" s="221" t="s">
        <v>219</v>
      </c>
      <c r="D60" s="12"/>
      <c r="E60" s="12"/>
      <c r="F60" s="12"/>
      <c r="G60" s="12"/>
      <c r="H60" s="12"/>
      <c r="I60" s="18"/>
      <c r="J60" s="18"/>
      <c r="K60" s="18"/>
      <c r="L60" s="12"/>
      <c r="M60" s="107"/>
      <c r="AA60" s="84"/>
    </row>
    <row r="61" spans="2:27" ht="12" customHeight="1" x14ac:dyDescent="0.3">
      <c r="B61" s="119"/>
      <c r="C61" s="221" t="s">
        <v>220</v>
      </c>
      <c r="D61" s="12"/>
      <c r="E61" s="12"/>
      <c r="F61" s="12"/>
      <c r="G61" s="12"/>
      <c r="H61" s="12"/>
      <c r="I61" s="12"/>
      <c r="J61" s="12"/>
      <c r="K61" s="12"/>
      <c r="L61" s="12"/>
      <c r="M61" s="107"/>
      <c r="AA61" s="89"/>
    </row>
    <row r="62" spans="2:27" ht="12" customHeight="1" thickBot="1" x14ac:dyDescent="0.35">
      <c r="B62" s="128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30"/>
      <c r="AA62" s="89"/>
    </row>
    <row r="63" spans="2:27" ht="12" customHeight="1" x14ac:dyDescent="0.3"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AA63" s="84"/>
    </row>
    <row r="64" spans="2:27" ht="12" customHeight="1" x14ac:dyDescent="0.3"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AA64" s="89"/>
    </row>
    <row r="65" spans="2:27" ht="12" customHeight="1" x14ac:dyDescent="0.3"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AA65" s="89"/>
    </row>
    <row r="66" spans="2:27" ht="12" customHeight="1" x14ac:dyDescent="0.3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AA66" s="84"/>
    </row>
    <row r="67" spans="2:27" ht="12" customHeight="1" x14ac:dyDescent="0.3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AA67" s="89"/>
    </row>
    <row r="68" spans="2:27" ht="12" customHeight="1" x14ac:dyDescent="0.3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AA68" s="89"/>
    </row>
    <row r="69" spans="2:27" ht="12" customHeight="1" x14ac:dyDescent="0.3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AA69" s="84"/>
    </row>
    <row r="70" spans="2:27" ht="12" customHeight="1" x14ac:dyDescent="0.3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AA70" s="89"/>
    </row>
    <row r="71" spans="2:27" ht="12" customHeight="1" x14ac:dyDescent="0.3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AA71" s="84"/>
    </row>
    <row r="72" spans="2:27" ht="12" customHeight="1" x14ac:dyDescent="0.3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</row>
    <row r="73" spans="2:27" ht="12" customHeight="1" x14ac:dyDescent="0.3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</row>
    <row r="74" spans="2:27" ht="12" customHeight="1" x14ac:dyDescent="0.3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</row>
    <row r="75" spans="2:27" ht="12" customHeight="1" x14ac:dyDescent="0.3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</row>
    <row r="76" spans="2:27" ht="12" customHeight="1" x14ac:dyDescent="0.3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</row>
    <row r="77" spans="2:27" ht="12" customHeight="1" x14ac:dyDescent="0.3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</row>
    <row r="78" spans="2:27" ht="12" customHeight="1" x14ac:dyDescent="0.3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93"/>
    </row>
    <row r="79" spans="2:27" ht="12" customHeight="1" x14ac:dyDescent="0.3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93"/>
    </row>
    <row r="80" spans="2:27" ht="12" customHeight="1" x14ac:dyDescent="0.3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</row>
    <row r="81" spans="2:46" ht="12" customHeight="1" x14ac:dyDescent="0.3"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</row>
    <row r="82" spans="2:46" ht="12" customHeight="1" x14ac:dyDescent="0.3"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</row>
    <row r="83" spans="2:46" ht="12" customHeight="1" x14ac:dyDescent="0.3"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</row>
    <row r="84" spans="2:46" ht="12" customHeight="1" x14ac:dyDescent="0.3"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5" spans="2:46" ht="12" customHeight="1" x14ac:dyDescent="0.3"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</row>
    <row r="86" spans="2:46" ht="12" customHeight="1" x14ac:dyDescent="0.3"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</row>
    <row r="87" spans="2:46" ht="12" customHeight="1" x14ac:dyDescent="0.3"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</row>
    <row r="88" spans="2:46" ht="12" customHeight="1" x14ac:dyDescent="0.3"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4"/>
    </row>
    <row r="89" spans="2:46" ht="12" customHeight="1" x14ac:dyDescent="0.3"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94"/>
    </row>
    <row r="90" spans="2:46" ht="12" customHeight="1" x14ac:dyDescent="0.3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95"/>
    </row>
    <row r="91" spans="2:46" ht="12" customHeight="1" x14ac:dyDescent="0.3"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95"/>
    </row>
    <row r="92" spans="2:46" ht="12" customHeight="1" x14ac:dyDescent="0.3"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95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</row>
    <row r="93" spans="2:46" ht="12" customHeight="1" x14ac:dyDescent="0.3"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9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</row>
    <row r="94" spans="2:46" ht="12" customHeight="1" x14ac:dyDescent="0.3"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9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96"/>
    </row>
    <row r="95" spans="2:46" ht="12" customHeight="1" x14ac:dyDescent="0.3"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</row>
    <row r="96" spans="2:46" ht="12" customHeight="1" x14ac:dyDescent="0.3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</row>
    <row r="97" spans="2:46" ht="12" customHeight="1" x14ac:dyDescent="0.3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96"/>
    </row>
    <row r="98" spans="2:46" ht="12" customHeight="1" x14ac:dyDescent="0.3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96"/>
    </row>
    <row r="99" spans="2:46" ht="12" customHeight="1" x14ac:dyDescent="0.3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</row>
    <row r="100" spans="2:46" ht="12" customHeight="1" x14ac:dyDescent="0.3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</row>
    <row r="101" spans="2:46" ht="12" customHeight="1" x14ac:dyDescent="0.3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</row>
    <row r="102" spans="2:46" ht="12" customHeight="1" x14ac:dyDescent="0.3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</row>
    <row r="103" spans="2:46" ht="12" customHeight="1" x14ac:dyDescent="0.3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  <c r="AQ103" s="96"/>
      <c r="AR103" s="96"/>
      <c r="AS103" s="96"/>
      <c r="AT103" s="96"/>
    </row>
    <row r="104" spans="2:46" ht="12" customHeight="1" x14ac:dyDescent="0.3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</row>
    <row r="105" spans="2:46" ht="12" customHeight="1" x14ac:dyDescent="0.3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</row>
    <row r="106" spans="2:46" ht="12" customHeight="1" x14ac:dyDescent="0.3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96"/>
    </row>
    <row r="107" spans="2:46" ht="12" customHeight="1" x14ac:dyDescent="0.3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96"/>
    </row>
    <row r="108" spans="2:46" ht="12" customHeight="1" x14ac:dyDescent="0.3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96"/>
    </row>
    <row r="109" spans="2:46" ht="12" customHeight="1" x14ac:dyDescent="0.3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96"/>
    </row>
    <row r="110" spans="2:46" ht="12" customHeight="1" x14ac:dyDescent="0.3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</row>
    <row r="111" spans="2:46" ht="12" customHeight="1" x14ac:dyDescent="0.3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</row>
    <row r="112" spans="2:46" ht="12" customHeight="1" x14ac:dyDescent="0.3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</row>
    <row r="113" spans="2:46" ht="12" customHeight="1" x14ac:dyDescent="0.3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</row>
    <row r="114" spans="2:46" ht="12" customHeight="1" x14ac:dyDescent="0.3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</row>
    <row r="115" spans="2:46" ht="12" customHeight="1" x14ac:dyDescent="0.3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</row>
    <row r="116" spans="2:46" ht="12" customHeight="1" x14ac:dyDescent="0.3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</row>
    <row r="117" spans="2:46" ht="12" customHeight="1" x14ac:dyDescent="0.3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</row>
    <row r="118" spans="2:46" ht="12" customHeight="1" x14ac:dyDescent="0.3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</row>
    <row r="119" spans="2:46" ht="12" customHeight="1" x14ac:dyDescent="0.3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</row>
    <row r="120" spans="2:46" ht="12" customHeight="1" x14ac:dyDescent="0.3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</row>
    <row r="121" spans="2:46" ht="12" customHeight="1" x14ac:dyDescent="0.3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</row>
    <row r="122" spans="2:46" ht="12" customHeight="1" x14ac:dyDescent="0.3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</row>
    <row r="123" spans="2:46" ht="12" customHeight="1" x14ac:dyDescent="0.3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</row>
    <row r="124" spans="2:46" ht="12" customHeight="1" x14ac:dyDescent="0.3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</row>
    <row r="125" spans="2:46" ht="12" customHeight="1" x14ac:dyDescent="0.3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</row>
    <row r="126" spans="2:46" ht="12" customHeight="1" x14ac:dyDescent="0.3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</row>
    <row r="127" spans="2:46" ht="12" customHeight="1" x14ac:dyDescent="0.3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</row>
    <row r="128" spans="2:46" ht="12" customHeight="1" x14ac:dyDescent="0.3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</row>
    <row r="129" spans="2:46" ht="12" customHeight="1" x14ac:dyDescent="0.3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</row>
    <row r="130" spans="2:46" ht="12" customHeight="1" x14ac:dyDescent="0.3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</row>
    <row r="131" spans="2:46" ht="12" customHeight="1" x14ac:dyDescent="0.3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</row>
    <row r="132" spans="2:46" ht="12" customHeight="1" x14ac:dyDescent="0.3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</row>
    <row r="133" spans="2:46" ht="12" customHeight="1" x14ac:dyDescent="0.3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</row>
    <row r="134" spans="2:46" ht="12" customHeight="1" x14ac:dyDescent="0.3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96"/>
    </row>
    <row r="135" spans="2:46" ht="12" customHeight="1" x14ac:dyDescent="0.3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96"/>
    </row>
    <row r="136" spans="2:46" ht="12" customHeight="1" x14ac:dyDescent="0.3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96"/>
    </row>
    <row r="137" spans="2:46" ht="12" customHeight="1" x14ac:dyDescent="0.3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</row>
    <row r="138" spans="2:46" ht="12" customHeight="1" x14ac:dyDescent="0.3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</row>
    <row r="139" spans="2:46" ht="12" customHeight="1" x14ac:dyDescent="0.3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96"/>
    </row>
    <row r="140" spans="2:46" ht="12" customHeight="1" x14ac:dyDescent="0.3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96"/>
    </row>
    <row r="141" spans="2:46" ht="12" customHeight="1" x14ac:dyDescent="0.3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96"/>
    </row>
    <row r="142" spans="2:46" ht="12" customHeight="1" x14ac:dyDescent="0.3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96"/>
    </row>
    <row r="143" spans="2:46" ht="12" customHeight="1" x14ac:dyDescent="0.3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96"/>
    </row>
    <row r="144" spans="2:46" ht="12" customHeight="1" x14ac:dyDescent="0.3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96"/>
    </row>
    <row r="145" spans="2:46" ht="12" customHeight="1" x14ac:dyDescent="0.3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/>
      <c r="AJ145" s="96"/>
      <c r="AK145" s="96"/>
      <c r="AL145" s="96"/>
      <c r="AM145" s="96"/>
      <c r="AN145" s="96"/>
      <c r="AO145" s="96"/>
      <c r="AP145" s="96"/>
      <c r="AQ145" s="96"/>
      <c r="AR145" s="96"/>
      <c r="AS145" s="96"/>
      <c r="AT145" s="96"/>
    </row>
    <row r="146" spans="2:46" ht="12" customHeight="1" x14ac:dyDescent="0.3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96"/>
    </row>
    <row r="147" spans="2:46" ht="12" customHeight="1" x14ac:dyDescent="0.3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96"/>
    </row>
    <row r="148" spans="2:46" ht="12" customHeight="1" x14ac:dyDescent="0.3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96"/>
    </row>
    <row r="149" spans="2:46" ht="12" customHeight="1" x14ac:dyDescent="0.3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</row>
    <row r="150" spans="2:46" ht="12" customHeight="1" x14ac:dyDescent="0.3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96"/>
    </row>
    <row r="151" spans="2:46" ht="12" customHeight="1" x14ac:dyDescent="0.3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96"/>
    </row>
    <row r="152" spans="2:46" ht="12" customHeight="1" x14ac:dyDescent="0.3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  <c r="AG152" s="96"/>
      <c r="AH152" s="96"/>
      <c r="AI152" s="96"/>
      <c r="AJ152" s="96"/>
      <c r="AK152" s="96"/>
      <c r="AL152" s="96"/>
      <c r="AM152" s="96"/>
      <c r="AN152" s="96"/>
      <c r="AO152" s="96"/>
      <c r="AP152" s="96"/>
      <c r="AQ152" s="96"/>
      <c r="AR152" s="96"/>
      <c r="AS152" s="96"/>
      <c r="AT152" s="96"/>
    </row>
    <row r="153" spans="2:46" ht="12" customHeight="1" x14ac:dyDescent="0.3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96"/>
    </row>
    <row r="154" spans="2:46" ht="12" customHeight="1" x14ac:dyDescent="0.3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</row>
    <row r="155" spans="2:46" ht="12" customHeight="1" x14ac:dyDescent="0.3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96"/>
    </row>
    <row r="156" spans="2:46" ht="12" customHeight="1" x14ac:dyDescent="0.3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96"/>
    </row>
    <row r="157" spans="2:46" ht="12" customHeight="1" x14ac:dyDescent="0.3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</row>
    <row r="158" spans="2:46" ht="12" customHeight="1" x14ac:dyDescent="0.3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96"/>
    </row>
    <row r="159" spans="2:46" ht="12" customHeight="1" x14ac:dyDescent="0.3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</row>
    <row r="160" spans="2:46" ht="12" customHeight="1" x14ac:dyDescent="0.3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I160" s="96"/>
      <c r="AJ160" s="96"/>
      <c r="AK160" s="96"/>
      <c r="AL160" s="96"/>
      <c r="AM160" s="96"/>
      <c r="AN160" s="96"/>
      <c r="AO160" s="96"/>
      <c r="AP160" s="96"/>
      <c r="AQ160" s="96"/>
      <c r="AR160" s="96"/>
      <c r="AS160" s="96"/>
      <c r="AT160" s="96"/>
    </row>
    <row r="161" spans="2:46" ht="12" customHeight="1" x14ac:dyDescent="0.3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</row>
    <row r="162" spans="2:46" ht="12" customHeight="1" x14ac:dyDescent="0.3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  <c r="AG162" s="96"/>
      <c r="AH162" s="96"/>
      <c r="AI162" s="96"/>
      <c r="AJ162" s="96"/>
      <c r="AK162" s="96"/>
      <c r="AL162" s="96"/>
      <c r="AM162" s="96"/>
      <c r="AN162" s="96"/>
      <c r="AO162" s="96"/>
      <c r="AP162" s="96"/>
      <c r="AQ162" s="96"/>
      <c r="AR162" s="96"/>
      <c r="AS162" s="96"/>
      <c r="AT162" s="96"/>
    </row>
    <row r="163" spans="2:46" ht="12" customHeight="1" x14ac:dyDescent="0.3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  <c r="AG163" s="96"/>
      <c r="AH163" s="96"/>
      <c r="AI163" s="96"/>
      <c r="AJ163" s="96"/>
      <c r="AK163" s="96"/>
      <c r="AL163" s="96"/>
      <c r="AM163" s="96"/>
      <c r="AN163" s="96"/>
      <c r="AO163" s="96"/>
      <c r="AP163" s="96"/>
      <c r="AQ163" s="96"/>
      <c r="AR163" s="96"/>
      <c r="AS163" s="96"/>
      <c r="AT163" s="96"/>
    </row>
    <row r="164" spans="2:46" ht="12" customHeight="1" x14ac:dyDescent="0.3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  <c r="AG164" s="96"/>
      <c r="AH164" s="96"/>
      <c r="AI164" s="96"/>
      <c r="AJ164" s="96"/>
      <c r="AK164" s="96"/>
      <c r="AL164" s="96"/>
      <c r="AM164" s="96"/>
      <c r="AN164" s="96"/>
      <c r="AO164" s="96"/>
      <c r="AP164" s="96"/>
      <c r="AQ164" s="96"/>
      <c r="AR164" s="96"/>
      <c r="AS164" s="96"/>
      <c r="AT164" s="96"/>
    </row>
    <row r="165" spans="2:46" ht="12" customHeight="1" x14ac:dyDescent="0.3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  <c r="AG165" s="96"/>
      <c r="AH165" s="96"/>
      <c r="AI165" s="96"/>
      <c r="AJ165" s="96"/>
      <c r="AK165" s="96"/>
      <c r="AL165" s="96"/>
      <c r="AM165" s="96"/>
      <c r="AN165" s="96"/>
      <c r="AO165" s="96"/>
      <c r="AP165" s="96"/>
      <c r="AQ165" s="96"/>
      <c r="AR165" s="96"/>
      <c r="AS165" s="96"/>
      <c r="AT165" s="96"/>
    </row>
    <row r="166" spans="2:46" ht="12" customHeight="1" x14ac:dyDescent="0.3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</row>
    <row r="167" spans="2:46" ht="12" customHeight="1" x14ac:dyDescent="0.3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96"/>
      <c r="AT167" s="96"/>
    </row>
    <row r="168" spans="2:46" ht="12" customHeight="1" x14ac:dyDescent="0.3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  <c r="AG168" s="96"/>
      <c r="AH168" s="96"/>
      <c r="AI168" s="96"/>
      <c r="AJ168" s="96"/>
      <c r="AK168" s="96"/>
      <c r="AL168" s="96"/>
      <c r="AM168" s="96"/>
      <c r="AN168" s="96"/>
      <c r="AO168" s="96"/>
      <c r="AP168" s="96"/>
      <c r="AQ168" s="96"/>
      <c r="AR168" s="96"/>
      <c r="AS168" s="96"/>
      <c r="AT168" s="96"/>
    </row>
    <row r="169" spans="2:46" ht="12" customHeight="1" x14ac:dyDescent="0.3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I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</row>
    <row r="170" spans="2:46" ht="12" customHeight="1" x14ac:dyDescent="0.3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I170" s="96"/>
      <c r="AJ170" s="96"/>
      <c r="AK170" s="96"/>
      <c r="AL170" s="96"/>
      <c r="AM170" s="96"/>
      <c r="AN170" s="96"/>
      <c r="AO170" s="96"/>
      <c r="AP170" s="96"/>
      <c r="AQ170" s="96"/>
      <c r="AR170" s="96"/>
      <c r="AS170" s="96"/>
      <c r="AT170" s="96"/>
    </row>
    <row r="171" spans="2:46" ht="12" customHeight="1" x14ac:dyDescent="0.3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6"/>
      <c r="AM171" s="96"/>
      <c r="AN171" s="96"/>
      <c r="AO171" s="96"/>
      <c r="AP171" s="96"/>
      <c r="AQ171" s="96"/>
      <c r="AR171" s="96"/>
      <c r="AS171" s="96"/>
      <c r="AT171" s="96"/>
    </row>
    <row r="172" spans="2:46" ht="12" customHeight="1" x14ac:dyDescent="0.3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  <c r="AG172" s="96"/>
      <c r="AH172" s="96"/>
      <c r="AI172" s="96"/>
      <c r="AJ172" s="96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</row>
    <row r="173" spans="2:46" ht="12" customHeight="1" x14ac:dyDescent="0.3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</row>
    <row r="174" spans="2:46" ht="12" customHeight="1" x14ac:dyDescent="0.3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96"/>
      <c r="AQ174" s="96"/>
      <c r="AR174" s="96"/>
      <c r="AS174" s="96"/>
      <c r="AT174" s="96"/>
    </row>
    <row r="175" spans="2:46" ht="12" customHeight="1" x14ac:dyDescent="0.3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</row>
    <row r="176" spans="2:46" ht="12" customHeight="1" x14ac:dyDescent="0.3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6"/>
      <c r="AO176" s="96"/>
      <c r="AP176" s="96"/>
      <c r="AQ176" s="96"/>
      <c r="AR176" s="96"/>
      <c r="AS176" s="96"/>
      <c r="AT176" s="96"/>
    </row>
    <row r="177" spans="2:46" ht="12" customHeight="1" x14ac:dyDescent="0.3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L177" s="96"/>
      <c r="AM177" s="96"/>
      <c r="AN177" s="96"/>
      <c r="AO177" s="96"/>
      <c r="AP177" s="96"/>
      <c r="AQ177" s="96"/>
      <c r="AR177" s="96"/>
      <c r="AS177" s="96"/>
      <c r="AT177" s="96"/>
    </row>
    <row r="178" spans="2:46" ht="12" customHeight="1" x14ac:dyDescent="0.3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</row>
    <row r="179" spans="2:46" ht="12" customHeight="1" x14ac:dyDescent="0.3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96"/>
      <c r="AI179" s="96"/>
      <c r="AJ179" s="96"/>
      <c r="AK179" s="96"/>
      <c r="AL179" s="96"/>
      <c r="AM179" s="96"/>
      <c r="AN179" s="96"/>
      <c r="AO179" s="96"/>
      <c r="AP179" s="96"/>
      <c r="AQ179" s="96"/>
      <c r="AR179" s="96"/>
      <c r="AS179" s="96"/>
      <c r="AT179" s="96"/>
    </row>
    <row r="180" spans="2:46" ht="12" customHeight="1" x14ac:dyDescent="0.3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  <c r="AG180" s="96"/>
      <c r="AH180" s="96"/>
      <c r="AI180" s="96"/>
      <c r="AJ180" s="96"/>
      <c r="AK180" s="96"/>
      <c r="AL180" s="96"/>
      <c r="AM180" s="96"/>
      <c r="AN180" s="96"/>
      <c r="AO180" s="96"/>
      <c r="AP180" s="96"/>
      <c r="AQ180" s="96"/>
      <c r="AR180" s="96"/>
      <c r="AS180" s="96"/>
      <c r="AT180" s="96"/>
    </row>
    <row r="181" spans="2:46" ht="12" customHeight="1" x14ac:dyDescent="0.3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</row>
    <row r="182" spans="2:46" ht="12" customHeight="1" x14ac:dyDescent="0.3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  <c r="AG182" s="96"/>
      <c r="AH182" s="96"/>
      <c r="AI182" s="96"/>
      <c r="AJ182" s="96"/>
      <c r="AK182" s="96"/>
      <c r="AL182" s="96"/>
      <c r="AM182" s="96"/>
      <c r="AN182" s="96"/>
      <c r="AO182" s="96"/>
      <c r="AP182" s="96"/>
      <c r="AQ182" s="96"/>
      <c r="AR182" s="96"/>
      <c r="AS182" s="96"/>
      <c r="AT182" s="96"/>
    </row>
    <row r="183" spans="2:46" ht="12" customHeight="1" x14ac:dyDescent="0.3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</row>
    <row r="184" spans="2:46" ht="12" customHeight="1" x14ac:dyDescent="0.3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</row>
    <row r="185" spans="2:46" ht="12" customHeight="1" x14ac:dyDescent="0.3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6"/>
      <c r="AO185" s="96"/>
      <c r="AP185" s="96"/>
      <c r="AQ185" s="96"/>
      <c r="AR185" s="96"/>
      <c r="AS185" s="96"/>
      <c r="AT185" s="96"/>
    </row>
    <row r="186" spans="2:46" ht="12" customHeight="1" x14ac:dyDescent="0.3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  <c r="AG186" s="96"/>
      <c r="AH186" s="96"/>
      <c r="AI186" s="96"/>
      <c r="AJ186" s="96"/>
      <c r="AK186" s="96"/>
      <c r="AL186" s="96"/>
      <c r="AM186" s="96"/>
      <c r="AN186" s="96"/>
      <c r="AO186" s="96"/>
      <c r="AP186" s="96"/>
      <c r="AQ186" s="96"/>
      <c r="AR186" s="96"/>
      <c r="AS186" s="96"/>
      <c r="AT186" s="96"/>
    </row>
    <row r="187" spans="2:46" ht="12" customHeight="1" x14ac:dyDescent="0.3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</row>
    <row r="188" spans="2:46" ht="12" customHeight="1" x14ac:dyDescent="0.3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</row>
    <row r="189" spans="2:46" ht="12" customHeight="1" x14ac:dyDescent="0.3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  <c r="AG189" s="96"/>
      <c r="AH189" s="96"/>
      <c r="AI189" s="96"/>
      <c r="AJ189" s="96"/>
      <c r="AK189" s="96"/>
      <c r="AL189" s="96"/>
      <c r="AM189" s="96"/>
      <c r="AN189" s="96"/>
      <c r="AO189" s="96"/>
      <c r="AP189" s="96"/>
      <c r="AQ189" s="96"/>
      <c r="AR189" s="96"/>
      <c r="AS189" s="96"/>
      <c r="AT189" s="96"/>
    </row>
    <row r="190" spans="2:46" ht="12" customHeight="1" x14ac:dyDescent="0.3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  <c r="AG190" s="96"/>
      <c r="AH190" s="96"/>
      <c r="AI190" s="96"/>
      <c r="AJ190" s="96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</row>
    <row r="191" spans="2:46" ht="12" customHeight="1" x14ac:dyDescent="0.3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  <c r="AG191" s="96"/>
      <c r="AH191" s="96"/>
      <c r="AI191" s="96"/>
      <c r="AJ191" s="96"/>
      <c r="AK191" s="96"/>
      <c r="AL191" s="96"/>
      <c r="AM191" s="96"/>
      <c r="AN191" s="96"/>
      <c r="AO191" s="96"/>
      <c r="AP191" s="96"/>
      <c r="AQ191" s="96"/>
      <c r="AR191" s="96"/>
      <c r="AS191" s="96"/>
      <c r="AT191" s="96"/>
    </row>
    <row r="192" spans="2:46" ht="12" customHeight="1" x14ac:dyDescent="0.3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  <c r="AG192" s="96"/>
      <c r="AH192" s="96"/>
      <c r="AI192" s="96"/>
      <c r="AJ192" s="96"/>
      <c r="AK192" s="96"/>
      <c r="AL192" s="96"/>
      <c r="AM192" s="96"/>
      <c r="AN192" s="96"/>
      <c r="AO192" s="96"/>
      <c r="AP192" s="96"/>
      <c r="AQ192" s="96"/>
      <c r="AR192" s="96"/>
      <c r="AS192" s="96"/>
      <c r="AT192" s="96"/>
    </row>
    <row r="193" spans="2:46" ht="12" customHeight="1" x14ac:dyDescent="0.3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  <c r="AG193" s="96"/>
      <c r="AH193" s="96"/>
      <c r="AI193" s="96"/>
      <c r="AJ193" s="96"/>
      <c r="AK193" s="96"/>
      <c r="AL193" s="96"/>
      <c r="AM193" s="96"/>
      <c r="AN193" s="96"/>
      <c r="AO193" s="96"/>
      <c r="AP193" s="96"/>
      <c r="AQ193" s="96"/>
      <c r="AR193" s="96"/>
      <c r="AS193" s="96"/>
      <c r="AT193" s="96"/>
    </row>
    <row r="194" spans="2:46" ht="12" customHeight="1" x14ac:dyDescent="0.3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</row>
    <row r="195" spans="2:46" ht="12" customHeight="1" x14ac:dyDescent="0.3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</row>
    <row r="196" spans="2:46" ht="12" customHeight="1" x14ac:dyDescent="0.3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</row>
    <row r="197" spans="2:46" ht="12" customHeight="1" x14ac:dyDescent="0.3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  <c r="AG197" s="96"/>
      <c r="AH197" s="96"/>
      <c r="AI197" s="96"/>
      <c r="AJ197" s="96"/>
      <c r="AK197" s="96"/>
      <c r="AL197" s="96"/>
      <c r="AM197" s="96"/>
      <c r="AN197" s="96"/>
      <c r="AO197" s="96"/>
      <c r="AP197" s="96"/>
      <c r="AQ197" s="96"/>
      <c r="AR197" s="96"/>
      <c r="AS197" s="96"/>
      <c r="AT197" s="96"/>
    </row>
    <row r="198" spans="2:46" ht="12" customHeight="1" x14ac:dyDescent="0.3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  <c r="AG198" s="96"/>
      <c r="AH198" s="96"/>
      <c r="AI198" s="96"/>
      <c r="AJ198" s="96"/>
      <c r="AK198" s="96"/>
      <c r="AL198" s="96"/>
      <c r="AM198" s="96"/>
      <c r="AN198" s="96"/>
      <c r="AO198" s="96"/>
      <c r="AP198" s="96"/>
      <c r="AQ198" s="96"/>
      <c r="AR198" s="96"/>
      <c r="AS198" s="96"/>
      <c r="AT198" s="96"/>
    </row>
    <row r="199" spans="2:46" ht="12" customHeight="1" x14ac:dyDescent="0.3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  <c r="AG199" s="96"/>
      <c r="AH199" s="96"/>
      <c r="AI199" s="96"/>
      <c r="AJ199" s="96"/>
      <c r="AK199" s="96"/>
      <c r="AL199" s="96"/>
      <c r="AM199" s="96"/>
      <c r="AN199" s="96"/>
      <c r="AO199" s="96"/>
      <c r="AP199" s="96"/>
      <c r="AQ199" s="96"/>
      <c r="AR199" s="96"/>
      <c r="AS199" s="96"/>
      <c r="AT199" s="96"/>
    </row>
    <row r="200" spans="2:46" ht="12" customHeight="1" x14ac:dyDescent="0.3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  <c r="AG200" s="96"/>
      <c r="AH200" s="96"/>
      <c r="AI200" s="96"/>
      <c r="AJ200" s="96"/>
      <c r="AK200" s="96"/>
      <c r="AL200" s="96"/>
      <c r="AM200" s="96"/>
      <c r="AN200" s="96"/>
      <c r="AO200" s="96"/>
      <c r="AP200" s="96"/>
      <c r="AQ200" s="96"/>
      <c r="AR200" s="96"/>
      <c r="AS200" s="96"/>
      <c r="AT200" s="96"/>
    </row>
    <row r="201" spans="2:46" ht="12" customHeight="1" x14ac:dyDescent="0.3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  <c r="AG201" s="96"/>
      <c r="AH201" s="96"/>
      <c r="AI201" s="96"/>
      <c r="AJ201" s="96"/>
      <c r="AK201" s="96"/>
      <c r="AL201" s="96"/>
      <c r="AM201" s="96"/>
      <c r="AN201" s="96"/>
      <c r="AO201" s="96"/>
      <c r="AP201" s="96"/>
      <c r="AQ201" s="96"/>
      <c r="AR201" s="96"/>
      <c r="AS201" s="96"/>
      <c r="AT201" s="96"/>
    </row>
    <row r="202" spans="2:46" ht="12" customHeight="1" x14ac:dyDescent="0.3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96"/>
      <c r="AH202" s="96"/>
      <c r="AI202" s="96"/>
      <c r="AJ202" s="96"/>
      <c r="AK202" s="96"/>
      <c r="AL202" s="96"/>
      <c r="AM202" s="96"/>
      <c r="AN202" s="96"/>
      <c r="AO202" s="96"/>
      <c r="AP202" s="96"/>
      <c r="AQ202" s="96"/>
      <c r="AR202" s="96"/>
      <c r="AS202" s="96"/>
      <c r="AT202" s="96"/>
    </row>
    <row r="203" spans="2:46" ht="12" customHeight="1" x14ac:dyDescent="0.3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  <c r="AG203" s="96"/>
      <c r="AH203" s="96"/>
      <c r="AI203" s="96"/>
      <c r="AJ203" s="96"/>
      <c r="AK203" s="96"/>
      <c r="AL203" s="96"/>
      <c r="AM203" s="96"/>
      <c r="AN203" s="96"/>
      <c r="AO203" s="96"/>
      <c r="AP203" s="96"/>
      <c r="AQ203" s="96"/>
      <c r="AR203" s="96"/>
      <c r="AS203" s="96"/>
      <c r="AT203" s="96"/>
    </row>
    <row r="204" spans="2:46" ht="12" customHeight="1" x14ac:dyDescent="0.3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  <c r="AG204" s="96"/>
      <c r="AH204" s="96"/>
      <c r="AI204" s="96"/>
      <c r="AJ204" s="96"/>
      <c r="AK204" s="96"/>
      <c r="AL204" s="96"/>
      <c r="AM204" s="96"/>
      <c r="AN204" s="96"/>
      <c r="AO204" s="96"/>
      <c r="AP204" s="96"/>
      <c r="AQ204" s="96"/>
      <c r="AR204" s="96"/>
      <c r="AS204" s="96"/>
      <c r="AT204" s="96"/>
    </row>
    <row r="205" spans="2:46" ht="12" customHeight="1" x14ac:dyDescent="0.3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96"/>
      <c r="AL205" s="96"/>
      <c r="AM205" s="96"/>
      <c r="AN205" s="96"/>
      <c r="AO205" s="96"/>
      <c r="AP205" s="96"/>
      <c r="AQ205" s="96"/>
      <c r="AR205" s="96"/>
      <c r="AS205" s="96"/>
      <c r="AT205" s="96"/>
    </row>
    <row r="206" spans="2:46" ht="12" customHeight="1" x14ac:dyDescent="0.3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</row>
    <row r="207" spans="2:46" ht="12" customHeight="1" x14ac:dyDescent="0.3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</row>
    <row r="208" spans="2:46" ht="12" customHeight="1" x14ac:dyDescent="0.3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</row>
    <row r="209" spans="2:46" ht="12" customHeight="1" x14ac:dyDescent="0.3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  <c r="AG209" s="96"/>
      <c r="AH209" s="96"/>
      <c r="AI209" s="96"/>
      <c r="AJ209" s="96"/>
      <c r="AK209" s="96"/>
      <c r="AL209" s="96"/>
      <c r="AM209" s="96"/>
      <c r="AN209" s="96"/>
      <c r="AO209" s="96"/>
      <c r="AP209" s="96"/>
      <c r="AQ209" s="96"/>
      <c r="AR209" s="96"/>
      <c r="AS209" s="96"/>
      <c r="AT209" s="96"/>
    </row>
    <row r="210" spans="2:46" ht="12" customHeight="1" x14ac:dyDescent="0.3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  <c r="AR210" s="96"/>
      <c r="AS210" s="96"/>
      <c r="AT210" s="96"/>
    </row>
    <row r="211" spans="2:46" ht="12" customHeight="1" x14ac:dyDescent="0.3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6"/>
      <c r="AT211" s="96"/>
    </row>
    <row r="212" spans="2:46" ht="12" customHeight="1" x14ac:dyDescent="0.3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  <c r="AG212" s="96"/>
      <c r="AH212" s="96"/>
      <c r="AI212" s="96"/>
      <c r="AJ212" s="96"/>
      <c r="AK212" s="96"/>
      <c r="AL212" s="96"/>
      <c r="AM212" s="96"/>
      <c r="AN212" s="96"/>
      <c r="AO212" s="96"/>
      <c r="AP212" s="96"/>
      <c r="AQ212" s="96"/>
      <c r="AR212" s="96"/>
      <c r="AS212" s="96"/>
      <c r="AT212" s="96"/>
    </row>
    <row r="213" spans="2:46" ht="12" customHeight="1" x14ac:dyDescent="0.3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  <c r="AG213" s="96"/>
      <c r="AH213" s="96"/>
      <c r="AI213" s="96"/>
      <c r="AJ213" s="96"/>
      <c r="AK213" s="96"/>
      <c r="AL213" s="96"/>
      <c r="AM213" s="96"/>
      <c r="AN213" s="96"/>
      <c r="AO213" s="96"/>
      <c r="AP213" s="96"/>
      <c r="AQ213" s="96"/>
      <c r="AR213" s="96"/>
      <c r="AS213" s="96"/>
      <c r="AT213" s="96"/>
    </row>
    <row r="214" spans="2:46" ht="12" customHeight="1" x14ac:dyDescent="0.3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  <c r="AG214" s="96"/>
      <c r="AH214" s="96"/>
      <c r="AI214" s="96"/>
      <c r="AJ214" s="96"/>
      <c r="AK214" s="96"/>
      <c r="AL214" s="96"/>
      <c r="AM214" s="96"/>
      <c r="AN214" s="96"/>
      <c r="AO214" s="96"/>
      <c r="AP214" s="96"/>
      <c r="AQ214" s="96"/>
      <c r="AR214" s="96"/>
      <c r="AS214" s="96"/>
      <c r="AT214" s="96"/>
    </row>
    <row r="215" spans="2:46" ht="12" customHeight="1" x14ac:dyDescent="0.3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  <c r="AG215" s="96"/>
      <c r="AH215" s="96"/>
      <c r="AI215" s="96"/>
      <c r="AJ215" s="96"/>
      <c r="AK215" s="96"/>
      <c r="AL215" s="96"/>
      <c r="AM215" s="96"/>
      <c r="AN215" s="96"/>
      <c r="AO215" s="96"/>
      <c r="AP215" s="96"/>
      <c r="AQ215" s="96"/>
      <c r="AR215" s="96"/>
      <c r="AS215" s="96"/>
      <c r="AT215" s="96"/>
    </row>
    <row r="216" spans="2:46" ht="12" customHeight="1" x14ac:dyDescent="0.3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</row>
    <row r="217" spans="2:46" ht="12" customHeight="1" x14ac:dyDescent="0.3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  <c r="AG217" s="96"/>
      <c r="AH217" s="96"/>
      <c r="AI217" s="96"/>
      <c r="AJ217" s="96"/>
      <c r="AK217" s="96"/>
      <c r="AL217" s="96"/>
      <c r="AM217" s="96"/>
      <c r="AN217" s="96"/>
      <c r="AO217" s="96"/>
      <c r="AP217" s="96"/>
      <c r="AQ217" s="96"/>
      <c r="AR217" s="96"/>
      <c r="AS217" s="96"/>
      <c r="AT217" s="96"/>
    </row>
    <row r="218" spans="2:46" ht="12" customHeight="1" x14ac:dyDescent="0.3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  <c r="AG218" s="96"/>
      <c r="AH218" s="96"/>
      <c r="AI218" s="96"/>
      <c r="AJ218" s="96"/>
      <c r="AK218" s="96"/>
      <c r="AL218" s="96"/>
      <c r="AM218" s="96"/>
      <c r="AN218" s="96"/>
      <c r="AO218" s="96"/>
      <c r="AP218" s="96"/>
      <c r="AQ218" s="96"/>
      <c r="AR218" s="96"/>
      <c r="AS218" s="96"/>
      <c r="AT218" s="96"/>
    </row>
    <row r="219" spans="2:46" ht="12" customHeight="1" x14ac:dyDescent="0.3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</row>
    <row r="220" spans="2:46" ht="12" customHeight="1" x14ac:dyDescent="0.3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</row>
    <row r="221" spans="2:46" ht="12" customHeight="1" x14ac:dyDescent="0.3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</row>
    <row r="222" spans="2:46" ht="12" customHeight="1" x14ac:dyDescent="0.3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</row>
    <row r="223" spans="2:46" ht="12" customHeight="1" x14ac:dyDescent="0.3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</row>
    <row r="224" spans="2:46" ht="12" customHeight="1" x14ac:dyDescent="0.3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  <c r="AG224" s="96"/>
      <c r="AH224" s="96"/>
      <c r="AI224" s="96"/>
      <c r="AJ224" s="96"/>
      <c r="AK224" s="96"/>
      <c r="AL224" s="96"/>
      <c r="AM224" s="96"/>
      <c r="AN224" s="96"/>
      <c r="AO224" s="96"/>
      <c r="AP224" s="96"/>
      <c r="AQ224" s="96"/>
      <c r="AR224" s="96"/>
      <c r="AS224" s="96"/>
      <c r="AT224" s="96"/>
    </row>
    <row r="225" spans="2:46" ht="12" customHeight="1" x14ac:dyDescent="0.3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  <c r="AG225" s="96"/>
      <c r="AH225" s="96"/>
      <c r="AI225" s="96"/>
      <c r="AJ225" s="96"/>
      <c r="AK225" s="96"/>
      <c r="AL225" s="96"/>
      <c r="AM225" s="96"/>
      <c r="AN225" s="96"/>
      <c r="AO225" s="96"/>
      <c r="AP225" s="96"/>
      <c r="AQ225" s="96"/>
      <c r="AR225" s="96"/>
      <c r="AS225" s="96"/>
      <c r="AT225" s="96"/>
    </row>
    <row r="226" spans="2:46" ht="12" customHeight="1" x14ac:dyDescent="0.3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  <c r="AR226" s="96"/>
      <c r="AS226" s="96"/>
      <c r="AT226" s="96"/>
    </row>
    <row r="227" spans="2:46" ht="12" customHeight="1" x14ac:dyDescent="0.3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</row>
    <row r="228" spans="2:46" ht="12" customHeight="1" x14ac:dyDescent="0.3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  <c r="AR228" s="96"/>
      <c r="AS228" s="96"/>
      <c r="AT228" s="96"/>
    </row>
    <row r="229" spans="2:46" ht="12" customHeight="1" x14ac:dyDescent="0.3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  <c r="AG229" s="96"/>
      <c r="AH229" s="96"/>
      <c r="AI229" s="96"/>
      <c r="AJ229" s="96"/>
      <c r="AK229" s="96"/>
      <c r="AL229" s="96"/>
      <c r="AM229" s="96"/>
      <c r="AN229" s="96"/>
      <c r="AO229" s="96"/>
      <c r="AP229" s="96"/>
      <c r="AQ229" s="96"/>
      <c r="AR229" s="96"/>
      <c r="AS229" s="96"/>
      <c r="AT229" s="96"/>
    </row>
    <row r="230" spans="2:46" ht="12" customHeight="1" x14ac:dyDescent="0.3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  <c r="AG230" s="96"/>
      <c r="AH230" s="96"/>
      <c r="AI230" s="96"/>
      <c r="AJ230" s="96"/>
      <c r="AK230" s="96"/>
      <c r="AL230" s="96"/>
      <c r="AM230" s="96"/>
      <c r="AN230" s="96"/>
      <c r="AO230" s="96"/>
      <c r="AP230" s="96"/>
      <c r="AQ230" s="96"/>
      <c r="AR230" s="96"/>
      <c r="AS230" s="96"/>
      <c r="AT230" s="96"/>
    </row>
    <row r="231" spans="2:46" ht="12" customHeight="1" x14ac:dyDescent="0.3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</row>
    <row r="232" spans="2:46" ht="12" customHeight="1" x14ac:dyDescent="0.3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</row>
    <row r="233" spans="2:46" ht="12" customHeight="1" x14ac:dyDescent="0.3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</row>
    <row r="234" spans="2:46" ht="12" customHeight="1" x14ac:dyDescent="0.3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  <c r="AG234" s="96"/>
      <c r="AH234" s="96"/>
      <c r="AI234" s="96"/>
      <c r="AJ234" s="96"/>
      <c r="AK234" s="96"/>
      <c r="AL234" s="96"/>
      <c r="AM234" s="96"/>
      <c r="AN234" s="96"/>
      <c r="AO234" s="96"/>
      <c r="AP234" s="96"/>
      <c r="AQ234" s="96"/>
      <c r="AR234" s="96"/>
      <c r="AS234" s="96"/>
      <c r="AT234" s="96"/>
    </row>
    <row r="235" spans="2:46" ht="12" customHeight="1" x14ac:dyDescent="0.3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  <c r="AG235" s="96"/>
      <c r="AH235" s="96"/>
      <c r="AI235" s="96"/>
      <c r="AJ235" s="96"/>
      <c r="AK235" s="96"/>
      <c r="AL235" s="96"/>
      <c r="AM235" s="96"/>
      <c r="AN235" s="96"/>
      <c r="AO235" s="96"/>
      <c r="AP235" s="96"/>
      <c r="AQ235" s="96"/>
      <c r="AR235" s="96"/>
      <c r="AS235" s="96"/>
      <c r="AT235" s="96"/>
    </row>
    <row r="236" spans="2:46" ht="12" customHeight="1" x14ac:dyDescent="0.3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  <c r="AG236" s="96"/>
      <c r="AH236" s="96"/>
      <c r="AI236" s="96"/>
      <c r="AJ236" s="96"/>
      <c r="AK236" s="96"/>
      <c r="AL236" s="96"/>
      <c r="AM236" s="96"/>
      <c r="AN236" s="96"/>
      <c r="AO236" s="96"/>
      <c r="AP236" s="96"/>
      <c r="AQ236" s="96"/>
      <c r="AR236" s="96"/>
      <c r="AS236" s="96"/>
      <c r="AT236" s="96"/>
    </row>
    <row r="237" spans="2:46" ht="12" customHeight="1" x14ac:dyDescent="0.3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  <c r="AG237" s="96"/>
      <c r="AH237" s="96"/>
      <c r="AI237" s="96"/>
      <c r="AJ237" s="96"/>
      <c r="AK237" s="96"/>
      <c r="AL237" s="96"/>
      <c r="AM237" s="96"/>
      <c r="AN237" s="96"/>
      <c r="AO237" s="96"/>
      <c r="AP237" s="96"/>
      <c r="AQ237" s="96"/>
      <c r="AR237" s="96"/>
      <c r="AS237" s="96"/>
      <c r="AT237" s="96"/>
    </row>
    <row r="238" spans="2:46" ht="12" customHeight="1" x14ac:dyDescent="0.3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  <c r="AG238" s="96"/>
      <c r="AH238" s="96"/>
      <c r="AI238" s="96"/>
      <c r="AJ238" s="96"/>
      <c r="AK238" s="96"/>
      <c r="AL238" s="96"/>
      <c r="AM238" s="96"/>
      <c r="AN238" s="96"/>
      <c r="AO238" s="96"/>
      <c r="AP238" s="96"/>
      <c r="AQ238" s="96"/>
      <c r="AR238" s="96"/>
      <c r="AS238" s="96"/>
      <c r="AT238" s="96"/>
    </row>
    <row r="239" spans="2:46" ht="12" customHeight="1" x14ac:dyDescent="0.3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  <c r="AG239" s="96"/>
      <c r="AH239" s="96"/>
      <c r="AI239" s="96"/>
      <c r="AJ239" s="96"/>
      <c r="AK239" s="96"/>
      <c r="AL239" s="96"/>
      <c r="AM239" s="96"/>
      <c r="AN239" s="96"/>
      <c r="AO239" s="96"/>
      <c r="AP239" s="96"/>
      <c r="AQ239" s="96"/>
      <c r="AR239" s="96"/>
      <c r="AS239" s="96"/>
      <c r="AT239" s="96"/>
    </row>
    <row r="240" spans="2:46" ht="12" customHeight="1" x14ac:dyDescent="0.3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  <c r="AG240" s="96"/>
      <c r="AH240" s="96"/>
      <c r="AI240" s="96"/>
      <c r="AJ240" s="96"/>
      <c r="AK240" s="96"/>
      <c r="AL240" s="96"/>
      <c r="AM240" s="96"/>
      <c r="AN240" s="96"/>
      <c r="AO240" s="96"/>
      <c r="AP240" s="96"/>
      <c r="AQ240" s="96"/>
      <c r="AR240" s="96"/>
      <c r="AS240" s="96"/>
      <c r="AT240" s="96"/>
    </row>
    <row r="241" spans="2:46" ht="12" customHeight="1" x14ac:dyDescent="0.3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  <c r="AG241" s="96"/>
      <c r="AH241" s="96"/>
      <c r="AI241" s="96"/>
      <c r="AJ241" s="96"/>
      <c r="AK241" s="96"/>
      <c r="AL241" s="96"/>
      <c r="AM241" s="96"/>
      <c r="AN241" s="96"/>
      <c r="AO241" s="96"/>
      <c r="AP241" s="96"/>
      <c r="AQ241" s="96"/>
      <c r="AR241" s="96"/>
      <c r="AS241" s="96"/>
      <c r="AT241" s="96"/>
    </row>
    <row r="242" spans="2:46" ht="12" customHeight="1" x14ac:dyDescent="0.3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96"/>
      <c r="AI242" s="96"/>
      <c r="AJ242" s="96"/>
      <c r="AK242" s="96"/>
      <c r="AL242" s="96"/>
      <c r="AM242" s="96"/>
      <c r="AN242" s="96"/>
      <c r="AO242" s="96"/>
      <c r="AP242" s="96"/>
      <c r="AQ242" s="96"/>
      <c r="AR242" s="96"/>
      <c r="AS242" s="96"/>
      <c r="AT242" s="96"/>
    </row>
    <row r="243" spans="2:46" ht="12" customHeight="1" x14ac:dyDescent="0.3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96"/>
      <c r="AS243" s="96"/>
      <c r="AT243" s="96"/>
    </row>
    <row r="244" spans="2:46" ht="12" customHeight="1" x14ac:dyDescent="0.3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96"/>
      <c r="AS244" s="96"/>
      <c r="AT244" s="96"/>
    </row>
    <row r="245" spans="2:46" ht="12" customHeight="1" x14ac:dyDescent="0.3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  <c r="AS245" s="96"/>
      <c r="AT245" s="96"/>
    </row>
    <row r="246" spans="2:46" ht="12" customHeight="1" x14ac:dyDescent="0.3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  <c r="AS246" s="96"/>
      <c r="AT246" s="96"/>
    </row>
    <row r="247" spans="2:46" ht="12" customHeight="1" x14ac:dyDescent="0.3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  <c r="AS247" s="96"/>
      <c r="AT247" s="96"/>
    </row>
    <row r="248" spans="2:46" ht="12" customHeight="1" x14ac:dyDescent="0.3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  <c r="AR248" s="96"/>
      <c r="AS248" s="96"/>
      <c r="AT248" s="96"/>
    </row>
    <row r="249" spans="2:46" ht="12" customHeight="1" x14ac:dyDescent="0.3"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  <c r="AR249" s="96"/>
      <c r="AS249" s="96"/>
      <c r="AT249" s="96"/>
    </row>
    <row r="250" spans="2:46" ht="12" customHeight="1" x14ac:dyDescent="0.3"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  <c r="AR250" s="96"/>
      <c r="AS250" s="96"/>
      <c r="AT250" s="96"/>
    </row>
    <row r="251" spans="2:46" ht="12" customHeight="1" x14ac:dyDescent="0.3"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  <c r="AR251" s="96"/>
      <c r="AS251" s="96"/>
      <c r="AT251" s="96"/>
    </row>
    <row r="252" spans="2:46" ht="12" customHeight="1" x14ac:dyDescent="0.3"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  <c r="AR252" s="96"/>
      <c r="AS252" s="96"/>
      <c r="AT252" s="96"/>
    </row>
    <row r="253" spans="2:46" ht="12" customHeight="1" x14ac:dyDescent="0.3"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  <c r="AG253" s="96"/>
      <c r="AH253" s="96"/>
      <c r="AI253" s="96"/>
      <c r="AJ253" s="96"/>
      <c r="AK253" s="96"/>
      <c r="AL253" s="96"/>
      <c r="AM253" s="96"/>
      <c r="AN253" s="96"/>
      <c r="AO253" s="96"/>
      <c r="AP253" s="96"/>
      <c r="AQ253" s="96"/>
      <c r="AR253" s="96"/>
      <c r="AS253" s="96"/>
      <c r="AT253" s="96"/>
    </row>
    <row r="254" spans="2:46" ht="12" customHeight="1" x14ac:dyDescent="0.3"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</row>
    <row r="255" spans="2:46" ht="12" customHeight="1" x14ac:dyDescent="0.3"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  <c r="AG255" s="96"/>
      <c r="AH255" s="96"/>
      <c r="AI255" s="96"/>
      <c r="AJ255" s="96"/>
      <c r="AK255" s="96"/>
      <c r="AL255" s="96"/>
      <c r="AM255" s="96"/>
      <c r="AN255" s="96"/>
      <c r="AO255" s="96"/>
      <c r="AP255" s="96"/>
      <c r="AQ255" s="96"/>
      <c r="AR255" s="96"/>
      <c r="AS255" s="96"/>
      <c r="AT255" s="96"/>
    </row>
    <row r="256" spans="2:46" ht="12" customHeight="1" x14ac:dyDescent="0.3"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96"/>
      <c r="AM256" s="96"/>
      <c r="AN256" s="96"/>
      <c r="AO256" s="96"/>
      <c r="AP256" s="96"/>
      <c r="AQ256" s="96"/>
      <c r="AR256" s="96"/>
      <c r="AS256" s="96"/>
      <c r="AT256" s="96"/>
    </row>
    <row r="257" spans="2:46" ht="12" customHeight="1" x14ac:dyDescent="0.3"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96"/>
      <c r="AM257" s="96"/>
      <c r="AN257" s="96"/>
      <c r="AO257" s="96"/>
      <c r="AP257" s="96"/>
      <c r="AQ257" s="96"/>
      <c r="AR257" s="96"/>
      <c r="AS257" s="96"/>
      <c r="AT257" s="96"/>
    </row>
    <row r="258" spans="2:46" ht="12" customHeight="1" x14ac:dyDescent="0.3"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L258" s="96"/>
      <c r="AM258" s="96"/>
      <c r="AN258" s="96"/>
      <c r="AO258" s="96"/>
      <c r="AP258" s="96"/>
      <c r="AQ258" s="96"/>
      <c r="AR258" s="96"/>
      <c r="AS258" s="96"/>
      <c r="AT258" s="96"/>
    </row>
    <row r="259" spans="2:46" ht="12" customHeight="1" x14ac:dyDescent="0.3"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L259" s="96"/>
      <c r="AM259" s="96"/>
      <c r="AN259" s="96"/>
      <c r="AO259" s="96"/>
      <c r="AP259" s="96"/>
      <c r="AQ259" s="96"/>
      <c r="AR259" s="96"/>
      <c r="AS259" s="96"/>
      <c r="AT259" s="96"/>
    </row>
    <row r="260" spans="2:46" ht="12" customHeight="1" x14ac:dyDescent="0.3"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  <c r="AG260" s="96"/>
      <c r="AH260" s="96"/>
      <c r="AI260" s="96"/>
      <c r="AJ260" s="96"/>
      <c r="AK260" s="96"/>
      <c r="AL260" s="96"/>
      <c r="AM260" s="96"/>
      <c r="AN260" s="96"/>
      <c r="AO260" s="96"/>
      <c r="AP260" s="96"/>
      <c r="AQ260" s="96"/>
      <c r="AR260" s="96"/>
      <c r="AS260" s="96"/>
      <c r="AT260" s="96"/>
    </row>
    <row r="261" spans="2:46" ht="12" customHeight="1" x14ac:dyDescent="0.3"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  <c r="AG261" s="96"/>
      <c r="AH261" s="96"/>
      <c r="AI261" s="96"/>
      <c r="AJ261" s="96"/>
      <c r="AK261" s="96"/>
      <c r="AL261" s="96"/>
      <c r="AM261" s="96"/>
      <c r="AN261" s="96"/>
      <c r="AO261" s="96"/>
      <c r="AP261" s="96"/>
      <c r="AQ261" s="96"/>
      <c r="AR261" s="96"/>
      <c r="AS261" s="96"/>
      <c r="AT261" s="96"/>
    </row>
    <row r="262" spans="2:46" ht="12" customHeight="1" x14ac:dyDescent="0.3"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  <c r="AG262" s="96"/>
      <c r="AH262" s="96"/>
      <c r="AI262" s="96"/>
      <c r="AJ262" s="96"/>
      <c r="AK262" s="96"/>
      <c r="AL262" s="96"/>
      <c r="AM262" s="96"/>
      <c r="AN262" s="96"/>
      <c r="AO262" s="96"/>
      <c r="AP262" s="96"/>
      <c r="AQ262" s="96"/>
      <c r="AR262" s="96"/>
      <c r="AS262" s="96"/>
      <c r="AT262" s="96"/>
    </row>
    <row r="263" spans="2:46" ht="12" customHeight="1" x14ac:dyDescent="0.3"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96"/>
    </row>
    <row r="264" spans="2:46" ht="12" customHeight="1" x14ac:dyDescent="0.3"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96"/>
    </row>
    <row r="265" spans="2:46" ht="12" customHeight="1" x14ac:dyDescent="0.3"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  <c r="AR265" s="96"/>
      <c r="AS265" s="96"/>
      <c r="AT265" s="96"/>
    </row>
    <row r="266" spans="2:46" ht="12" customHeight="1" x14ac:dyDescent="0.3"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  <c r="AG266" s="96"/>
      <c r="AH266" s="96"/>
      <c r="AI266" s="96"/>
      <c r="AJ266" s="96"/>
      <c r="AK266" s="96"/>
      <c r="AL266" s="96"/>
      <c r="AM266" s="96"/>
      <c r="AN266" s="96"/>
      <c r="AO266" s="96"/>
      <c r="AP266" s="96"/>
      <c r="AQ266" s="96"/>
      <c r="AR266" s="96"/>
      <c r="AS266" s="96"/>
      <c r="AT266" s="96"/>
    </row>
    <row r="267" spans="2:46" ht="12" customHeight="1" x14ac:dyDescent="0.3"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  <c r="AG267" s="96"/>
      <c r="AH267" s="96"/>
      <c r="AI267" s="96"/>
      <c r="AJ267" s="96"/>
      <c r="AK267" s="96"/>
      <c r="AL267" s="96"/>
      <c r="AM267" s="96"/>
      <c r="AN267" s="96"/>
      <c r="AO267" s="96"/>
      <c r="AP267" s="96"/>
      <c r="AQ267" s="96"/>
      <c r="AR267" s="96"/>
      <c r="AS267" s="96"/>
      <c r="AT267" s="96"/>
    </row>
    <row r="268" spans="2:46" ht="12" customHeight="1" x14ac:dyDescent="0.3"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  <c r="AG268" s="96"/>
      <c r="AH268" s="96"/>
      <c r="AI268" s="96"/>
      <c r="AJ268" s="96"/>
      <c r="AK268" s="96"/>
      <c r="AL268" s="96"/>
      <c r="AM268" s="96"/>
      <c r="AN268" s="96"/>
      <c r="AO268" s="96"/>
      <c r="AP268" s="96"/>
      <c r="AQ268" s="96"/>
      <c r="AR268" s="96"/>
      <c r="AS268" s="96"/>
      <c r="AT268" s="96"/>
    </row>
    <row r="269" spans="2:46" ht="12" customHeight="1" x14ac:dyDescent="0.3"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  <c r="AG269" s="96"/>
      <c r="AH269" s="96"/>
      <c r="AI269" s="96"/>
      <c r="AJ269" s="96"/>
      <c r="AK269" s="96"/>
      <c r="AL269" s="96"/>
      <c r="AM269" s="96"/>
      <c r="AN269" s="96"/>
      <c r="AO269" s="96"/>
      <c r="AP269" s="96"/>
      <c r="AQ269" s="96"/>
      <c r="AR269" s="96"/>
      <c r="AS269" s="96"/>
      <c r="AT269" s="96"/>
    </row>
    <row r="270" spans="2:46" ht="12" customHeight="1" x14ac:dyDescent="0.3"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  <c r="AG270" s="96"/>
      <c r="AH270" s="96"/>
      <c r="AI270" s="96"/>
      <c r="AJ270" s="96"/>
      <c r="AK270" s="96"/>
      <c r="AL270" s="96"/>
      <c r="AM270" s="96"/>
      <c r="AN270" s="96"/>
      <c r="AO270" s="96"/>
      <c r="AP270" s="96"/>
      <c r="AQ270" s="96"/>
      <c r="AR270" s="96"/>
      <c r="AS270" s="96"/>
      <c r="AT270" s="96"/>
    </row>
    <row r="271" spans="2:46" ht="12" customHeight="1" x14ac:dyDescent="0.3"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  <c r="AG271" s="96"/>
      <c r="AH271" s="96"/>
      <c r="AI271" s="96"/>
      <c r="AJ271" s="96"/>
      <c r="AK271" s="96"/>
      <c r="AL271" s="96"/>
      <c r="AM271" s="96"/>
      <c r="AN271" s="96"/>
      <c r="AO271" s="96"/>
      <c r="AP271" s="96"/>
      <c r="AQ271" s="96"/>
      <c r="AR271" s="96"/>
      <c r="AS271" s="96"/>
      <c r="AT271" s="96"/>
    </row>
    <row r="272" spans="2:46" ht="12" customHeight="1" x14ac:dyDescent="0.3"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  <c r="AG272" s="96"/>
      <c r="AH272" s="96"/>
      <c r="AI272" s="96"/>
      <c r="AJ272" s="96"/>
      <c r="AK272" s="96"/>
      <c r="AL272" s="96"/>
      <c r="AM272" s="96"/>
      <c r="AN272" s="96"/>
      <c r="AO272" s="96"/>
      <c r="AP272" s="96"/>
      <c r="AQ272" s="96"/>
      <c r="AR272" s="96"/>
      <c r="AS272" s="96"/>
      <c r="AT272" s="96"/>
    </row>
    <row r="273" spans="2:46" ht="12" customHeight="1" x14ac:dyDescent="0.3"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  <c r="AG273" s="96"/>
      <c r="AH273" s="96"/>
      <c r="AI273" s="96"/>
      <c r="AJ273" s="96"/>
      <c r="AK273" s="96"/>
      <c r="AL273" s="96"/>
      <c r="AM273" s="96"/>
      <c r="AN273" s="96"/>
      <c r="AO273" s="96"/>
      <c r="AP273" s="96"/>
      <c r="AQ273" s="96"/>
      <c r="AR273" s="96"/>
      <c r="AS273" s="96"/>
      <c r="AT273" s="96"/>
    </row>
    <row r="274" spans="2:46" ht="12" customHeight="1" x14ac:dyDescent="0.3"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  <c r="AG274" s="96"/>
      <c r="AH274" s="96"/>
      <c r="AI274" s="96"/>
      <c r="AJ274" s="96"/>
      <c r="AK274" s="96"/>
      <c r="AL274" s="96"/>
      <c r="AM274" s="96"/>
      <c r="AN274" s="96"/>
      <c r="AO274" s="96"/>
      <c r="AP274" s="96"/>
      <c r="AQ274" s="96"/>
      <c r="AR274" s="96"/>
      <c r="AS274" s="96"/>
      <c r="AT274" s="96"/>
    </row>
    <row r="275" spans="2:46" ht="12" customHeight="1" x14ac:dyDescent="0.3"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  <c r="AG275" s="96"/>
      <c r="AH275" s="96"/>
      <c r="AI275" s="96"/>
      <c r="AJ275" s="96"/>
      <c r="AK275" s="96"/>
      <c r="AL275" s="96"/>
      <c r="AM275" s="96"/>
      <c r="AN275" s="96"/>
      <c r="AO275" s="96"/>
      <c r="AP275" s="96"/>
      <c r="AQ275" s="96"/>
      <c r="AR275" s="96"/>
      <c r="AS275" s="96"/>
      <c r="AT275" s="96"/>
    </row>
    <row r="276" spans="2:46" ht="12" customHeight="1" x14ac:dyDescent="0.3"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96"/>
      <c r="AK276" s="96"/>
      <c r="AL276" s="96"/>
      <c r="AM276" s="96"/>
      <c r="AN276" s="96"/>
      <c r="AO276" s="96"/>
      <c r="AP276" s="96"/>
      <c r="AQ276" s="96"/>
      <c r="AR276" s="96"/>
      <c r="AS276" s="96"/>
      <c r="AT276" s="96"/>
    </row>
    <row r="277" spans="2:46" ht="12" customHeight="1" x14ac:dyDescent="0.3"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  <c r="AG277" s="96"/>
      <c r="AH277" s="96"/>
      <c r="AI277" s="96"/>
      <c r="AJ277" s="96"/>
      <c r="AK277" s="96"/>
      <c r="AL277" s="96"/>
      <c r="AM277" s="96"/>
      <c r="AN277" s="96"/>
      <c r="AO277" s="96"/>
      <c r="AP277" s="96"/>
      <c r="AQ277" s="96"/>
      <c r="AR277" s="96"/>
      <c r="AS277" s="96"/>
      <c r="AT277" s="96"/>
    </row>
    <row r="278" spans="2:46" ht="12" customHeight="1" x14ac:dyDescent="0.3"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  <c r="AG278" s="96"/>
      <c r="AH278" s="96"/>
      <c r="AI278" s="96"/>
      <c r="AJ278" s="96"/>
      <c r="AK278" s="96"/>
      <c r="AL278" s="96"/>
      <c r="AM278" s="96"/>
      <c r="AN278" s="96"/>
      <c r="AO278" s="96"/>
      <c r="AP278" s="96"/>
      <c r="AQ278" s="96"/>
      <c r="AR278" s="96"/>
      <c r="AS278" s="96"/>
      <c r="AT278" s="96"/>
    </row>
    <row r="279" spans="2:46" ht="12" customHeight="1" x14ac:dyDescent="0.3"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  <c r="AG279" s="96"/>
      <c r="AH279" s="96"/>
      <c r="AI279" s="96"/>
      <c r="AJ279" s="96"/>
      <c r="AK279" s="96"/>
      <c r="AL279" s="96"/>
      <c r="AM279" s="96"/>
      <c r="AN279" s="96"/>
      <c r="AO279" s="96"/>
      <c r="AP279" s="96"/>
      <c r="AQ279" s="96"/>
      <c r="AR279" s="96"/>
      <c r="AS279" s="96"/>
      <c r="AT279" s="96"/>
    </row>
    <row r="280" spans="2:46" ht="12" customHeight="1" x14ac:dyDescent="0.3"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  <c r="AG280" s="96"/>
      <c r="AH280" s="96"/>
      <c r="AI280" s="96"/>
      <c r="AJ280" s="96"/>
      <c r="AK280" s="96"/>
      <c r="AL280" s="96"/>
      <c r="AM280" s="96"/>
      <c r="AN280" s="96"/>
      <c r="AO280" s="96"/>
      <c r="AP280" s="96"/>
      <c r="AQ280" s="96"/>
      <c r="AR280" s="96"/>
      <c r="AS280" s="96"/>
      <c r="AT280" s="96"/>
    </row>
    <row r="281" spans="2:46" ht="12" customHeight="1" x14ac:dyDescent="0.3"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96"/>
      <c r="AK281" s="96"/>
      <c r="AL281" s="96"/>
      <c r="AM281" s="96"/>
      <c r="AN281" s="96"/>
      <c r="AO281" s="96"/>
      <c r="AP281" s="96"/>
      <c r="AQ281" s="96"/>
      <c r="AR281" s="96"/>
      <c r="AS281" s="96"/>
      <c r="AT281" s="96"/>
    </row>
    <row r="282" spans="2:46" ht="12" customHeight="1" x14ac:dyDescent="0.3"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  <c r="AC282" s="96"/>
      <c r="AD282" s="96"/>
      <c r="AE282" s="96"/>
      <c r="AF282" s="96"/>
      <c r="AG282" s="96"/>
      <c r="AH282" s="96"/>
      <c r="AI282" s="96"/>
      <c r="AJ282" s="96"/>
      <c r="AK282" s="96"/>
      <c r="AL282" s="96"/>
      <c r="AM282" s="96"/>
      <c r="AN282" s="96"/>
      <c r="AO282" s="96"/>
      <c r="AP282" s="96"/>
      <c r="AQ282" s="96"/>
      <c r="AR282" s="96"/>
      <c r="AS282" s="96"/>
      <c r="AT282" s="96"/>
    </row>
    <row r="283" spans="2:46" ht="12" customHeight="1" x14ac:dyDescent="0.3"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  <c r="AG283" s="96"/>
      <c r="AH283" s="96"/>
      <c r="AI283" s="96"/>
      <c r="AJ283" s="96"/>
      <c r="AK283" s="96"/>
      <c r="AL283" s="96"/>
      <c r="AM283" s="96"/>
      <c r="AN283" s="96"/>
      <c r="AO283" s="96"/>
      <c r="AP283" s="96"/>
      <c r="AQ283" s="96"/>
      <c r="AR283" s="96"/>
      <c r="AS283" s="96"/>
      <c r="AT283" s="96"/>
    </row>
    <row r="284" spans="2:46" ht="12" customHeight="1" x14ac:dyDescent="0.3"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  <c r="AG284" s="96"/>
      <c r="AH284" s="96"/>
      <c r="AI284" s="96"/>
      <c r="AJ284" s="96"/>
      <c r="AK284" s="96"/>
      <c r="AL284" s="96"/>
      <c r="AM284" s="96"/>
      <c r="AN284" s="96"/>
      <c r="AO284" s="96"/>
      <c r="AP284" s="96"/>
      <c r="AQ284" s="96"/>
      <c r="AR284" s="96"/>
      <c r="AS284" s="96"/>
      <c r="AT284" s="96"/>
    </row>
    <row r="285" spans="2:46" ht="12" customHeight="1" x14ac:dyDescent="0.3"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  <c r="AG285" s="96"/>
      <c r="AH285" s="96"/>
      <c r="AI285" s="96"/>
      <c r="AJ285" s="96"/>
      <c r="AK285" s="96"/>
      <c r="AL285" s="96"/>
      <c r="AM285" s="96"/>
      <c r="AN285" s="96"/>
      <c r="AO285" s="96"/>
      <c r="AP285" s="96"/>
      <c r="AQ285" s="96"/>
      <c r="AR285" s="96"/>
      <c r="AS285" s="96"/>
      <c r="AT285" s="96"/>
    </row>
    <row r="286" spans="2:46" ht="12" customHeight="1" x14ac:dyDescent="0.3"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  <c r="AG286" s="96"/>
      <c r="AH286" s="96"/>
      <c r="AI286" s="96"/>
      <c r="AJ286" s="96"/>
      <c r="AK286" s="96"/>
      <c r="AL286" s="96"/>
      <c r="AM286" s="96"/>
      <c r="AN286" s="96"/>
      <c r="AO286" s="96"/>
      <c r="AP286" s="96"/>
      <c r="AQ286" s="96"/>
      <c r="AR286" s="96"/>
      <c r="AS286" s="96"/>
      <c r="AT286" s="96"/>
    </row>
    <row r="287" spans="2:46" ht="12" customHeight="1" x14ac:dyDescent="0.3"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  <c r="AG287" s="96"/>
      <c r="AH287" s="96"/>
      <c r="AI287" s="96"/>
      <c r="AJ287" s="96"/>
      <c r="AK287" s="96"/>
      <c r="AL287" s="96"/>
      <c r="AM287" s="96"/>
      <c r="AN287" s="96"/>
      <c r="AO287" s="96"/>
      <c r="AP287" s="96"/>
      <c r="AQ287" s="96"/>
      <c r="AR287" s="96"/>
      <c r="AS287" s="96"/>
      <c r="AT287" s="96"/>
    </row>
    <row r="288" spans="2:46" ht="12" customHeight="1" x14ac:dyDescent="0.3"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  <c r="AG288" s="96"/>
      <c r="AH288" s="96"/>
      <c r="AI288" s="96"/>
      <c r="AJ288" s="96"/>
      <c r="AK288" s="96"/>
      <c r="AL288" s="96"/>
      <c r="AM288" s="96"/>
      <c r="AN288" s="96"/>
      <c r="AO288" s="96"/>
      <c r="AP288" s="96"/>
      <c r="AQ288" s="96"/>
      <c r="AR288" s="96"/>
      <c r="AS288" s="96"/>
      <c r="AT288" s="96"/>
    </row>
    <row r="289" spans="2:46" ht="12" customHeight="1" x14ac:dyDescent="0.3"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  <c r="AG289" s="96"/>
      <c r="AH289" s="96"/>
      <c r="AI289" s="96"/>
      <c r="AJ289" s="96"/>
      <c r="AK289" s="96"/>
      <c r="AL289" s="96"/>
      <c r="AM289" s="96"/>
      <c r="AN289" s="96"/>
      <c r="AO289" s="96"/>
      <c r="AP289" s="96"/>
      <c r="AQ289" s="96"/>
      <c r="AR289" s="96"/>
      <c r="AS289" s="96"/>
      <c r="AT289" s="96"/>
    </row>
    <row r="290" spans="2:46" ht="12" customHeight="1" x14ac:dyDescent="0.3"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  <c r="AG290" s="96"/>
      <c r="AH290" s="96"/>
      <c r="AI290" s="96"/>
      <c r="AJ290" s="96"/>
      <c r="AK290" s="96"/>
      <c r="AL290" s="96"/>
      <c r="AM290" s="96"/>
      <c r="AN290" s="96"/>
      <c r="AO290" s="96"/>
      <c r="AP290" s="96"/>
      <c r="AQ290" s="96"/>
      <c r="AR290" s="96"/>
      <c r="AS290" s="96"/>
      <c r="AT290" s="96"/>
    </row>
    <row r="291" spans="2:46" ht="12" customHeight="1" x14ac:dyDescent="0.3"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  <c r="AG291" s="96"/>
      <c r="AH291" s="96"/>
      <c r="AI291" s="96"/>
      <c r="AJ291" s="96"/>
      <c r="AK291" s="96"/>
      <c r="AL291" s="96"/>
      <c r="AM291" s="96"/>
      <c r="AN291" s="96"/>
      <c r="AO291" s="96"/>
      <c r="AP291" s="96"/>
      <c r="AQ291" s="96"/>
      <c r="AR291" s="96"/>
      <c r="AS291" s="96"/>
      <c r="AT291" s="96"/>
    </row>
    <row r="292" spans="2:46" ht="12" customHeight="1" x14ac:dyDescent="0.3"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  <c r="AG292" s="96"/>
      <c r="AH292" s="96"/>
      <c r="AI292" s="96"/>
      <c r="AJ292" s="96"/>
      <c r="AK292" s="96"/>
      <c r="AL292" s="96"/>
      <c r="AM292" s="96"/>
      <c r="AN292" s="96"/>
      <c r="AO292" s="96"/>
      <c r="AP292" s="96"/>
      <c r="AQ292" s="96"/>
      <c r="AR292" s="96"/>
      <c r="AS292" s="96"/>
      <c r="AT292" s="96"/>
    </row>
    <row r="293" spans="2:46" ht="12" customHeight="1" x14ac:dyDescent="0.3"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  <c r="AG293" s="96"/>
      <c r="AH293" s="96"/>
      <c r="AI293" s="96"/>
      <c r="AJ293" s="96"/>
      <c r="AK293" s="96"/>
      <c r="AL293" s="96"/>
      <c r="AM293" s="96"/>
      <c r="AN293" s="96"/>
      <c r="AO293" s="96"/>
      <c r="AP293" s="96"/>
      <c r="AQ293" s="96"/>
      <c r="AR293" s="96"/>
      <c r="AS293" s="96"/>
      <c r="AT293" s="96"/>
    </row>
    <row r="294" spans="2:46" ht="12" customHeight="1" x14ac:dyDescent="0.3"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  <c r="AG294" s="96"/>
      <c r="AH294" s="96"/>
      <c r="AI294" s="96"/>
      <c r="AJ294" s="96"/>
      <c r="AK294" s="96"/>
      <c r="AL294" s="96"/>
      <c r="AM294" s="96"/>
      <c r="AN294" s="96"/>
      <c r="AO294" s="96"/>
      <c r="AP294" s="96"/>
      <c r="AQ294" s="96"/>
      <c r="AR294" s="96"/>
      <c r="AS294" s="96"/>
      <c r="AT294" s="96"/>
    </row>
    <row r="295" spans="2:46" ht="12" customHeight="1" x14ac:dyDescent="0.3"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  <c r="AG295" s="96"/>
      <c r="AH295" s="96"/>
      <c r="AI295" s="96"/>
      <c r="AJ295" s="96"/>
      <c r="AK295" s="96"/>
      <c r="AL295" s="96"/>
      <c r="AM295" s="96"/>
      <c r="AN295" s="96"/>
      <c r="AO295" s="96"/>
      <c r="AP295" s="96"/>
      <c r="AQ295" s="96"/>
      <c r="AR295" s="96"/>
      <c r="AS295" s="96"/>
      <c r="AT295" s="96"/>
    </row>
    <row r="296" spans="2:46" ht="12" customHeight="1" x14ac:dyDescent="0.3"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  <c r="AG296" s="96"/>
      <c r="AH296" s="96"/>
      <c r="AI296" s="96"/>
      <c r="AJ296" s="96"/>
      <c r="AK296" s="96"/>
      <c r="AL296" s="96"/>
      <c r="AM296" s="96"/>
      <c r="AN296" s="96"/>
      <c r="AO296" s="96"/>
      <c r="AP296" s="96"/>
      <c r="AQ296" s="96"/>
      <c r="AR296" s="96"/>
      <c r="AS296" s="96"/>
      <c r="AT296" s="96"/>
    </row>
    <row r="297" spans="2:46" ht="12" customHeight="1" x14ac:dyDescent="0.3"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  <c r="AG297" s="96"/>
      <c r="AH297" s="96"/>
      <c r="AI297" s="96"/>
      <c r="AJ297" s="96"/>
      <c r="AK297" s="96"/>
      <c r="AL297" s="96"/>
      <c r="AM297" s="96"/>
      <c r="AN297" s="96"/>
      <c r="AO297" s="96"/>
      <c r="AP297" s="96"/>
      <c r="AQ297" s="96"/>
      <c r="AR297" s="96"/>
      <c r="AS297" s="96"/>
      <c r="AT297" s="96"/>
    </row>
    <row r="298" spans="2:46" ht="12" customHeight="1" x14ac:dyDescent="0.3"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  <c r="AG298" s="96"/>
      <c r="AH298" s="96"/>
      <c r="AI298" s="96"/>
      <c r="AJ298" s="96"/>
      <c r="AK298" s="96"/>
      <c r="AL298" s="96"/>
      <c r="AM298" s="96"/>
      <c r="AN298" s="96"/>
      <c r="AO298" s="96"/>
      <c r="AP298" s="96"/>
      <c r="AQ298" s="96"/>
      <c r="AR298" s="96"/>
      <c r="AS298" s="96"/>
      <c r="AT298" s="96"/>
    </row>
    <row r="299" spans="2:46" ht="12" customHeight="1" x14ac:dyDescent="0.3"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  <c r="AG299" s="96"/>
      <c r="AH299" s="96"/>
      <c r="AI299" s="96"/>
      <c r="AJ299" s="96"/>
      <c r="AK299" s="96"/>
      <c r="AL299" s="96"/>
      <c r="AM299" s="96"/>
      <c r="AN299" s="96"/>
      <c r="AO299" s="96"/>
      <c r="AP299" s="96"/>
      <c r="AQ299" s="96"/>
      <c r="AR299" s="96"/>
      <c r="AS299" s="96"/>
      <c r="AT299" s="96"/>
    </row>
    <row r="300" spans="2:46" ht="12" customHeight="1" x14ac:dyDescent="0.3"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96"/>
      <c r="AK300" s="96"/>
      <c r="AL300" s="96"/>
      <c r="AM300" s="96"/>
      <c r="AN300" s="96"/>
      <c r="AO300" s="96"/>
      <c r="AP300" s="96"/>
      <c r="AQ300" s="96"/>
      <c r="AR300" s="96"/>
      <c r="AS300" s="96"/>
      <c r="AT300" s="96"/>
    </row>
    <row r="301" spans="2:46" ht="12" customHeight="1" x14ac:dyDescent="0.3"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  <c r="AG301" s="96"/>
      <c r="AH301" s="96"/>
      <c r="AI301" s="96"/>
      <c r="AJ301" s="96"/>
      <c r="AK301" s="96"/>
      <c r="AL301" s="96"/>
      <c r="AM301" s="96"/>
      <c r="AN301" s="96"/>
      <c r="AO301" s="96"/>
      <c r="AP301" s="96"/>
      <c r="AQ301" s="96"/>
      <c r="AR301" s="96"/>
      <c r="AS301" s="96"/>
      <c r="AT301" s="96"/>
    </row>
    <row r="302" spans="2:46" ht="12" customHeight="1" x14ac:dyDescent="0.3"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  <c r="AG302" s="96"/>
      <c r="AH302" s="96"/>
      <c r="AI302" s="96"/>
      <c r="AJ302" s="96"/>
      <c r="AK302" s="96"/>
      <c r="AL302" s="96"/>
      <c r="AM302" s="96"/>
      <c r="AN302" s="96"/>
      <c r="AO302" s="96"/>
      <c r="AP302" s="96"/>
      <c r="AQ302" s="96"/>
      <c r="AR302" s="96"/>
      <c r="AS302" s="96"/>
      <c r="AT302" s="96"/>
    </row>
    <row r="303" spans="2:46" ht="12" customHeight="1" x14ac:dyDescent="0.3"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  <c r="AG303" s="96"/>
      <c r="AH303" s="96"/>
      <c r="AI303" s="96"/>
      <c r="AJ303" s="96"/>
      <c r="AK303" s="96"/>
      <c r="AL303" s="96"/>
      <c r="AM303" s="96"/>
      <c r="AN303" s="96"/>
      <c r="AO303" s="96"/>
      <c r="AP303" s="96"/>
      <c r="AQ303" s="96"/>
      <c r="AR303" s="96"/>
      <c r="AS303" s="96"/>
      <c r="AT303" s="96"/>
    </row>
    <row r="304" spans="2:46" ht="12" customHeight="1" x14ac:dyDescent="0.3"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  <c r="AG304" s="96"/>
      <c r="AH304" s="96"/>
      <c r="AI304" s="96"/>
      <c r="AJ304" s="96"/>
      <c r="AK304" s="96"/>
      <c r="AL304" s="96"/>
      <c r="AM304" s="96"/>
      <c r="AN304" s="96"/>
      <c r="AO304" s="96"/>
      <c r="AP304" s="96"/>
      <c r="AQ304" s="96"/>
      <c r="AR304" s="96"/>
      <c r="AS304" s="96"/>
      <c r="AT304" s="96"/>
    </row>
    <row r="305" spans="2:46" ht="12" customHeight="1" x14ac:dyDescent="0.3"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96"/>
      <c r="AK305" s="96"/>
      <c r="AL305" s="96"/>
      <c r="AM305" s="96"/>
      <c r="AN305" s="96"/>
      <c r="AO305" s="96"/>
      <c r="AP305" s="96"/>
      <c r="AQ305" s="96"/>
      <c r="AR305" s="96"/>
      <c r="AS305" s="96"/>
      <c r="AT305" s="96"/>
    </row>
    <row r="306" spans="2:46" ht="12" customHeight="1" x14ac:dyDescent="0.3"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  <c r="AG306" s="96"/>
      <c r="AH306" s="96"/>
      <c r="AI306" s="96"/>
      <c r="AJ306" s="96"/>
      <c r="AK306" s="96"/>
      <c r="AL306" s="96"/>
      <c r="AM306" s="96"/>
      <c r="AN306" s="96"/>
      <c r="AO306" s="96"/>
      <c r="AP306" s="96"/>
      <c r="AQ306" s="96"/>
      <c r="AR306" s="96"/>
      <c r="AS306" s="96"/>
      <c r="AT306" s="96"/>
    </row>
    <row r="307" spans="2:46" ht="12" customHeight="1" x14ac:dyDescent="0.3"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  <c r="AG307" s="96"/>
      <c r="AH307" s="96"/>
      <c r="AI307" s="96"/>
      <c r="AJ307" s="96"/>
      <c r="AK307" s="96"/>
      <c r="AL307" s="96"/>
      <c r="AM307" s="96"/>
      <c r="AN307" s="96"/>
      <c r="AO307" s="96"/>
      <c r="AP307" s="96"/>
      <c r="AQ307" s="96"/>
      <c r="AR307" s="96"/>
      <c r="AS307" s="96"/>
      <c r="AT307" s="96"/>
    </row>
    <row r="308" spans="2:46" ht="12" customHeight="1" x14ac:dyDescent="0.3"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  <c r="AG308" s="96"/>
      <c r="AH308" s="96"/>
      <c r="AI308" s="96"/>
      <c r="AJ308" s="96"/>
      <c r="AK308" s="96"/>
      <c r="AL308" s="96"/>
      <c r="AM308" s="96"/>
      <c r="AN308" s="96"/>
      <c r="AO308" s="96"/>
      <c r="AP308" s="96"/>
      <c r="AQ308" s="96"/>
      <c r="AR308" s="96"/>
      <c r="AS308" s="96"/>
      <c r="AT308" s="96"/>
    </row>
    <row r="309" spans="2:46" ht="12" customHeight="1" x14ac:dyDescent="0.3"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  <c r="AG309" s="96"/>
      <c r="AH309" s="96"/>
      <c r="AI309" s="96"/>
      <c r="AJ309" s="96"/>
      <c r="AK309" s="96"/>
      <c r="AL309" s="96"/>
      <c r="AM309" s="96"/>
      <c r="AN309" s="96"/>
      <c r="AO309" s="96"/>
      <c r="AP309" s="96"/>
      <c r="AQ309" s="96"/>
      <c r="AR309" s="96"/>
      <c r="AS309" s="96"/>
      <c r="AT309" s="96"/>
    </row>
    <row r="310" spans="2:46" ht="12" customHeight="1" x14ac:dyDescent="0.3"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  <c r="AG310" s="96"/>
      <c r="AH310" s="96"/>
      <c r="AI310" s="96"/>
      <c r="AJ310" s="96"/>
      <c r="AK310" s="96"/>
      <c r="AL310" s="96"/>
      <c r="AM310" s="96"/>
      <c r="AN310" s="96"/>
      <c r="AO310" s="96"/>
      <c r="AP310" s="96"/>
      <c r="AQ310" s="96"/>
      <c r="AR310" s="96"/>
      <c r="AS310" s="96"/>
      <c r="AT310" s="96"/>
    </row>
    <row r="311" spans="2:46" ht="12" customHeight="1" x14ac:dyDescent="0.3"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  <c r="AG311" s="96"/>
      <c r="AH311" s="96"/>
      <c r="AI311" s="96"/>
      <c r="AJ311" s="96"/>
      <c r="AK311" s="96"/>
      <c r="AL311" s="96"/>
      <c r="AM311" s="96"/>
      <c r="AN311" s="96"/>
      <c r="AO311" s="96"/>
      <c r="AP311" s="96"/>
      <c r="AQ311" s="96"/>
      <c r="AR311" s="96"/>
      <c r="AS311" s="96"/>
      <c r="AT311" s="96"/>
    </row>
    <row r="312" spans="2:46" ht="12" customHeight="1" x14ac:dyDescent="0.3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  <c r="AG312" s="96"/>
      <c r="AH312" s="96"/>
      <c r="AI312" s="96"/>
      <c r="AJ312" s="96"/>
      <c r="AK312" s="96"/>
      <c r="AL312" s="96"/>
      <c r="AM312" s="96"/>
      <c r="AN312" s="96"/>
      <c r="AO312" s="96"/>
      <c r="AP312" s="96"/>
      <c r="AQ312" s="96"/>
      <c r="AR312" s="96"/>
      <c r="AS312" s="96"/>
      <c r="AT312" s="96"/>
    </row>
    <row r="313" spans="2:46" ht="12" customHeight="1" x14ac:dyDescent="0.3"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  <c r="AG313" s="96"/>
      <c r="AH313" s="96"/>
      <c r="AI313" s="96"/>
      <c r="AJ313" s="96"/>
      <c r="AK313" s="96"/>
      <c r="AL313" s="96"/>
      <c r="AM313" s="96"/>
      <c r="AN313" s="96"/>
      <c r="AO313" s="96"/>
      <c r="AP313" s="96"/>
      <c r="AQ313" s="96"/>
      <c r="AR313" s="96"/>
      <c r="AS313" s="96"/>
      <c r="AT313" s="96"/>
    </row>
    <row r="314" spans="2:46" ht="12" customHeight="1" x14ac:dyDescent="0.3"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  <c r="AG314" s="96"/>
      <c r="AH314" s="96"/>
      <c r="AI314" s="96"/>
      <c r="AJ314" s="96"/>
      <c r="AK314" s="96"/>
      <c r="AL314" s="96"/>
      <c r="AM314" s="96"/>
      <c r="AN314" s="96"/>
      <c r="AO314" s="96"/>
      <c r="AP314" s="96"/>
      <c r="AQ314" s="96"/>
      <c r="AR314" s="96"/>
      <c r="AS314" s="96"/>
      <c r="AT314" s="96"/>
    </row>
    <row r="315" spans="2:46" ht="12" customHeight="1" x14ac:dyDescent="0.3"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  <c r="AG315" s="96"/>
      <c r="AH315" s="96"/>
      <c r="AI315" s="96"/>
      <c r="AJ315" s="96"/>
      <c r="AK315" s="96"/>
      <c r="AL315" s="96"/>
      <c r="AM315" s="96"/>
      <c r="AN315" s="96"/>
      <c r="AO315" s="96"/>
      <c r="AP315" s="96"/>
      <c r="AQ315" s="96"/>
      <c r="AR315" s="96"/>
      <c r="AS315" s="96"/>
      <c r="AT315" s="96"/>
    </row>
    <row r="316" spans="2:46" ht="12" customHeight="1" x14ac:dyDescent="0.3"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  <c r="AG316" s="96"/>
      <c r="AH316" s="96"/>
      <c r="AI316" s="96"/>
      <c r="AJ316" s="96"/>
      <c r="AK316" s="96"/>
      <c r="AL316" s="96"/>
      <c r="AM316" s="96"/>
      <c r="AN316" s="96"/>
      <c r="AO316" s="96"/>
      <c r="AP316" s="96"/>
      <c r="AQ316" s="96"/>
      <c r="AR316" s="96"/>
      <c r="AS316" s="96"/>
      <c r="AT316" s="96"/>
    </row>
    <row r="317" spans="2:46" ht="12" customHeight="1" x14ac:dyDescent="0.3"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  <c r="AG317" s="96"/>
      <c r="AH317" s="96"/>
      <c r="AI317" s="96"/>
      <c r="AJ317" s="96"/>
      <c r="AK317" s="96"/>
      <c r="AL317" s="96"/>
      <c r="AM317" s="96"/>
      <c r="AN317" s="96"/>
      <c r="AO317" s="96"/>
      <c r="AP317" s="96"/>
      <c r="AQ317" s="96"/>
      <c r="AR317" s="96"/>
      <c r="AS317" s="96"/>
      <c r="AT317" s="96"/>
    </row>
    <row r="318" spans="2:46" ht="12" customHeight="1" x14ac:dyDescent="0.3"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  <c r="AG318" s="96"/>
      <c r="AH318" s="96"/>
      <c r="AI318" s="96"/>
      <c r="AJ318" s="96"/>
      <c r="AK318" s="96"/>
      <c r="AL318" s="96"/>
      <c r="AM318" s="96"/>
      <c r="AN318" s="96"/>
      <c r="AO318" s="96"/>
      <c r="AP318" s="96"/>
      <c r="AQ318" s="96"/>
      <c r="AR318" s="96"/>
      <c r="AS318" s="96"/>
      <c r="AT318" s="96"/>
    </row>
    <row r="319" spans="2:46" ht="12" customHeight="1" x14ac:dyDescent="0.3"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  <c r="AG319" s="96"/>
      <c r="AH319" s="96"/>
      <c r="AI319" s="96"/>
      <c r="AJ319" s="96"/>
      <c r="AK319" s="96"/>
      <c r="AL319" s="96"/>
      <c r="AM319" s="96"/>
      <c r="AN319" s="96"/>
      <c r="AO319" s="96"/>
      <c r="AP319" s="96"/>
      <c r="AQ319" s="96"/>
      <c r="AR319" s="96"/>
      <c r="AS319" s="96"/>
      <c r="AT319" s="96"/>
    </row>
    <row r="320" spans="2:46" ht="12" customHeight="1" x14ac:dyDescent="0.3"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  <c r="AG320" s="96"/>
      <c r="AH320" s="96"/>
      <c r="AI320" s="96"/>
      <c r="AJ320" s="96"/>
      <c r="AK320" s="96"/>
      <c r="AL320" s="96"/>
      <c r="AM320" s="96"/>
      <c r="AN320" s="96"/>
      <c r="AO320" s="96"/>
      <c r="AP320" s="96"/>
      <c r="AQ320" s="96"/>
      <c r="AR320" s="96"/>
      <c r="AS320" s="96"/>
      <c r="AT320" s="96"/>
    </row>
    <row r="321" spans="2:46" ht="12" customHeight="1" x14ac:dyDescent="0.3"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6"/>
      <c r="AN321" s="96"/>
      <c r="AO321" s="96"/>
      <c r="AP321" s="96"/>
      <c r="AQ321" s="96"/>
      <c r="AR321" s="96"/>
      <c r="AS321" s="96"/>
      <c r="AT321" s="96"/>
    </row>
    <row r="322" spans="2:46" ht="12" customHeight="1" x14ac:dyDescent="0.3"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  <c r="AG322" s="96"/>
      <c r="AH322" s="96"/>
      <c r="AI322" s="96"/>
      <c r="AJ322" s="96"/>
      <c r="AK322" s="96"/>
      <c r="AL322" s="96"/>
      <c r="AM322" s="96"/>
      <c r="AN322" s="96"/>
      <c r="AO322" s="96"/>
      <c r="AP322" s="96"/>
      <c r="AQ322" s="96"/>
      <c r="AR322" s="96"/>
      <c r="AS322" s="96"/>
      <c r="AT322" s="96"/>
    </row>
    <row r="323" spans="2:46" ht="12" customHeight="1" x14ac:dyDescent="0.3"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  <c r="AG323" s="96"/>
      <c r="AH323" s="96"/>
      <c r="AI323" s="96"/>
      <c r="AJ323" s="96"/>
      <c r="AK323" s="96"/>
      <c r="AL323" s="96"/>
      <c r="AM323" s="96"/>
      <c r="AN323" s="96"/>
      <c r="AO323" s="96"/>
      <c r="AP323" s="96"/>
      <c r="AQ323" s="96"/>
      <c r="AR323" s="96"/>
      <c r="AS323" s="96"/>
      <c r="AT323" s="96"/>
    </row>
    <row r="324" spans="2:46" ht="12" customHeight="1" x14ac:dyDescent="0.3"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96"/>
      <c r="AK324" s="96"/>
      <c r="AL324" s="96"/>
      <c r="AM324" s="96"/>
      <c r="AN324" s="96"/>
      <c r="AO324" s="96"/>
      <c r="AP324" s="96"/>
      <c r="AQ324" s="96"/>
      <c r="AR324" s="96"/>
      <c r="AS324" s="96"/>
      <c r="AT324" s="96"/>
    </row>
    <row r="325" spans="2:46" ht="12" customHeight="1" x14ac:dyDescent="0.3"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  <c r="AG325" s="96"/>
      <c r="AH325" s="96"/>
      <c r="AI325" s="96"/>
      <c r="AJ325" s="96"/>
      <c r="AK325" s="96"/>
      <c r="AL325" s="96"/>
      <c r="AM325" s="96"/>
      <c r="AN325" s="96"/>
      <c r="AO325" s="96"/>
      <c r="AP325" s="96"/>
      <c r="AQ325" s="96"/>
      <c r="AR325" s="96"/>
      <c r="AS325" s="96"/>
      <c r="AT325" s="96"/>
    </row>
    <row r="326" spans="2:46" ht="12" customHeight="1" x14ac:dyDescent="0.3"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  <c r="AG326" s="96"/>
      <c r="AH326" s="96"/>
      <c r="AI326" s="96"/>
      <c r="AJ326" s="96"/>
      <c r="AK326" s="96"/>
      <c r="AL326" s="96"/>
      <c r="AM326" s="96"/>
      <c r="AN326" s="96"/>
      <c r="AO326" s="96"/>
      <c r="AP326" s="96"/>
      <c r="AQ326" s="96"/>
      <c r="AR326" s="96"/>
      <c r="AS326" s="96"/>
      <c r="AT326" s="96"/>
    </row>
    <row r="327" spans="2:46" ht="12" customHeight="1" x14ac:dyDescent="0.3"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  <c r="AG327" s="96"/>
      <c r="AH327" s="96"/>
      <c r="AI327" s="96"/>
      <c r="AJ327" s="96"/>
      <c r="AK327" s="96"/>
      <c r="AL327" s="96"/>
      <c r="AM327" s="96"/>
      <c r="AN327" s="96"/>
      <c r="AO327" s="96"/>
      <c r="AP327" s="96"/>
      <c r="AQ327" s="96"/>
      <c r="AR327" s="96"/>
      <c r="AS327" s="96"/>
      <c r="AT327" s="96"/>
    </row>
    <row r="328" spans="2:46" ht="12" customHeight="1" x14ac:dyDescent="0.3"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  <c r="AG328" s="96"/>
      <c r="AH328" s="96"/>
      <c r="AI328" s="96"/>
      <c r="AJ328" s="96"/>
      <c r="AK328" s="96"/>
      <c r="AL328" s="96"/>
      <c r="AM328" s="96"/>
      <c r="AN328" s="96"/>
      <c r="AO328" s="96"/>
      <c r="AP328" s="96"/>
      <c r="AQ328" s="96"/>
      <c r="AR328" s="96"/>
      <c r="AS328" s="96"/>
      <c r="AT328" s="96"/>
    </row>
    <row r="329" spans="2:46" ht="12" customHeight="1" x14ac:dyDescent="0.3"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96"/>
      <c r="AK329" s="96"/>
      <c r="AL329" s="96"/>
      <c r="AM329" s="96"/>
      <c r="AN329" s="96"/>
      <c r="AO329" s="96"/>
      <c r="AP329" s="96"/>
      <c r="AQ329" s="96"/>
      <c r="AR329" s="96"/>
      <c r="AS329" s="96"/>
      <c r="AT329" s="96"/>
    </row>
    <row r="330" spans="2:46" ht="12" customHeight="1" x14ac:dyDescent="0.3"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  <c r="AG330" s="96"/>
      <c r="AH330" s="96"/>
      <c r="AI330" s="96"/>
      <c r="AJ330" s="96"/>
      <c r="AK330" s="96"/>
      <c r="AL330" s="96"/>
      <c r="AM330" s="96"/>
      <c r="AN330" s="96"/>
      <c r="AO330" s="96"/>
      <c r="AP330" s="96"/>
      <c r="AQ330" s="96"/>
      <c r="AR330" s="96"/>
      <c r="AS330" s="96"/>
      <c r="AT330" s="96"/>
    </row>
    <row r="331" spans="2:46" ht="12" customHeight="1" x14ac:dyDescent="0.3"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  <c r="AG331" s="96"/>
      <c r="AH331" s="96"/>
      <c r="AI331" s="96"/>
      <c r="AJ331" s="96"/>
      <c r="AK331" s="96"/>
      <c r="AL331" s="96"/>
      <c r="AM331" s="96"/>
      <c r="AN331" s="96"/>
      <c r="AO331" s="96"/>
      <c r="AP331" s="96"/>
      <c r="AQ331" s="96"/>
      <c r="AR331" s="96"/>
      <c r="AS331" s="96"/>
      <c r="AT331" s="96"/>
    </row>
    <row r="332" spans="2:46" ht="12" customHeight="1" x14ac:dyDescent="0.3"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  <c r="AG332" s="96"/>
      <c r="AH332" s="96"/>
      <c r="AI332" s="96"/>
      <c r="AJ332" s="96"/>
      <c r="AK332" s="96"/>
      <c r="AL332" s="96"/>
      <c r="AM332" s="96"/>
      <c r="AN332" s="96"/>
      <c r="AO332" s="96"/>
      <c r="AP332" s="96"/>
      <c r="AQ332" s="96"/>
      <c r="AR332" s="96"/>
      <c r="AS332" s="96"/>
      <c r="AT332" s="96"/>
    </row>
    <row r="333" spans="2:46" ht="12" customHeight="1" x14ac:dyDescent="0.3"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</row>
    <row r="334" spans="2:46" ht="12" customHeight="1" x14ac:dyDescent="0.3"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</row>
    <row r="335" spans="2:46" ht="12" customHeight="1" x14ac:dyDescent="0.3"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</row>
    <row r="336" spans="2:46" ht="12" customHeight="1" x14ac:dyDescent="0.3"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</row>
  </sheetData>
  <sheetProtection algorithmName="SHA-512" hashValue="faoHYYJRc41DwMmaQsm+13M+y6AorZKogpv/aFLcX6sMLNBdbASc25929KWCxeKCPJs4hJUNgW7iev5mShN65A==" saltValue="JFLMPJe85luNXgZGT1URAg==" spinCount="100000" sheet="1" selectLockedCells="1"/>
  <mergeCells count="15">
    <mergeCell ref="E48:H48"/>
    <mergeCell ref="E49:G49"/>
    <mergeCell ref="F10:I11"/>
    <mergeCell ref="E47:G47"/>
    <mergeCell ref="E46:G46"/>
    <mergeCell ref="E35:G35"/>
    <mergeCell ref="J6:M7"/>
    <mergeCell ref="J4:M5"/>
    <mergeCell ref="E19:G19"/>
    <mergeCell ref="E34:H34"/>
    <mergeCell ref="C4:E4"/>
    <mergeCell ref="E18:F18"/>
    <mergeCell ref="L27:M27"/>
    <mergeCell ref="F5:I5"/>
    <mergeCell ref="F4:G4"/>
  </mergeCells>
  <phoneticPr fontId="0" type="noConversion"/>
  <conditionalFormatting sqref="K57:K58">
    <cfRule type="expression" dxfId="44" priority="44" stopIfTrue="1">
      <formula>ISERROR($K$57)</formula>
    </cfRule>
  </conditionalFormatting>
  <conditionalFormatting sqref="K50">
    <cfRule type="expression" dxfId="43" priority="47" stopIfTrue="1">
      <formula>ISERROR($K$50)</formula>
    </cfRule>
  </conditionalFormatting>
  <conditionalFormatting sqref="K36">
    <cfRule type="expression" dxfId="42" priority="49" stopIfTrue="1">
      <formula>ISERROR($K$36)</formula>
    </cfRule>
  </conditionalFormatting>
  <conditionalFormatting sqref="J35">
    <cfRule type="expression" dxfId="41" priority="54" stopIfTrue="1">
      <formula>ISERROR($J$37)</formula>
    </cfRule>
  </conditionalFormatting>
  <conditionalFormatting sqref="K46 K48 K35">
    <cfRule type="containsErrors" dxfId="40" priority="5" stopIfTrue="1">
      <formula>ISERROR(K35)</formula>
    </cfRule>
    <cfRule type="cellIs" dxfId="39" priority="18" stopIfTrue="1" operator="equal">
      <formula>0</formula>
    </cfRule>
  </conditionalFormatting>
  <conditionalFormatting sqref="K47 K49 K53 K34 K18:K19 K26:K28">
    <cfRule type="cellIs" dxfId="38" priority="17" stopIfTrue="1" operator="equal">
      <formula>0</formula>
    </cfRule>
  </conditionalFormatting>
  <conditionalFormatting sqref="K19">
    <cfRule type="containsErrors" dxfId="37" priority="1" stopIfTrue="1">
      <formula>ISERROR(K19)</formula>
    </cfRule>
  </conditionalFormatting>
  <hyperlinks>
    <hyperlink ref="E34" location="GEOMETRY!F8" display="ROAD WIDTH (shoulder to shoulder)" xr:uid="{00000000-0004-0000-0000-000000000000}"/>
    <hyperlink ref="E35" location="GEOMETRY!K19" display="HORIZONTAL  ALIGNMENT" xr:uid="{00000000-0004-0000-0000-000001000000}"/>
    <hyperlink ref="E18" location="'TRAFFIC &amp; ACCIDENTS'!D10" display="TRAFFIC VOLUME" xr:uid="{00000000-0004-0000-0000-000002000000}"/>
    <hyperlink ref="E19" location="'TRAFFIC &amp; ACCIDENTS'!I10" display="TRAFFIC ACCIDENTS" xr:uid="{00000000-0004-0000-0000-000003000000}"/>
    <hyperlink ref="E26" location="STRUCTURE!F11" display="SURFACE" xr:uid="{00000000-0004-0000-0000-000004000000}"/>
    <hyperlink ref="E46" location="'ROADSIDE SAFETY'!C10" display="SIDESLOPES &amp; GUARDRAIL" xr:uid="{00000000-0004-0000-0000-000005000000}"/>
    <hyperlink ref="E47" location="'ROADSIDE SAFETY'!C19" display="CULVERT END TREATMENTS" xr:uid="{00000000-0004-0000-0000-000006000000}"/>
    <hyperlink ref="E48" location="'ROADSIDE SAFETY'!D24" display="REMOVE STRUCTURES &amp; OBSTRUCTIONS" xr:uid="{00000000-0004-0000-0000-000007000000}"/>
    <hyperlink ref="E49" location="'ROADSIDE SAFETY'!C35" display="RELOCATE UTILITY POLES" xr:uid="{00000000-0004-0000-0000-000008000000}"/>
    <hyperlink ref="E28" location="STRUCTURE!K11" display="F&amp;G" xr:uid="{00000000-0004-0000-0000-000009000000}"/>
    <hyperlink ref="E27" location="STRUCTURE!F12" display="SUBSURFACE" xr:uid="{00000000-0004-0000-0000-00000A000000}"/>
    <hyperlink ref="E35:G35" location="GEOMETRY!H18" display="HORIZONTAL  ALIGNMENT" xr:uid="{00000000-0004-0000-0000-00000B000000}"/>
    <hyperlink ref="E34:H34" location="GEOMETRY!F6" display="ROAD WIDTH (shoulder to shoulder)" xr:uid="{00000000-0004-0000-0000-00000C000000}"/>
  </hyperlinks>
  <pageMargins left="0.42" right="0.5" top="0.5" bottom="0.4" header="0.3" footer="0.25"/>
  <pageSetup orientation="portrait" r:id="rId1"/>
  <headerFooter alignWithMargins="0">
    <oddFooter xml:space="preserve">&amp;L&amp;8&amp;F&amp;C&amp;6
</oddFooter>
  </headerFooter>
  <rowBreaks count="1" manualBreakCount="1">
    <brk id="62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88"/>
  <sheetViews>
    <sheetView showGridLines="0" zoomScaleNormal="100" workbookViewId="0">
      <selection activeCell="D10" sqref="D10"/>
    </sheetView>
  </sheetViews>
  <sheetFormatPr defaultColWidth="9.1796875" defaultRowHeight="13" x14ac:dyDescent="0.3"/>
  <cols>
    <col min="1" max="1" width="2.54296875" style="204" customWidth="1"/>
    <col min="2" max="5" width="9.1796875" style="204"/>
    <col min="6" max="6" width="9.1796875" style="204" customWidth="1"/>
    <col min="7" max="8" width="9.1796875" style="204"/>
    <col min="9" max="9" width="9.1796875" style="204" customWidth="1"/>
    <col min="10" max="10" width="9.1796875" style="204"/>
    <col min="11" max="11" width="9.1796875" style="204" customWidth="1"/>
    <col min="12" max="16384" width="9.1796875" style="204"/>
  </cols>
  <sheetData>
    <row r="3" spans="2:11" ht="13.5" thickBot="1" x14ac:dyDescent="0.35"/>
    <row r="4" spans="2:11" ht="13.5" thickTop="1" x14ac:dyDescent="0.3">
      <c r="B4" s="191"/>
      <c r="C4" s="192"/>
      <c r="D4" s="192"/>
      <c r="E4" s="192"/>
      <c r="F4" s="192"/>
      <c r="G4" s="192"/>
      <c r="H4" s="192"/>
      <c r="I4" s="192"/>
      <c r="J4" s="192"/>
      <c r="K4" s="193"/>
    </row>
    <row r="5" spans="2:11" ht="12.75" customHeight="1" x14ac:dyDescent="0.3">
      <c r="B5" s="185"/>
      <c r="C5" s="203"/>
      <c r="D5" s="451" t="s">
        <v>68</v>
      </c>
      <c r="E5" s="451"/>
      <c r="F5" s="451"/>
      <c r="G5" s="451"/>
      <c r="H5" s="451"/>
      <c r="I5" s="54"/>
      <c r="J5" s="54"/>
      <c r="K5" s="186"/>
    </row>
    <row r="6" spans="2:11" ht="12.75" customHeight="1" x14ac:dyDescent="0.3">
      <c r="B6" s="185"/>
      <c r="C6" s="203"/>
      <c r="D6" s="451"/>
      <c r="E6" s="451"/>
      <c r="F6" s="451"/>
      <c r="G6" s="451"/>
      <c r="H6" s="451"/>
      <c r="I6" s="36"/>
      <c r="J6" s="36"/>
      <c r="K6" s="186"/>
    </row>
    <row r="7" spans="2:11" ht="12.75" customHeight="1" x14ac:dyDescent="0.3">
      <c r="B7" s="185"/>
      <c r="C7" s="184"/>
      <c r="D7" s="184"/>
      <c r="E7" s="455" t="s">
        <v>251</v>
      </c>
      <c r="F7" s="455"/>
      <c r="G7" s="455"/>
      <c r="H7" s="36"/>
      <c r="I7" s="456" t="s">
        <v>270</v>
      </c>
      <c r="J7" s="456"/>
      <c r="K7" s="423"/>
    </row>
    <row r="8" spans="2:11" x14ac:dyDescent="0.3">
      <c r="B8" s="185"/>
      <c r="C8" s="454" t="s">
        <v>183</v>
      </c>
      <c r="D8" s="454"/>
      <c r="E8" s="151"/>
      <c r="F8" s="36"/>
      <c r="G8" s="454" t="s">
        <v>55</v>
      </c>
      <c r="H8" s="454"/>
      <c r="I8" s="456"/>
      <c r="J8" s="456"/>
      <c r="K8" s="423"/>
    </row>
    <row r="9" spans="2:11" x14ac:dyDescent="0.3">
      <c r="B9" s="185"/>
      <c r="C9" s="36"/>
      <c r="D9" s="36"/>
      <c r="E9" s="152"/>
      <c r="F9" s="36"/>
      <c r="G9" s="36"/>
      <c r="H9" s="36"/>
      <c r="I9" s="149"/>
      <c r="J9" s="282"/>
      <c r="K9" s="186"/>
    </row>
    <row r="10" spans="2:11" x14ac:dyDescent="0.3">
      <c r="B10" s="185"/>
      <c r="C10" s="153" t="s">
        <v>6</v>
      </c>
      <c r="D10" s="140"/>
      <c r="E10" s="213"/>
      <c r="F10" s="36"/>
      <c r="G10" s="36"/>
      <c r="H10" s="153" t="s">
        <v>44</v>
      </c>
      <c r="I10" s="140"/>
      <c r="J10" s="36"/>
      <c r="K10" s="186"/>
    </row>
    <row r="11" spans="2:11" x14ac:dyDescent="0.3">
      <c r="B11" s="185"/>
      <c r="C11" s="153" t="s">
        <v>40</v>
      </c>
      <c r="D11" s="140"/>
      <c r="E11" s="54"/>
      <c r="F11" s="36"/>
      <c r="G11" s="36"/>
      <c r="H11" s="153" t="s">
        <v>58</v>
      </c>
      <c r="I11" s="140"/>
      <c r="J11" s="36"/>
      <c r="K11" s="186"/>
    </row>
    <row r="12" spans="2:11" x14ac:dyDescent="0.3">
      <c r="B12" s="185"/>
      <c r="C12" s="153" t="s">
        <v>69</v>
      </c>
      <c r="D12" s="33">
        <f>'2R RATING SUMMARY'!F6</f>
        <v>0</v>
      </c>
      <c r="E12" s="154" t="s">
        <v>54</v>
      </c>
      <c r="F12" s="36"/>
      <c r="G12" s="36"/>
      <c r="H12" s="153" t="s">
        <v>39</v>
      </c>
      <c r="I12" s="140"/>
      <c r="J12" s="36"/>
      <c r="K12" s="186"/>
    </row>
    <row r="13" spans="2:11" x14ac:dyDescent="0.3">
      <c r="B13" s="185"/>
      <c r="C13" s="36"/>
      <c r="D13" s="36"/>
      <c r="E13" s="36"/>
      <c r="F13" s="36"/>
      <c r="G13" s="36"/>
      <c r="H13" s="36"/>
      <c r="I13" s="36"/>
      <c r="J13" s="36"/>
      <c r="K13" s="186"/>
    </row>
    <row r="14" spans="2:11" ht="13.5" thickBot="1" x14ac:dyDescent="0.35">
      <c r="B14" s="185"/>
      <c r="C14" s="36"/>
      <c r="D14" s="36"/>
      <c r="E14" s="36"/>
      <c r="F14" s="36"/>
      <c r="G14" s="36"/>
      <c r="H14" s="36"/>
      <c r="I14" s="36"/>
      <c r="J14" s="36"/>
      <c r="K14" s="186"/>
    </row>
    <row r="15" spans="2:11" ht="13.5" thickBot="1" x14ac:dyDescent="0.35">
      <c r="B15" s="185"/>
      <c r="C15" s="159" t="s">
        <v>256</v>
      </c>
      <c r="D15" s="351" t="str">
        <f>I52</f>
        <v/>
      </c>
      <c r="E15" s="36"/>
      <c r="F15" s="36"/>
      <c r="G15" s="36"/>
      <c r="H15" s="159" t="s">
        <v>256</v>
      </c>
      <c r="I15" s="298" t="e">
        <f>J87</f>
        <v>#DIV/0!</v>
      </c>
      <c r="J15" s="36"/>
      <c r="K15" s="186"/>
    </row>
    <row r="16" spans="2:11" x14ac:dyDescent="0.3">
      <c r="B16" s="185"/>
      <c r="C16" s="36"/>
      <c r="D16" s="36"/>
      <c r="E16" s="36"/>
      <c r="F16" s="36"/>
      <c r="G16" s="36"/>
      <c r="H16" s="36"/>
      <c r="I16" s="36"/>
      <c r="J16" s="36"/>
      <c r="K16" s="186"/>
    </row>
    <row r="17" spans="2:11" ht="13.5" thickBot="1" x14ac:dyDescent="0.35">
      <c r="B17" s="194"/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ht="13.5" thickTop="1" x14ac:dyDescent="0.3"/>
    <row r="36" spans="2:14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290"/>
      <c r="M36" s="290"/>
      <c r="N36" s="291"/>
    </row>
    <row r="37" spans="2:14" x14ac:dyDescent="0.3">
      <c r="B37" s="453" t="s">
        <v>207</v>
      </c>
      <c r="C37" s="453"/>
      <c r="D37" s="453"/>
      <c r="E37" s="453"/>
      <c r="F37" s="45"/>
      <c r="G37" s="45"/>
      <c r="H37" s="45"/>
      <c r="I37" s="45"/>
      <c r="J37" s="45"/>
      <c r="K37" s="45"/>
      <c r="N37" s="291"/>
    </row>
    <row r="38" spans="2:14" x14ac:dyDescent="0.3">
      <c r="B38" s="453"/>
      <c r="C38" s="453"/>
      <c r="D38" s="453"/>
      <c r="E38" s="453"/>
      <c r="F38" s="45"/>
      <c r="G38" s="45"/>
      <c r="H38" s="214"/>
      <c r="I38" s="214"/>
      <c r="J38" s="214"/>
      <c r="K38" s="45"/>
      <c r="N38" s="291"/>
    </row>
    <row r="39" spans="2:14" x14ac:dyDescent="0.3">
      <c r="B39" s="45"/>
      <c r="C39" s="214"/>
      <c r="D39" s="214"/>
      <c r="E39" s="214"/>
      <c r="F39" s="214"/>
      <c r="G39" s="214"/>
      <c r="H39" s="214"/>
      <c r="I39" s="214"/>
      <c r="J39" s="45"/>
      <c r="K39" s="45"/>
      <c r="L39" s="293"/>
      <c r="M39" s="291"/>
      <c r="N39" s="291"/>
    </row>
    <row r="40" spans="2:14" x14ac:dyDescent="0.3">
      <c r="B40" s="45"/>
      <c r="C40" s="67"/>
      <c r="D40" s="68"/>
      <c r="E40" s="69" t="s">
        <v>225</v>
      </c>
      <c r="F40" s="296"/>
      <c r="G40" s="2"/>
      <c r="H40" s="70"/>
      <c r="I40" s="452" t="s">
        <v>5</v>
      </c>
      <c r="J40" s="452"/>
      <c r="K40" s="283"/>
      <c r="L40" s="293"/>
      <c r="M40" s="291"/>
      <c r="N40" s="291"/>
    </row>
    <row r="41" spans="2:14" x14ac:dyDescent="0.3">
      <c r="B41" s="45"/>
      <c r="C41" s="70"/>
      <c r="D41" s="98"/>
      <c r="E41" s="7"/>
      <c r="F41" s="7"/>
      <c r="G41" s="98"/>
      <c r="H41" s="70"/>
      <c r="I41" s="284"/>
      <c r="J41" s="284"/>
      <c r="K41" s="284"/>
      <c r="L41" s="293"/>
      <c r="M41" s="291"/>
      <c r="N41" s="291"/>
    </row>
    <row r="42" spans="2:14" ht="13.5" x14ac:dyDescent="0.35">
      <c r="B42" s="45"/>
      <c r="C42" s="104" t="s">
        <v>143</v>
      </c>
      <c r="D42" s="7"/>
      <c r="E42" s="99" t="s">
        <v>144</v>
      </c>
      <c r="F42" s="7"/>
      <c r="G42" s="101" t="s">
        <v>133</v>
      </c>
      <c r="H42" s="70"/>
      <c r="I42" s="283" t="s">
        <v>224</v>
      </c>
      <c r="J42" s="285"/>
      <c r="K42" s="283" t="s">
        <v>145</v>
      </c>
      <c r="L42" s="293"/>
      <c r="M42" s="291"/>
      <c r="N42" s="291"/>
    </row>
    <row r="43" spans="2:14" x14ac:dyDescent="0.3">
      <c r="B43" s="45"/>
      <c r="C43" s="71" t="s">
        <v>46</v>
      </c>
      <c r="D43" s="7"/>
      <c r="E43" s="100" t="s">
        <v>46</v>
      </c>
      <c r="F43" s="7"/>
      <c r="G43" s="100" t="s">
        <v>7</v>
      </c>
      <c r="H43" s="70"/>
      <c r="I43" s="286" t="s">
        <v>7</v>
      </c>
      <c r="J43" s="285"/>
      <c r="K43" s="286" t="s">
        <v>7</v>
      </c>
      <c r="L43" s="293"/>
      <c r="M43" s="291"/>
      <c r="N43" s="291"/>
    </row>
    <row r="44" spans="2:14" x14ac:dyDescent="0.3">
      <c r="B44" s="45"/>
      <c r="C44" s="72"/>
      <c r="D44" s="7"/>
      <c r="E44" s="98"/>
      <c r="F44" s="7"/>
      <c r="G44" s="101"/>
      <c r="H44" s="70"/>
      <c r="I44" s="287"/>
      <c r="J44" s="287"/>
      <c r="K44" s="283"/>
      <c r="L44" s="293"/>
      <c r="M44" s="291"/>
      <c r="N44" s="291"/>
    </row>
    <row r="45" spans="2:14" x14ac:dyDescent="0.3">
      <c r="B45" s="45"/>
      <c r="C45" s="72" t="s">
        <v>134</v>
      </c>
      <c r="D45" s="7"/>
      <c r="E45" s="101" t="s">
        <v>146</v>
      </c>
      <c r="F45" s="7"/>
      <c r="G45" s="101">
        <v>0</v>
      </c>
      <c r="H45" s="70"/>
      <c r="I45" s="288">
        <f>IF(D10&lt;50,0,I46)</f>
        <v>0</v>
      </c>
      <c r="J45" s="287" t="s">
        <v>132</v>
      </c>
      <c r="K45" s="283" t="str">
        <f>IF(AND(D11&lt;5,D11&lt;&gt;0),0,K46)</f>
        <v/>
      </c>
      <c r="L45" s="293"/>
      <c r="M45" s="291"/>
      <c r="N45" s="291"/>
    </row>
    <row r="46" spans="2:14" x14ac:dyDescent="0.3">
      <c r="B46" s="45"/>
      <c r="C46" s="72" t="s">
        <v>135</v>
      </c>
      <c r="D46" s="7"/>
      <c r="E46" s="102" t="s">
        <v>147</v>
      </c>
      <c r="F46" s="7"/>
      <c r="G46" s="101">
        <v>1</v>
      </c>
      <c r="H46" s="70"/>
      <c r="I46" s="289">
        <f>IF(D10&lt;101,1,I47)</f>
        <v>1</v>
      </c>
      <c r="J46" s="287"/>
      <c r="K46" s="283" t="str">
        <f>IF(AND(D11&lt;=10,D11&lt;&gt;0),1,K47)</f>
        <v/>
      </c>
      <c r="L46" s="293"/>
      <c r="M46" s="291"/>
      <c r="N46" s="291"/>
    </row>
    <row r="47" spans="2:14" x14ac:dyDescent="0.3">
      <c r="B47" s="45"/>
      <c r="C47" s="72" t="s">
        <v>136</v>
      </c>
      <c r="D47" s="7"/>
      <c r="E47" s="102" t="s">
        <v>273</v>
      </c>
      <c r="F47" s="7"/>
      <c r="G47" s="101">
        <v>2</v>
      </c>
      <c r="H47" s="70"/>
      <c r="I47" s="289">
        <f>IF(D10&lt;251,2,I48)</f>
        <v>2</v>
      </c>
      <c r="J47" s="287"/>
      <c r="K47" s="283" t="str">
        <f>IF(AND(D11&lt;=25,D11&lt;&gt;0),2,K48)</f>
        <v/>
      </c>
      <c r="L47" s="293"/>
      <c r="M47" s="291"/>
      <c r="N47" s="291"/>
    </row>
    <row r="48" spans="2:14" x14ac:dyDescent="0.3">
      <c r="B48" s="45"/>
      <c r="C48" s="72" t="s">
        <v>137</v>
      </c>
      <c r="D48" s="7"/>
      <c r="E48" s="101" t="s">
        <v>274</v>
      </c>
      <c r="F48" s="7"/>
      <c r="G48" s="101">
        <v>3</v>
      </c>
      <c r="H48" s="70"/>
      <c r="I48" s="289">
        <f>IF(D10&lt;501,3,I49)</f>
        <v>3</v>
      </c>
      <c r="J48" s="287"/>
      <c r="K48" s="283" t="str">
        <f>IF(AND(D11&lt;=50,D11&lt;&gt;0),3,K49)</f>
        <v/>
      </c>
      <c r="L48" s="293"/>
      <c r="M48" s="291"/>
      <c r="N48" s="291"/>
    </row>
    <row r="49" spans="2:14" x14ac:dyDescent="0.3">
      <c r="B49" s="45"/>
      <c r="C49" s="72" t="s">
        <v>138</v>
      </c>
      <c r="D49" s="7"/>
      <c r="E49" s="101" t="s">
        <v>275</v>
      </c>
      <c r="F49" s="7"/>
      <c r="G49" s="101">
        <v>4</v>
      </c>
      <c r="H49" s="70"/>
      <c r="I49" s="289">
        <f>IF(D10&lt;751,4,I50)</f>
        <v>4</v>
      </c>
      <c r="J49" s="287"/>
      <c r="K49" s="283" t="str">
        <f>IF(AND(D11&lt;=75,D11&lt;&gt;0),4,K50)</f>
        <v/>
      </c>
      <c r="L49" s="293"/>
      <c r="M49" s="291"/>
      <c r="N49" s="291"/>
    </row>
    <row r="50" spans="2:14" x14ac:dyDescent="0.3">
      <c r="B50" s="45"/>
      <c r="C50" s="73" t="s">
        <v>8</v>
      </c>
      <c r="D50" s="4"/>
      <c r="E50" s="74" t="s">
        <v>142</v>
      </c>
      <c r="F50" s="4"/>
      <c r="G50" s="74">
        <v>5</v>
      </c>
      <c r="H50" s="70"/>
      <c r="I50" s="289" t="str">
        <f>IF(D10&gt;750,5,"")</f>
        <v/>
      </c>
      <c r="J50" s="287"/>
      <c r="K50" s="283" t="str">
        <f>IF(AND(D11&gt;75,D11&lt;&gt;0),5,"")</f>
        <v/>
      </c>
      <c r="L50" s="293"/>
      <c r="M50" s="291"/>
      <c r="N50" s="291"/>
    </row>
    <row r="51" spans="2:14" ht="13.5" thickBot="1" x14ac:dyDescent="0.3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293"/>
      <c r="M51" s="291"/>
      <c r="N51" s="291"/>
    </row>
    <row r="52" spans="2:14" ht="13.5" thickBot="1" x14ac:dyDescent="0.35">
      <c r="B52" s="45"/>
      <c r="C52" s="45"/>
      <c r="D52" s="214"/>
      <c r="E52" s="214"/>
      <c r="F52" s="45"/>
      <c r="G52" s="45"/>
      <c r="H52" s="65" t="s">
        <v>113</v>
      </c>
      <c r="I52" s="103" t="str">
        <f>IF(D10&gt;D11*10,I45,K45)</f>
        <v/>
      </c>
      <c r="J52" s="45"/>
      <c r="K52" s="45"/>
      <c r="L52" s="293"/>
      <c r="M52" s="291"/>
      <c r="N52" s="291"/>
    </row>
    <row r="53" spans="2:14" x14ac:dyDescent="0.3">
      <c r="B53" s="1" t="s">
        <v>9</v>
      </c>
      <c r="C53" s="1"/>
      <c r="D53" s="1"/>
      <c r="E53" s="1"/>
      <c r="F53" s="1"/>
      <c r="G53" s="1"/>
      <c r="H53" s="1"/>
      <c r="I53" s="1"/>
      <c r="J53" s="1"/>
      <c r="K53" s="1"/>
      <c r="L53" s="291"/>
      <c r="M53" s="291"/>
      <c r="N53" s="291"/>
    </row>
    <row r="54" spans="2:14" x14ac:dyDescent="0.3">
      <c r="B54" s="56" t="s">
        <v>208</v>
      </c>
      <c r="C54" s="42"/>
      <c r="D54" s="42"/>
      <c r="E54" s="42"/>
      <c r="F54" s="45"/>
      <c r="G54" s="45"/>
      <c r="H54" s="45"/>
      <c r="I54" s="45"/>
      <c r="J54" s="45"/>
      <c r="K54" s="45"/>
      <c r="L54" s="293"/>
      <c r="M54" s="291"/>
      <c r="N54" s="291"/>
    </row>
    <row r="55" spans="2:14" x14ac:dyDescent="0.3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293"/>
      <c r="M55" s="291"/>
      <c r="N55" s="291"/>
    </row>
    <row r="56" spans="2:14" x14ac:dyDescent="0.3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293"/>
      <c r="M56" s="291"/>
      <c r="N56" s="291"/>
    </row>
    <row r="57" spans="2:14" x14ac:dyDescent="0.3">
      <c r="B57" s="45"/>
      <c r="C57" s="45"/>
      <c r="D57" s="45" t="s">
        <v>119</v>
      </c>
      <c r="E57" s="45"/>
      <c r="F57" s="45" t="s">
        <v>120</v>
      </c>
      <c r="G57" s="45"/>
      <c r="H57" s="45" t="s">
        <v>120</v>
      </c>
      <c r="I57" s="45"/>
      <c r="J57" s="45"/>
      <c r="K57" s="45"/>
      <c r="L57" s="293"/>
      <c r="M57" s="291"/>
      <c r="N57" s="291"/>
    </row>
    <row r="58" spans="2:14" x14ac:dyDescent="0.3">
      <c r="B58" s="58"/>
      <c r="C58" s="45"/>
      <c r="D58" s="45" t="s">
        <v>121</v>
      </c>
      <c r="E58" s="45"/>
      <c r="F58" s="42" t="s">
        <v>122</v>
      </c>
      <c r="G58" s="45"/>
      <c r="H58" s="42" t="s">
        <v>123</v>
      </c>
      <c r="I58" s="57"/>
      <c r="J58" s="45"/>
      <c r="K58" s="45"/>
      <c r="L58" s="293"/>
      <c r="M58" s="291"/>
      <c r="N58" s="291"/>
    </row>
    <row r="59" spans="2:14" x14ac:dyDescent="0.3">
      <c r="B59" s="45"/>
      <c r="C59" s="45"/>
      <c r="D59" s="42" t="s">
        <v>124</v>
      </c>
      <c r="E59" s="45"/>
      <c r="F59" s="45" t="s">
        <v>125</v>
      </c>
      <c r="G59" s="45"/>
      <c r="H59" s="45" t="s">
        <v>125</v>
      </c>
      <c r="I59" s="57"/>
      <c r="J59" s="45"/>
      <c r="K59" s="45"/>
      <c r="L59" s="293"/>
      <c r="M59" s="292"/>
      <c r="N59" s="291"/>
    </row>
    <row r="60" spans="2:14" x14ac:dyDescent="0.3">
      <c r="B60" s="45"/>
      <c r="C60" s="45"/>
      <c r="D60" s="45"/>
      <c r="E60" s="45"/>
      <c r="F60" s="45"/>
      <c r="G60" s="45"/>
      <c r="H60" s="45"/>
      <c r="I60" s="57"/>
      <c r="J60" s="45"/>
      <c r="K60" s="45"/>
      <c r="L60" s="293"/>
      <c r="M60" s="292"/>
      <c r="N60" s="291"/>
    </row>
    <row r="61" spans="2:14" x14ac:dyDescent="0.3">
      <c r="B61" s="59" t="s">
        <v>126</v>
      </c>
      <c r="C61" s="59"/>
      <c r="D61" s="350">
        <f>'TRAFFIC &amp; ACCIDENTS'!I10</f>
        <v>0</v>
      </c>
      <c r="E61" s="60"/>
      <c r="F61" s="350">
        <f>'TRAFFIC &amp; ACCIDENTS'!I11</f>
        <v>0</v>
      </c>
      <c r="G61" s="60"/>
      <c r="H61" s="350">
        <f>'TRAFFIC &amp; ACCIDENTS'!I12</f>
        <v>0</v>
      </c>
      <c r="I61" s="57"/>
      <c r="J61" s="45"/>
      <c r="K61" s="45"/>
      <c r="L61" s="293"/>
      <c r="M61" s="294"/>
      <c r="N61" s="291"/>
    </row>
    <row r="62" spans="2:14" x14ac:dyDescent="0.3">
      <c r="B62" s="59"/>
      <c r="C62" s="45"/>
      <c r="D62" s="45"/>
      <c r="E62" s="45"/>
      <c r="F62" s="45"/>
      <c r="G62" s="45"/>
      <c r="H62" s="45"/>
      <c r="I62" s="57"/>
      <c r="J62" s="45"/>
      <c r="K62" s="45"/>
      <c r="L62" s="293"/>
      <c r="M62" s="294"/>
      <c r="N62" s="291"/>
    </row>
    <row r="63" spans="2:14" x14ac:dyDescent="0.3">
      <c r="B63" s="59" t="s">
        <v>127</v>
      </c>
      <c r="C63" s="45"/>
      <c r="D63" s="59" t="s">
        <v>199</v>
      </c>
      <c r="E63" s="59"/>
      <c r="F63" s="59" t="s">
        <v>200</v>
      </c>
      <c r="G63" s="59"/>
      <c r="H63" s="59" t="s">
        <v>128</v>
      </c>
      <c r="I63" s="57"/>
      <c r="J63" s="45"/>
      <c r="K63" s="45"/>
      <c r="L63" s="293"/>
      <c r="M63" s="294"/>
      <c r="N63" s="291"/>
    </row>
    <row r="64" spans="2:14" x14ac:dyDescent="0.3">
      <c r="B64" s="59"/>
      <c r="C64" s="45"/>
      <c r="D64" s="45"/>
      <c r="E64" s="45"/>
      <c r="F64" s="45"/>
      <c r="G64" s="45"/>
      <c r="H64" s="45"/>
      <c r="I64" s="57"/>
      <c r="J64" s="45"/>
      <c r="K64" s="45"/>
      <c r="L64" s="293"/>
      <c r="M64" s="292"/>
      <c r="N64" s="291"/>
    </row>
    <row r="65" spans="2:14" x14ac:dyDescent="0.3">
      <c r="B65" s="59" t="s">
        <v>10</v>
      </c>
      <c r="C65" s="45"/>
      <c r="D65" s="61">
        <f>D61*1</f>
        <v>0</v>
      </c>
      <c r="E65" s="60" t="s">
        <v>11</v>
      </c>
      <c r="F65" s="61">
        <f>F61*6</f>
        <v>0</v>
      </c>
      <c r="G65" s="60" t="s">
        <v>11</v>
      </c>
      <c r="H65" s="61">
        <f>H61*25</f>
        <v>0</v>
      </c>
      <c r="I65" s="62" t="s">
        <v>10</v>
      </c>
      <c r="J65" s="63">
        <f>SUM(D65,F65,H65)</f>
        <v>0</v>
      </c>
      <c r="K65" s="45"/>
      <c r="L65" s="293"/>
      <c r="M65" s="292"/>
      <c r="N65" s="291"/>
    </row>
    <row r="66" spans="2:14" x14ac:dyDescent="0.3">
      <c r="B66" s="45"/>
      <c r="C66" s="45"/>
      <c r="D66" s="45"/>
      <c r="E66" s="45"/>
      <c r="F66" s="45"/>
      <c r="G66" s="45"/>
      <c r="H66" s="45"/>
      <c r="I66" s="45"/>
      <c r="J66" s="45" t="s">
        <v>129</v>
      </c>
      <c r="K66" s="45"/>
      <c r="L66" s="293"/>
      <c r="M66" s="292"/>
      <c r="N66" s="291"/>
    </row>
    <row r="67" spans="2:14" x14ac:dyDescent="0.3">
      <c r="B67" s="45" t="s">
        <v>253</v>
      </c>
      <c r="C67" s="45"/>
      <c r="D67" s="45"/>
      <c r="E67" s="45"/>
      <c r="F67" s="45"/>
      <c r="G67" s="45"/>
      <c r="H67" s="45"/>
      <c r="I67" s="45"/>
      <c r="J67" s="45"/>
      <c r="K67" s="45"/>
      <c r="L67" s="293"/>
      <c r="M67" s="291"/>
      <c r="N67" s="291"/>
    </row>
    <row r="68" spans="2:14" x14ac:dyDescent="0.3">
      <c r="B68" s="45"/>
      <c r="C68" s="45"/>
      <c r="D68" s="45"/>
      <c r="E68" s="45"/>
      <c r="F68" s="45"/>
      <c r="G68" s="45"/>
      <c r="H68" s="57"/>
      <c r="I68" s="45"/>
      <c r="J68" s="45"/>
      <c r="K68" s="45"/>
      <c r="L68" s="293"/>
      <c r="M68" s="291"/>
      <c r="N68" s="291"/>
    </row>
    <row r="69" spans="2:14" x14ac:dyDescent="0.3">
      <c r="B69" s="1"/>
      <c r="C69" s="64">
        <f>J65</f>
        <v>0</v>
      </c>
      <c r="D69" s="59"/>
      <c r="E69" s="295">
        <f>D10</f>
        <v>0</v>
      </c>
      <c r="F69" s="62" t="s">
        <v>10</v>
      </c>
      <c r="G69" s="430" t="e">
        <f>IF(E69="",0,C69/D10)</f>
        <v>#DIV/0!</v>
      </c>
      <c r="H69" s="450" t="s">
        <v>254</v>
      </c>
      <c r="I69" s="450"/>
      <c r="J69" s="450"/>
      <c r="K69" s="450"/>
      <c r="L69" s="292"/>
      <c r="M69" s="291"/>
      <c r="N69" s="291"/>
    </row>
    <row r="70" spans="2:14" x14ac:dyDescent="0.3">
      <c r="B70" s="1"/>
      <c r="C70" s="45" t="s">
        <v>130</v>
      </c>
      <c r="D70" s="45"/>
      <c r="E70" s="59" t="s">
        <v>6</v>
      </c>
      <c r="F70" s="57"/>
      <c r="G70" s="45" t="s">
        <v>131</v>
      </c>
      <c r="H70" s="450"/>
      <c r="I70" s="450"/>
      <c r="J70" s="450"/>
      <c r="K70" s="450"/>
      <c r="L70" s="292"/>
      <c r="M70" s="291"/>
      <c r="N70" s="291"/>
    </row>
    <row r="71" spans="2:14" x14ac:dyDescent="0.3">
      <c r="B71" s="45"/>
      <c r="C71" s="45"/>
      <c r="D71" s="45"/>
      <c r="E71" s="45"/>
      <c r="F71" s="45"/>
      <c r="G71" s="45" t="s">
        <v>198</v>
      </c>
      <c r="H71" s="45"/>
      <c r="I71" s="57"/>
      <c r="J71" s="66"/>
      <c r="K71" s="45"/>
      <c r="L71" s="292"/>
      <c r="M71" s="291"/>
      <c r="N71" s="291"/>
    </row>
    <row r="72" spans="2:14" x14ac:dyDescent="0.3"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292"/>
      <c r="M72" s="291"/>
      <c r="N72" s="291"/>
    </row>
    <row r="73" spans="2:14" ht="13.5" thickBot="1" x14ac:dyDescent="0.35"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292"/>
      <c r="M73" s="291"/>
      <c r="N73" s="291"/>
    </row>
    <row r="74" spans="2:14" x14ac:dyDescent="0.3">
      <c r="B74" s="299"/>
      <c r="C74" s="300"/>
      <c r="D74" s="448" t="s">
        <v>194</v>
      </c>
      <c r="E74" s="448"/>
      <c r="F74" s="448"/>
      <c r="G74" s="448"/>
      <c r="H74" s="448"/>
      <c r="I74" s="300"/>
      <c r="J74" s="301"/>
      <c r="K74" s="45"/>
      <c r="L74" s="292"/>
      <c r="M74" s="291"/>
      <c r="N74" s="291"/>
    </row>
    <row r="75" spans="2:14" x14ac:dyDescent="0.3">
      <c r="B75" s="302"/>
      <c r="C75" s="22"/>
      <c r="D75" s="449"/>
      <c r="E75" s="449"/>
      <c r="F75" s="449"/>
      <c r="G75" s="449"/>
      <c r="H75" s="449"/>
      <c r="I75" s="22"/>
      <c r="J75" s="303"/>
      <c r="K75" s="45"/>
      <c r="L75" s="292"/>
      <c r="M75" s="291"/>
      <c r="N75" s="291"/>
    </row>
    <row r="76" spans="2:14" x14ac:dyDescent="0.3">
      <c r="B76" s="302"/>
      <c r="C76" s="22"/>
      <c r="D76" s="22"/>
      <c r="E76" s="22"/>
      <c r="F76" s="22"/>
      <c r="G76" s="22"/>
      <c r="H76" s="22"/>
      <c r="I76" s="22"/>
      <c r="J76" s="303"/>
      <c r="K76" s="45"/>
      <c r="L76" s="292"/>
      <c r="M76" s="291"/>
      <c r="N76" s="291"/>
    </row>
    <row r="77" spans="2:14" x14ac:dyDescent="0.3">
      <c r="B77" s="302" t="s">
        <v>195</v>
      </c>
      <c r="C77" s="22"/>
      <c r="D77" s="6">
        <v>0.01</v>
      </c>
      <c r="E77" s="6">
        <v>0.02</v>
      </c>
      <c r="F77" s="6">
        <v>0.04</v>
      </c>
      <c r="G77" s="6">
        <v>0.06</v>
      </c>
      <c r="H77" s="6">
        <v>0.08</v>
      </c>
      <c r="I77" s="6">
        <v>0.1</v>
      </c>
      <c r="J77" s="303"/>
      <c r="K77" s="45"/>
      <c r="L77" s="292"/>
      <c r="M77" s="291"/>
      <c r="N77" s="291"/>
    </row>
    <row r="78" spans="2:14" x14ac:dyDescent="0.3">
      <c r="B78" s="302" t="s">
        <v>12</v>
      </c>
      <c r="C78" s="22"/>
      <c r="D78" s="22"/>
      <c r="E78" s="22"/>
      <c r="F78" s="22"/>
      <c r="G78" s="22"/>
      <c r="H78" s="22"/>
      <c r="I78" s="22"/>
      <c r="J78" s="303"/>
      <c r="K78" s="45"/>
      <c r="L78" s="292"/>
      <c r="M78" s="291"/>
      <c r="N78" s="291"/>
    </row>
    <row r="79" spans="2:14" x14ac:dyDescent="0.3">
      <c r="B79" s="302" t="s">
        <v>196</v>
      </c>
      <c r="C79" s="22"/>
      <c r="D79" s="6">
        <v>0</v>
      </c>
      <c r="E79" s="6">
        <v>1</v>
      </c>
      <c r="F79" s="6">
        <v>2</v>
      </c>
      <c r="G79" s="6">
        <v>3</v>
      </c>
      <c r="H79" s="6">
        <v>4</v>
      </c>
      <c r="I79" s="6">
        <v>5</v>
      </c>
      <c r="J79" s="303"/>
      <c r="K79" s="45"/>
      <c r="L79" s="292"/>
      <c r="M79" s="291"/>
      <c r="N79" s="291"/>
    </row>
    <row r="80" spans="2:14" ht="16.5" x14ac:dyDescent="0.35">
      <c r="B80" s="302" t="s">
        <v>12</v>
      </c>
      <c r="C80" s="22"/>
      <c r="D80" s="304"/>
      <c r="E80" s="304"/>
      <c r="F80" s="304"/>
      <c r="G80" s="304"/>
      <c r="H80" s="304"/>
      <c r="I80" s="304"/>
      <c r="J80" s="303"/>
      <c r="K80" s="45"/>
      <c r="L80" s="292"/>
      <c r="M80" s="291"/>
      <c r="N80" s="291"/>
    </row>
    <row r="81" spans="2:14" x14ac:dyDescent="0.3">
      <c r="B81" s="431" t="s">
        <v>197</v>
      </c>
      <c r="C81" s="432"/>
      <c r="D81" s="433">
        <v>0</v>
      </c>
      <c r="E81" s="433">
        <v>2</v>
      </c>
      <c r="F81" s="433">
        <v>4</v>
      </c>
      <c r="G81" s="433">
        <v>6</v>
      </c>
      <c r="H81" s="433">
        <v>8</v>
      </c>
      <c r="I81" s="433">
        <v>10</v>
      </c>
      <c r="J81" s="303"/>
      <c r="K81" s="45"/>
      <c r="L81" s="292"/>
      <c r="M81" s="291"/>
      <c r="N81" s="291"/>
    </row>
    <row r="82" spans="2:14" x14ac:dyDescent="0.3">
      <c r="B82" s="431"/>
      <c r="C82" s="432" t="s">
        <v>3</v>
      </c>
      <c r="D82" s="432"/>
      <c r="E82" s="432"/>
      <c r="F82" s="432"/>
      <c r="G82" s="432"/>
      <c r="H82" s="432"/>
      <c r="I82" s="432"/>
      <c r="J82" s="303"/>
      <c r="K82" s="45"/>
      <c r="L82" s="292"/>
      <c r="M82" s="291"/>
      <c r="N82" s="291"/>
    </row>
    <row r="83" spans="2:14" x14ac:dyDescent="0.3">
      <c r="B83" s="305"/>
      <c r="C83" s="22"/>
      <c r="D83" s="22"/>
      <c r="E83" s="22"/>
      <c r="F83" s="22"/>
      <c r="G83" s="22"/>
      <c r="H83" s="22"/>
      <c r="I83" s="22"/>
      <c r="J83" s="303"/>
      <c r="K83" s="45"/>
      <c r="L83" s="292"/>
      <c r="M83" s="291"/>
      <c r="N83" s="291"/>
    </row>
    <row r="84" spans="2:14" x14ac:dyDescent="0.3">
      <c r="B84" s="302"/>
      <c r="C84" s="22"/>
      <c r="D84" s="22"/>
      <c r="E84" s="22"/>
      <c r="F84" s="22"/>
      <c r="G84" s="22"/>
      <c r="H84" s="22"/>
      <c r="I84" s="22"/>
      <c r="J84" s="303"/>
      <c r="K84" s="45"/>
      <c r="L84" s="292"/>
      <c r="M84" s="291"/>
      <c r="N84" s="291"/>
    </row>
    <row r="85" spans="2:14" ht="13.5" thickBot="1" x14ac:dyDescent="0.35">
      <c r="B85" s="306"/>
      <c r="C85" s="307"/>
      <c r="D85" s="307"/>
      <c r="E85" s="307"/>
      <c r="F85" s="308"/>
      <c r="G85" s="309"/>
      <c r="H85" s="309"/>
      <c r="I85" s="309"/>
      <c r="J85" s="310"/>
      <c r="K85" s="1"/>
      <c r="L85" s="292"/>
      <c r="M85" s="291"/>
      <c r="N85" s="291"/>
    </row>
    <row r="86" spans="2:14" ht="13.5" thickBot="1" x14ac:dyDescent="0.35">
      <c r="B86" s="1"/>
      <c r="C86" s="1"/>
      <c r="D86" s="1"/>
      <c r="E86" s="1"/>
      <c r="F86" s="1"/>
      <c r="G86" s="1"/>
      <c r="H86" s="1"/>
      <c r="I86" s="3"/>
      <c r="J86" s="1"/>
      <c r="K86" s="1"/>
      <c r="L86" s="292"/>
      <c r="M86" s="291"/>
      <c r="N86" s="291"/>
    </row>
    <row r="87" spans="2:14" ht="13.5" thickBot="1" x14ac:dyDescent="0.35">
      <c r="B87" s="1"/>
      <c r="C87" s="1"/>
      <c r="D87" s="1"/>
      <c r="E87" s="1"/>
      <c r="F87" s="1"/>
      <c r="G87" s="22"/>
      <c r="H87" s="22"/>
      <c r="I87" s="43" t="s">
        <v>255</v>
      </c>
      <c r="J87" s="298" t="e">
        <f>IF(G69*50&gt;5,5,G69*50)</f>
        <v>#DIV/0!</v>
      </c>
      <c r="K87" s="1"/>
      <c r="L87" s="292"/>
      <c r="M87" s="291"/>
      <c r="N87" s="291"/>
    </row>
    <row r="88" spans="2:14" x14ac:dyDescent="0.3">
      <c r="B88" s="214"/>
      <c r="C88" s="214"/>
      <c r="D88" s="214"/>
      <c r="E88" s="214"/>
      <c r="F88" s="214"/>
      <c r="G88" s="214"/>
      <c r="H88" s="214"/>
      <c r="I88" s="214"/>
      <c r="J88" s="214"/>
      <c r="K88" s="214"/>
    </row>
  </sheetData>
  <sheetProtection algorithmName="SHA-512" hashValue="7biCoTy8UnhXoOalP8bVdf0p1+C3l0v8xnzraRXEI7i2FiUdza5CnC6nh4A+WZf7jUcfj+fZJOZQOieHhkv7uw==" saltValue="Ts0wkJruJ3r+081QXX10nQ==" spinCount="100000" sheet="1" selectLockedCells="1"/>
  <mergeCells count="9">
    <mergeCell ref="D74:H75"/>
    <mergeCell ref="H69:K70"/>
    <mergeCell ref="D5:H6"/>
    <mergeCell ref="I40:J40"/>
    <mergeCell ref="B37:E38"/>
    <mergeCell ref="C8:D8"/>
    <mergeCell ref="E7:G7"/>
    <mergeCell ref="G8:H8"/>
    <mergeCell ref="I7:J8"/>
  </mergeCells>
  <conditionalFormatting sqref="I15">
    <cfRule type="containsErrors" dxfId="36" priority="4" stopIfTrue="1">
      <formula>ISERROR(I15)</formula>
    </cfRule>
  </conditionalFormatting>
  <conditionalFormatting sqref="G69">
    <cfRule type="containsErrors" dxfId="35" priority="2" stopIfTrue="1">
      <formula>ISERROR(G69)</formula>
    </cfRule>
  </conditionalFormatting>
  <conditionalFormatting sqref="J87">
    <cfRule type="containsErrors" dxfId="34" priority="1" stopIfTrue="1">
      <formula>ISERROR(J87)</formula>
    </cfRule>
  </conditionalFormatting>
  <pageMargins left="0.7" right="0.7" top="0.75" bottom="0.75" header="0.3" footer="0.3"/>
  <pageSetup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22529" r:id="rId4">
          <objectPr defaultSize="0" autoLine="0" dde="1" r:id="rId5">
            <anchor moveWithCells="1">
              <from>
                <xdr:col>3</xdr:col>
                <xdr:colOff>304800</xdr:colOff>
                <xdr:row>68</xdr:row>
                <xdr:rowOff>31750</xdr:rowOff>
              </from>
              <to>
                <xdr:col>3</xdr:col>
                <xdr:colOff>431800</xdr:colOff>
                <xdr:row>68</xdr:row>
                <xdr:rowOff>152400</xdr:rowOff>
              </to>
            </anchor>
          </objectPr>
        </oleObject>
      </mc:Choice>
      <mc:Fallback>
        <oleObject progId="Equation.3" shapeId="2252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N90"/>
  <sheetViews>
    <sheetView showGridLines="0" workbookViewId="0">
      <selection activeCell="K14" sqref="K14"/>
    </sheetView>
  </sheetViews>
  <sheetFormatPr defaultColWidth="9.1796875" defaultRowHeight="13" x14ac:dyDescent="0.3"/>
  <cols>
    <col min="1" max="1" width="2.453125" style="204" customWidth="1"/>
    <col min="2" max="14" width="6.54296875" style="204" customWidth="1"/>
    <col min="15" max="16384" width="9.1796875" style="204"/>
  </cols>
  <sheetData>
    <row r="3" spans="2:14" ht="13.5" thickBot="1" x14ac:dyDescent="0.35"/>
    <row r="4" spans="2:14" ht="15.75" customHeight="1" x14ac:dyDescent="0.3">
      <c r="B4" s="145"/>
      <c r="C4" s="211"/>
      <c r="D4" s="210"/>
      <c r="E4" s="457" t="s">
        <v>209</v>
      </c>
      <c r="F4" s="457"/>
      <c r="G4" s="457"/>
      <c r="H4" s="457"/>
      <c r="I4" s="457"/>
      <c r="J4" s="457"/>
      <c r="K4" s="457"/>
      <c r="L4" s="146"/>
      <c r="M4" s="146"/>
      <c r="N4" s="147"/>
    </row>
    <row r="5" spans="2:14" ht="15.75" customHeight="1" x14ac:dyDescent="0.3">
      <c r="B5" s="148"/>
      <c r="C5" s="203"/>
      <c r="D5" s="203"/>
      <c r="E5" s="458"/>
      <c r="F5" s="458"/>
      <c r="G5" s="458"/>
      <c r="H5" s="458"/>
      <c r="I5" s="458"/>
      <c r="J5" s="458"/>
      <c r="K5" s="458"/>
      <c r="L5" s="106"/>
      <c r="M5" s="36"/>
      <c r="N5" s="155"/>
    </row>
    <row r="6" spans="2:14" x14ac:dyDescent="0.3">
      <c r="B6" s="148"/>
      <c r="C6" s="106"/>
      <c r="D6" s="54"/>
      <c r="E6" s="54"/>
      <c r="F6" s="54"/>
      <c r="G6" s="54"/>
      <c r="H6" s="15"/>
      <c r="I6" s="54"/>
      <c r="J6" s="54"/>
      <c r="K6" s="36"/>
      <c r="L6" s="38"/>
      <c r="M6" s="36"/>
      <c r="N6" s="155"/>
    </row>
    <row r="7" spans="2:14" x14ac:dyDescent="0.3">
      <c r="B7" s="148"/>
      <c r="C7" s="31"/>
      <c r="D7" s="461" t="s">
        <v>141</v>
      </c>
      <c r="E7" s="461"/>
      <c r="F7" s="461"/>
      <c r="G7" s="461"/>
      <c r="H7" s="274"/>
      <c r="I7" s="274"/>
      <c r="J7" s="250" t="s">
        <v>140</v>
      </c>
      <c r="K7" s="251"/>
      <c r="L7" s="251"/>
      <c r="M7" s="275"/>
      <c r="N7" s="155"/>
    </row>
    <row r="8" spans="2:14" x14ac:dyDescent="0.3">
      <c r="B8" s="148"/>
      <c r="C8" s="214"/>
      <c r="D8" s="466" t="s">
        <v>250</v>
      </c>
      <c r="E8" s="466"/>
      <c r="F8" s="466"/>
      <c r="G8" s="466"/>
      <c r="H8" s="31"/>
      <c r="I8" s="31"/>
      <c r="J8" s="156"/>
      <c r="K8" s="105"/>
      <c r="L8" s="54"/>
      <c r="M8" s="36"/>
      <c r="N8" s="155"/>
    </row>
    <row r="9" spans="2:14" ht="12.75" customHeight="1" x14ac:dyDescent="0.3">
      <c r="B9" s="148"/>
      <c r="C9" s="212"/>
      <c r="D9" s="214"/>
      <c r="E9" s="212"/>
      <c r="F9" s="31"/>
      <c r="G9" s="31"/>
      <c r="H9" s="36"/>
      <c r="I9" s="36"/>
      <c r="J9" s="467" t="s">
        <v>48</v>
      </c>
      <c r="K9" s="467"/>
      <c r="L9" s="54"/>
      <c r="M9" s="36"/>
      <c r="N9" s="155"/>
    </row>
    <row r="10" spans="2:14" x14ac:dyDescent="0.3">
      <c r="B10" s="148"/>
      <c r="C10" s="157"/>
      <c r="D10" s="214"/>
      <c r="E10" s="105"/>
      <c r="F10" s="105"/>
      <c r="G10" s="31"/>
      <c r="H10" s="15"/>
      <c r="I10" s="105"/>
      <c r="J10" s="215" t="s">
        <v>47</v>
      </c>
      <c r="K10" s="267"/>
      <c r="L10" s="158" t="s">
        <v>26</v>
      </c>
      <c r="M10" s="36"/>
      <c r="N10" s="155"/>
    </row>
    <row r="11" spans="2:14" ht="12.75" customHeight="1" x14ac:dyDescent="0.3">
      <c r="B11" s="277"/>
      <c r="C11" s="54"/>
      <c r="D11" s="36"/>
      <c r="E11" s="237" t="s">
        <v>139</v>
      </c>
      <c r="F11" s="140"/>
      <c r="G11" s="468" t="s">
        <v>236</v>
      </c>
      <c r="H11" s="469"/>
      <c r="I11" s="469"/>
      <c r="J11" s="167" t="s">
        <v>49</v>
      </c>
      <c r="K11" s="424"/>
      <c r="L11" s="30" t="str">
        <f>IF(K11&lt;&gt;0,4,"")</f>
        <v/>
      </c>
      <c r="M11" s="276" t="str">
        <f>IF(K11&lt;&gt;"",1,"")</f>
        <v/>
      </c>
      <c r="N11" s="155"/>
    </row>
    <row r="12" spans="2:14" x14ac:dyDescent="0.3">
      <c r="B12" s="277"/>
      <c r="C12" s="54"/>
      <c r="D12" s="459" t="s">
        <v>222</v>
      </c>
      <c r="E12" s="460"/>
      <c r="F12" s="140"/>
      <c r="G12" s="468"/>
      <c r="H12" s="469"/>
      <c r="I12" s="469"/>
      <c r="J12" s="167" t="s">
        <v>50</v>
      </c>
      <c r="K12" s="424"/>
      <c r="L12" s="30" t="str">
        <f>IF(K12&lt;&gt;0,6,"")</f>
        <v/>
      </c>
      <c r="M12" s="276" t="str">
        <f>IF(K12&lt;&gt;"",1,"")</f>
        <v/>
      </c>
      <c r="N12" s="155"/>
    </row>
    <row r="13" spans="2:14" x14ac:dyDescent="0.3">
      <c r="B13" s="277"/>
      <c r="C13" s="54"/>
      <c r="D13" s="460"/>
      <c r="E13" s="460"/>
      <c r="F13" s="31"/>
      <c r="G13" s="31"/>
      <c r="H13" s="54"/>
      <c r="I13" s="54"/>
      <c r="J13" s="167" t="s">
        <v>51</v>
      </c>
      <c r="K13" s="424"/>
      <c r="L13" s="30" t="str">
        <f>IF(K13&lt;&gt;0,8,"")</f>
        <v/>
      </c>
      <c r="M13" s="276" t="str">
        <f>IF(K13&lt;&gt;"",1,"")</f>
        <v/>
      </c>
      <c r="N13" s="155"/>
    </row>
    <row r="14" spans="2:14" x14ac:dyDescent="0.3">
      <c r="B14" s="277"/>
      <c r="C14" s="54"/>
      <c r="D14" s="36"/>
      <c r="E14" s="31"/>
      <c r="F14" s="30" t="str">
        <f>IF(SUM(F11,F12)&gt;40,"No Greater than 20 pts each","")</f>
        <v/>
      </c>
      <c r="G14" s="31"/>
      <c r="H14" s="31"/>
      <c r="I14" s="30" t="str">
        <f>IF(SUM(I12,I11)&gt;50,"No Greater than 50","")</f>
        <v/>
      </c>
      <c r="J14" s="167" t="s">
        <v>75</v>
      </c>
      <c r="K14" s="142"/>
      <c r="L14" s="30" t="str">
        <f>IF(K14&lt;&gt;0,10,"")</f>
        <v/>
      </c>
      <c r="M14" s="276" t="str">
        <f>IF(K14&lt;&gt;"",1,"")</f>
        <v/>
      </c>
      <c r="N14" s="155"/>
    </row>
    <row r="15" spans="2:14" x14ac:dyDescent="0.3">
      <c r="B15" s="148"/>
      <c r="C15" s="75"/>
      <c r="D15" s="76"/>
      <c r="E15" s="16"/>
      <c r="F15" s="16"/>
      <c r="G15" s="16"/>
      <c r="H15" s="77"/>
      <c r="I15" s="77"/>
      <c r="J15" s="54"/>
      <c r="K15" s="54"/>
      <c r="L15" s="160">
        <f>IF(COUNT(M11:M14)&gt;1,0,SUM(L11:L14))</f>
        <v>0</v>
      </c>
      <c r="M15" s="36"/>
      <c r="N15" s="155"/>
    </row>
    <row r="16" spans="2:14" ht="13.5" thickBot="1" x14ac:dyDescent="0.35">
      <c r="B16" s="148"/>
      <c r="C16" s="75"/>
      <c r="D16" s="76"/>
      <c r="E16" s="16"/>
      <c r="F16" s="16"/>
      <c r="G16" s="16"/>
      <c r="H16" s="77"/>
      <c r="I16" s="77"/>
      <c r="J16" s="54"/>
      <c r="K16" s="54"/>
      <c r="L16" s="76"/>
      <c r="M16" s="36"/>
      <c r="N16" s="155"/>
    </row>
    <row r="17" spans="2:14" ht="13.5" thickBot="1" x14ac:dyDescent="0.35">
      <c r="B17" s="148"/>
      <c r="C17" s="75"/>
      <c r="D17" s="76"/>
      <c r="E17" s="16"/>
      <c r="F17" s="312"/>
      <c r="G17" s="312"/>
      <c r="H17" s="312"/>
      <c r="I17" s="312"/>
      <c r="J17" s="313" t="s">
        <v>217</v>
      </c>
      <c r="K17" s="311">
        <f>SUM(F11,F12,L15)</f>
        <v>0</v>
      </c>
      <c r="L17" s="76"/>
      <c r="M17" s="36"/>
      <c r="N17" s="155"/>
    </row>
    <row r="18" spans="2:14" x14ac:dyDescent="0.3">
      <c r="B18" s="148"/>
      <c r="C18" s="75"/>
      <c r="D18" s="76"/>
      <c r="E18" s="16"/>
      <c r="F18" s="312"/>
      <c r="G18" s="314" t="s">
        <v>237</v>
      </c>
      <c r="H18" s="214"/>
      <c r="I18" s="314"/>
      <c r="J18" s="315"/>
      <c r="K18" s="133"/>
      <c r="L18" s="76"/>
      <c r="M18" s="36"/>
      <c r="N18" s="155"/>
    </row>
    <row r="19" spans="2:14" ht="13.5" thickBot="1" x14ac:dyDescent="0.35">
      <c r="B19" s="161"/>
      <c r="C19" s="78"/>
      <c r="D19" s="79"/>
      <c r="E19" s="52"/>
      <c r="F19" s="52"/>
      <c r="G19" s="52"/>
      <c r="H19" s="80"/>
      <c r="I19" s="81"/>
      <c r="J19" s="81"/>
      <c r="K19" s="81"/>
      <c r="L19" s="81"/>
      <c r="M19" s="81"/>
      <c r="N19" s="162"/>
    </row>
    <row r="45" spans="2:14" x14ac:dyDescent="0.3">
      <c r="D45" s="205"/>
      <c r="G45" s="206"/>
    </row>
    <row r="46" spans="2:14" x14ac:dyDescent="0.3">
      <c r="B46" s="316"/>
      <c r="C46" s="317"/>
      <c r="D46" s="2"/>
      <c r="E46" s="2"/>
      <c r="F46" s="2"/>
      <c r="G46" s="2"/>
      <c r="H46" s="2"/>
      <c r="I46" s="5"/>
      <c r="J46" s="2"/>
      <c r="K46" s="2"/>
      <c r="L46" s="2"/>
      <c r="M46" s="2"/>
      <c r="N46" s="318"/>
    </row>
    <row r="47" spans="2:14" x14ac:dyDescent="0.3">
      <c r="B47" s="319"/>
      <c r="C47" s="320" t="s">
        <v>234</v>
      </c>
      <c r="D47" s="321"/>
      <c r="E47" s="321"/>
      <c r="F47" s="321"/>
      <c r="G47" s="321"/>
      <c r="H47" s="7"/>
      <c r="I47" s="7"/>
      <c r="J47" s="470" t="s">
        <v>271</v>
      </c>
      <c r="K47" s="470"/>
      <c r="L47" s="470"/>
      <c r="M47" s="470"/>
      <c r="N47" s="322"/>
    </row>
    <row r="48" spans="2:14" x14ac:dyDescent="0.3">
      <c r="B48" s="319"/>
      <c r="C48" s="22"/>
      <c r="D48" s="7" t="s">
        <v>238</v>
      </c>
      <c r="E48" s="7"/>
      <c r="F48" s="7"/>
      <c r="G48" s="7"/>
      <c r="H48" s="7"/>
      <c r="I48" s="7"/>
      <c r="J48" s="470"/>
      <c r="K48" s="470"/>
      <c r="L48" s="470"/>
      <c r="M48" s="470"/>
      <c r="N48" s="322"/>
    </row>
    <row r="49" spans="2:14" x14ac:dyDescent="0.3">
      <c r="B49" s="319"/>
      <c r="C49" s="22"/>
      <c r="D49" s="7"/>
      <c r="E49" s="7"/>
      <c r="F49" s="7"/>
      <c r="G49" s="7"/>
      <c r="H49" s="7"/>
      <c r="I49" s="7"/>
      <c r="J49" s="470"/>
      <c r="K49" s="470"/>
      <c r="L49" s="470"/>
      <c r="M49" s="470"/>
      <c r="N49" s="322"/>
    </row>
    <row r="50" spans="2:14" ht="13.5" x14ac:dyDescent="0.35">
      <c r="B50" s="462" t="s">
        <v>13</v>
      </c>
      <c r="C50" s="463"/>
      <c r="D50" s="323">
        <v>0</v>
      </c>
      <c r="E50" s="7" t="s">
        <v>14</v>
      </c>
      <c r="F50" s="7"/>
      <c r="G50" s="7"/>
      <c r="H50" s="7"/>
      <c r="I50" s="7"/>
      <c r="J50" s="324"/>
      <c r="K50" s="54"/>
      <c r="L50" s="54"/>
      <c r="M50" s="54"/>
      <c r="N50" s="322"/>
    </row>
    <row r="51" spans="2:14" x14ac:dyDescent="0.3">
      <c r="B51" s="325"/>
      <c r="C51" s="326"/>
      <c r="D51" s="323"/>
      <c r="E51" s="7" t="s">
        <v>15</v>
      </c>
      <c r="F51" s="7"/>
      <c r="G51" s="7"/>
      <c r="H51" s="7"/>
      <c r="I51" s="7"/>
      <c r="J51" s="324"/>
      <c r="K51" s="54"/>
      <c r="L51" s="54"/>
      <c r="M51" s="54"/>
      <c r="N51" s="322"/>
    </row>
    <row r="52" spans="2:14" x14ac:dyDescent="0.3">
      <c r="B52" s="325"/>
      <c r="C52" s="23"/>
      <c r="D52" s="323"/>
      <c r="E52" s="109"/>
      <c r="F52" s="7"/>
      <c r="G52" s="7"/>
      <c r="H52" s="7"/>
      <c r="I52" s="7"/>
      <c r="J52" s="7"/>
      <c r="K52" s="54"/>
      <c r="L52" s="54"/>
      <c r="M52" s="54"/>
      <c r="N52" s="322"/>
    </row>
    <row r="53" spans="2:14" x14ac:dyDescent="0.3">
      <c r="B53" s="464" t="s">
        <v>16</v>
      </c>
      <c r="C53" s="465"/>
      <c r="D53" s="323">
        <v>4</v>
      </c>
      <c r="E53" s="7" t="s">
        <v>17</v>
      </c>
      <c r="F53" s="7"/>
      <c r="G53" s="7"/>
      <c r="H53" s="7"/>
      <c r="I53" s="7"/>
      <c r="J53" s="324"/>
      <c r="K53" s="54"/>
      <c r="L53" s="54"/>
      <c r="M53" s="54"/>
      <c r="N53" s="322"/>
    </row>
    <row r="54" spans="2:14" x14ac:dyDescent="0.3">
      <c r="B54" s="325"/>
      <c r="C54" s="326"/>
      <c r="D54" s="323"/>
      <c r="E54" s="109"/>
      <c r="F54" s="109"/>
      <c r="G54" s="109"/>
      <c r="H54" s="7"/>
      <c r="I54" s="7"/>
      <c r="J54" s="324"/>
      <c r="K54" s="54"/>
      <c r="L54" s="54"/>
      <c r="M54" s="54"/>
      <c r="N54" s="322"/>
    </row>
    <row r="55" spans="2:14" x14ac:dyDescent="0.3">
      <c r="B55" s="325"/>
      <c r="C55" s="23"/>
      <c r="D55" s="323"/>
      <c r="E55" s="109"/>
      <c r="F55" s="7"/>
      <c r="G55" s="7"/>
      <c r="H55" s="7"/>
      <c r="I55" s="7"/>
      <c r="J55" s="7"/>
      <c r="K55" s="54"/>
      <c r="L55" s="54"/>
      <c r="M55" s="54"/>
      <c r="N55" s="322"/>
    </row>
    <row r="56" spans="2:14" x14ac:dyDescent="0.3">
      <c r="B56" s="464" t="s">
        <v>18</v>
      </c>
      <c r="C56" s="465"/>
      <c r="D56" s="323">
        <v>8</v>
      </c>
      <c r="E56" s="471" t="s">
        <v>226</v>
      </c>
      <c r="F56" s="471"/>
      <c r="G56" s="471"/>
      <c r="H56" s="471"/>
      <c r="I56" s="471"/>
      <c r="J56" s="471"/>
      <c r="K56" s="471"/>
      <c r="L56" s="471"/>
      <c r="M56" s="471"/>
      <c r="N56" s="472"/>
    </row>
    <row r="57" spans="2:14" x14ac:dyDescent="0.3">
      <c r="B57" s="325"/>
      <c r="C57" s="326"/>
      <c r="D57" s="323"/>
      <c r="E57" s="471"/>
      <c r="F57" s="471"/>
      <c r="G57" s="471"/>
      <c r="H57" s="471"/>
      <c r="I57" s="471"/>
      <c r="J57" s="471"/>
      <c r="K57" s="471"/>
      <c r="L57" s="471"/>
      <c r="M57" s="471"/>
      <c r="N57" s="472"/>
    </row>
    <row r="58" spans="2:14" x14ac:dyDescent="0.3">
      <c r="B58" s="325"/>
      <c r="C58" s="326"/>
      <c r="D58" s="323"/>
      <c r="E58" s="471"/>
      <c r="F58" s="471"/>
      <c r="G58" s="471"/>
      <c r="H58" s="471"/>
      <c r="I58" s="471"/>
      <c r="J58" s="471"/>
      <c r="K58" s="471"/>
      <c r="L58" s="471"/>
      <c r="M58" s="471"/>
      <c r="N58" s="472"/>
    </row>
    <row r="59" spans="2:14" x14ac:dyDescent="0.3">
      <c r="B59" s="464" t="s">
        <v>19</v>
      </c>
      <c r="C59" s="465"/>
      <c r="D59" s="323">
        <v>12</v>
      </c>
      <c r="E59" s="471" t="s">
        <v>227</v>
      </c>
      <c r="F59" s="471"/>
      <c r="G59" s="471"/>
      <c r="H59" s="471"/>
      <c r="I59" s="471"/>
      <c r="J59" s="471"/>
      <c r="K59" s="471"/>
      <c r="L59" s="471"/>
      <c r="M59" s="471"/>
      <c r="N59" s="472"/>
    </row>
    <row r="60" spans="2:14" x14ac:dyDescent="0.3">
      <c r="B60" s="325"/>
      <c r="C60" s="326"/>
      <c r="D60" s="323"/>
      <c r="E60" s="471"/>
      <c r="F60" s="471"/>
      <c r="G60" s="471"/>
      <c r="H60" s="471"/>
      <c r="I60" s="471"/>
      <c r="J60" s="471"/>
      <c r="K60" s="471"/>
      <c r="L60" s="471"/>
      <c r="M60" s="471"/>
      <c r="N60" s="472"/>
    </row>
    <row r="61" spans="2:14" x14ac:dyDescent="0.3">
      <c r="B61" s="325"/>
      <c r="C61" s="326"/>
      <c r="D61" s="323"/>
      <c r="E61" s="471"/>
      <c r="F61" s="471"/>
      <c r="G61" s="471"/>
      <c r="H61" s="471"/>
      <c r="I61" s="471"/>
      <c r="J61" s="471"/>
      <c r="K61" s="471"/>
      <c r="L61" s="471"/>
      <c r="M61" s="471"/>
      <c r="N61" s="472"/>
    </row>
    <row r="62" spans="2:14" x14ac:dyDescent="0.3">
      <c r="B62" s="464" t="s">
        <v>20</v>
      </c>
      <c r="C62" s="465"/>
      <c r="D62" s="323">
        <v>16</v>
      </c>
      <c r="E62" s="471" t="s">
        <v>228</v>
      </c>
      <c r="F62" s="471"/>
      <c r="G62" s="471"/>
      <c r="H62" s="471"/>
      <c r="I62" s="471"/>
      <c r="J62" s="471"/>
      <c r="K62" s="471"/>
      <c r="L62" s="471"/>
      <c r="M62" s="471"/>
      <c r="N62" s="472"/>
    </row>
    <row r="63" spans="2:14" x14ac:dyDescent="0.3">
      <c r="B63" s="325"/>
      <c r="C63" s="326"/>
      <c r="D63" s="323"/>
      <c r="E63" s="471"/>
      <c r="F63" s="471"/>
      <c r="G63" s="471"/>
      <c r="H63" s="471"/>
      <c r="I63" s="471"/>
      <c r="J63" s="471"/>
      <c r="K63" s="471"/>
      <c r="L63" s="471"/>
      <c r="M63" s="471"/>
      <c r="N63" s="472"/>
    </row>
    <row r="64" spans="2:14" x14ac:dyDescent="0.3">
      <c r="B64" s="325"/>
      <c r="C64" s="326"/>
      <c r="D64" s="323"/>
      <c r="E64" s="471"/>
      <c r="F64" s="471"/>
      <c r="G64" s="471"/>
      <c r="H64" s="471"/>
      <c r="I64" s="471"/>
      <c r="J64" s="471"/>
      <c r="K64" s="471"/>
      <c r="L64" s="471"/>
      <c r="M64" s="471"/>
      <c r="N64" s="472"/>
    </row>
    <row r="65" spans="2:14" x14ac:dyDescent="0.3">
      <c r="B65" s="464" t="s">
        <v>21</v>
      </c>
      <c r="C65" s="465"/>
      <c r="D65" s="323">
        <v>20</v>
      </c>
      <c r="E65" s="471" t="s">
        <v>229</v>
      </c>
      <c r="F65" s="471"/>
      <c r="G65" s="471"/>
      <c r="H65" s="471"/>
      <c r="I65" s="471"/>
      <c r="J65" s="471"/>
      <c r="K65" s="471"/>
      <c r="L65" s="471"/>
      <c r="M65" s="471"/>
      <c r="N65" s="472"/>
    </row>
    <row r="66" spans="2:14" x14ac:dyDescent="0.3">
      <c r="B66" s="319"/>
      <c r="C66" s="330"/>
      <c r="D66" s="7"/>
      <c r="E66" s="471"/>
      <c r="F66" s="471"/>
      <c r="G66" s="471"/>
      <c r="H66" s="471"/>
      <c r="I66" s="471"/>
      <c r="J66" s="471"/>
      <c r="K66" s="471"/>
      <c r="L66" s="471"/>
      <c r="M66" s="471"/>
      <c r="N66" s="472"/>
    </row>
    <row r="67" spans="2:14" x14ac:dyDescent="0.3">
      <c r="B67" s="319"/>
      <c r="C67" s="330"/>
      <c r="D67" s="109"/>
      <c r="E67" s="471"/>
      <c r="F67" s="471"/>
      <c r="G67" s="471"/>
      <c r="H67" s="471"/>
      <c r="I67" s="471"/>
      <c r="J67" s="471"/>
      <c r="K67" s="471"/>
      <c r="L67" s="471"/>
      <c r="M67" s="471"/>
      <c r="N67" s="472"/>
    </row>
    <row r="68" spans="2:14" x14ac:dyDescent="0.3">
      <c r="B68" s="319"/>
      <c r="C68" s="330"/>
      <c r="D68" s="7"/>
      <c r="E68" s="7"/>
      <c r="F68" s="7" t="s">
        <v>22</v>
      </c>
      <c r="G68" s="7"/>
      <c r="H68" s="7"/>
      <c r="I68" s="7"/>
      <c r="J68" s="7"/>
      <c r="K68" s="7"/>
      <c r="L68" s="7"/>
      <c r="M68" s="324"/>
      <c r="N68" s="322"/>
    </row>
    <row r="69" spans="2:14" x14ac:dyDescent="0.3">
      <c r="B69" s="319"/>
      <c r="C69" s="44"/>
      <c r="D69" s="7"/>
      <c r="E69" s="7"/>
      <c r="F69" s="7"/>
      <c r="G69" s="7"/>
      <c r="H69" s="7"/>
      <c r="I69" s="7"/>
      <c r="J69" s="7"/>
      <c r="K69" s="7"/>
      <c r="L69" s="7"/>
      <c r="M69" s="321"/>
      <c r="N69" s="322"/>
    </row>
    <row r="70" spans="2:14" x14ac:dyDescent="0.3">
      <c r="B70" s="319"/>
      <c r="C70" s="22"/>
      <c r="D70" s="7"/>
      <c r="E70" s="7"/>
      <c r="F70" s="7"/>
      <c r="G70" s="7"/>
      <c r="H70" s="7"/>
      <c r="I70" s="7"/>
      <c r="J70" s="7"/>
      <c r="K70" s="7"/>
      <c r="L70" s="7"/>
      <c r="M70" s="7"/>
      <c r="N70" s="322"/>
    </row>
    <row r="71" spans="2:14" x14ac:dyDescent="0.3">
      <c r="B71" s="319"/>
      <c r="C71" s="331" t="s">
        <v>235</v>
      </c>
      <c r="D71" s="321"/>
      <c r="E71" s="321"/>
      <c r="F71" s="321"/>
      <c r="G71" s="321"/>
      <c r="H71" s="7"/>
      <c r="I71" s="7"/>
      <c r="J71" s="7"/>
      <c r="K71" s="7"/>
      <c r="L71" s="7"/>
      <c r="M71" s="321"/>
      <c r="N71" s="322"/>
    </row>
    <row r="72" spans="2:14" x14ac:dyDescent="0.3">
      <c r="B72" s="319"/>
      <c r="C72" s="22"/>
      <c r="D72" s="7"/>
      <c r="E72" s="7"/>
      <c r="F72" s="7"/>
      <c r="G72" s="7"/>
      <c r="H72" s="7"/>
      <c r="I72" s="7"/>
      <c r="J72" s="7"/>
      <c r="K72" s="7"/>
      <c r="L72" s="7"/>
      <c r="M72" s="7"/>
      <c r="N72" s="322"/>
    </row>
    <row r="73" spans="2:14" x14ac:dyDescent="0.3">
      <c r="B73" s="319"/>
      <c r="C73" s="22" t="s">
        <v>1</v>
      </c>
      <c r="D73" s="7"/>
      <c r="E73" s="7"/>
      <c r="F73" s="7"/>
      <c r="G73" s="7"/>
      <c r="H73" s="7"/>
      <c r="I73" s="7"/>
      <c r="J73" s="7"/>
      <c r="K73" s="7"/>
      <c r="L73" s="22"/>
      <c r="M73" s="22"/>
      <c r="N73" s="322"/>
    </row>
    <row r="74" spans="2:14" x14ac:dyDescent="0.3">
      <c r="B74" s="464" t="s">
        <v>13</v>
      </c>
      <c r="C74" s="465"/>
      <c r="D74" s="332">
        <v>0</v>
      </c>
      <c r="E74" s="7" t="s">
        <v>23</v>
      </c>
      <c r="F74" s="7"/>
      <c r="G74" s="7"/>
      <c r="H74" s="7"/>
      <c r="I74" s="7"/>
      <c r="J74" s="324"/>
      <c r="K74" s="54"/>
      <c r="L74" s="54"/>
      <c r="M74" s="54"/>
      <c r="N74" s="322"/>
    </row>
    <row r="75" spans="2:14" x14ac:dyDescent="0.3">
      <c r="B75" s="327"/>
      <c r="C75" s="326"/>
      <c r="D75" s="332"/>
      <c r="E75" s="7"/>
      <c r="F75" s="7"/>
      <c r="G75" s="7"/>
      <c r="H75" s="7"/>
      <c r="I75" s="7"/>
      <c r="J75" s="324"/>
      <c r="K75" s="54"/>
      <c r="L75" s="54"/>
      <c r="M75" s="54"/>
      <c r="N75" s="322"/>
    </row>
    <row r="76" spans="2:14" x14ac:dyDescent="0.3">
      <c r="B76" s="325"/>
      <c r="C76" s="326"/>
      <c r="D76" s="332"/>
      <c r="E76" s="7"/>
      <c r="F76" s="7"/>
      <c r="G76" s="7"/>
      <c r="H76" s="7"/>
      <c r="I76" s="7"/>
      <c r="J76" s="324"/>
      <c r="K76" s="54"/>
      <c r="L76" s="54"/>
      <c r="M76" s="54"/>
      <c r="N76" s="322"/>
    </row>
    <row r="77" spans="2:14" x14ac:dyDescent="0.3">
      <c r="B77" s="464" t="s">
        <v>16</v>
      </c>
      <c r="C77" s="465"/>
      <c r="D77" s="332">
        <v>5</v>
      </c>
      <c r="E77" s="7" t="s">
        <v>24</v>
      </c>
      <c r="F77" s="7"/>
      <c r="G77" s="7"/>
      <c r="H77" s="7"/>
      <c r="I77" s="7"/>
      <c r="J77" s="324"/>
      <c r="K77" s="54"/>
      <c r="L77" s="54"/>
      <c r="M77" s="54"/>
      <c r="N77" s="322"/>
    </row>
    <row r="78" spans="2:14" x14ac:dyDescent="0.3">
      <c r="B78" s="327"/>
      <c r="C78" s="326"/>
      <c r="D78" s="332"/>
      <c r="E78" s="7"/>
      <c r="F78" s="7"/>
      <c r="G78" s="7"/>
      <c r="H78" s="7"/>
      <c r="I78" s="7"/>
      <c r="J78" s="324"/>
      <c r="K78" s="54"/>
      <c r="L78" s="54"/>
      <c r="M78" s="54"/>
      <c r="N78" s="322"/>
    </row>
    <row r="79" spans="2:14" x14ac:dyDescent="0.3">
      <c r="B79" s="325"/>
      <c r="C79" s="326"/>
      <c r="D79" s="332"/>
      <c r="E79" s="7"/>
      <c r="F79" s="7"/>
      <c r="G79" s="7"/>
      <c r="H79" s="7"/>
      <c r="I79" s="7"/>
      <c r="J79" s="324"/>
      <c r="K79" s="54"/>
      <c r="L79" s="54"/>
      <c r="M79" s="54"/>
      <c r="N79" s="322"/>
    </row>
    <row r="80" spans="2:14" x14ac:dyDescent="0.3">
      <c r="B80" s="464" t="s">
        <v>19</v>
      </c>
      <c r="C80" s="465"/>
      <c r="D80" s="332">
        <v>10</v>
      </c>
      <c r="E80" s="471" t="s">
        <v>230</v>
      </c>
      <c r="F80" s="471"/>
      <c r="G80" s="471"/>
      <c r="H80" s="471"/>
      <c r="I80" s="471"/>
      <c r="J80" s="471"/>
      <c r="K80" s="471"/>
      <c r="L80" s="471"/>
      <c r="M80" s="471"/>
      <c r="N80" s="472"/>
    </row>
    <row r="81" spans="2:14" x14ac:dyDescent="0.3">
      <c r="B81" s="325"/>
      <c r="C81" s="326"/>
      <c r="D81" s="332"/>
      <c r="E81" s="471"/>
      <c r="F81" s="471"/>
      <c r="G81" s="471"/>
      <c r="H81" s="471"/>
      <c r="I81" s="471"/>
      <c r="J81" s="471"/>
      <c r="K81" s="471"/>
      <c r="L81" s="471"/>
      <c r="M81" s="471"/>
      <c r="N81" s="472"/>
    </row>
    <row r="82" spans="2:14" x14ac:dyDescent="0.3">
      <c r="B82" s="325"/>
      <c r="C82" s="326"/>
      <c r="D82" s="332"/>
      <c r="E82" s="328"/>
      <c r="F82" s="328"/>
      <c r="G82" s="328"/>
      <c r="H82" s="328"/>
      <c r="I82" s="328"/>
      <c r="J82" s="328"/>
      <c r="K82" s="328"/>
      <c r="L82" s="328"/>
      <c r="M82" s="328"/>
      <c r="N82" s="329"/>
    </row>
    <row r="83" spans="2:14" x14ac:dyDescent="0.3">
      <c r="B83" s="464" t="s">
        <v>21</v>
      </c>
      <c r="C83" s="465"/>
      <c r="D83" s="332">
        <v>15</v>
      </c>
      <c r="E83" s="333" t="s">
        <v>232</v>
      </c>
      <c r="F83" s="7"/>
      <c r="G83" s="7"/>
      <c r="H83" s="7"/>
      <c r="I83" s="7"/>
      <c r="J83" s="324"/>
      <c r="K83" s="54"/>
      <c r="L83" s="54"/>
      <c r="M83" s="54"/>
      <c r="N83" s="322"/>
    </row>
    <row r="84" spans="2:14" x14ac:dyDescent="0.3">
      <c r="B84" s="327"/>
      <c r="C84" s="326"/>
      <c r="D84" s="332"/>
      <c r="E84" s="333"/>
      <c r="F84" s="7"/>
      <c r="G84" s="7"/>
      <c r="H84" s="7"/>
      <c r="I84" s="7"/>
      <c r="J84" s="324"/>
      <c r="K84" s="54"/>
      <c r="L84" s="54"/>
      <c r="M84" s="54"/>
      <c r="N84" s="322"/>
    </row>
    <row r="85" spans="2:14" x14ac:dyDescent="0.3">
      <c r="B85" s="325"/>
      <c r="C85" s="326"/>
      <c r="D85" s="332"/>
      <c r="E85" s="333" t="s">
        <v>231</v>
      </c>
      <c r="F85" s="7"/>
      <c r="G85" s="7"/>
      <c r="H85" s="7"/>
      <c r="I85" s="7"/>
      <c r="J85" s="334"/>
      <c r="K85" s="54"/>
      <c r="L85" s="54"/>
      <c r="M85" s="54"/>
      <c r="N85" s="322"/>
    </row>
    <row r="86" spans="2:14" x14ac:dyDescent="0.3">
      <c r="B86" s="464" t="s">
        <v>25</v>
      </c>
      <c r="C86" s="465"/>
      <c r="D86" s="332">
        <v>20</v>
      </c>
      <c r="E86" s="471" t="s">
        <v>233</v>
      </c>
      <c r="F86" s="471"/>
      <c r="G86" s="471"/>
      <c r="H86" s="471"/>
      <c r="I86" s="471"/>
      <c r="J86" s="471"/>
      <c r="K86" s="471"/>
      <c r="L86" s="471"/>
      <c r="M86" s="471"/>
      <c r="N86" s="472"/>
    </row>
    <row r="87" spans="2:14" x14ac:dyDescent="0.3">
      <c r="B87" s="319"/>
      <c r="C87" s="41"/>
      <c r="D87" s="109"/>
      <c r="E87" s="471"/>
      <c r="F87" s="471"/>
      <c r="G87" s="471"/>
      <c r="H87" s="471"/>
      <c r="I87" s="471"/>
      <c r="J87" s="471"/>
      <c r="K87" s="471"/>
      <c r="L87" s="471"/>
      <c r="M87" s="471"/>
      <c r="N87" s="472"/>
    </row>
    <row r="88" spans="2:14" x14ac:dyDescent="0.3">
      <c r="B88" s="319"/>
      <c r="C88" s="22"/>
      <c r="D88" s="7"/>
      <c r="E88" s="7"/>
      <c r="F88" s="7"/>
      <c r="G88" s="7"/>
      <c r="H88" s="109"/>
      <c r="I88" s="7"/>
      <c r="J88" s="7"/>
      <c r="K88" s="7"/>
      <c r="L88" s="22"/>
      <c r="M88" s="22"/>
      <c r="N88" s="322"/>
    </row>
    <row r="89" spans="2:14" x14ac:dyDescent="0.3">
      <c r="B89" s="319"/>
      <c r="C89" s="22"/>
      <c r="D89" s="7" t="s">
        <v>22</v>
      </c>
      <c r="E89" s="7"/>
      <c r="F89" s="7"/>
      <c r="G89" s="7"/>
      <c r="H89" s="7"/>
      <c r="I89" s="7"/>
      <c r="J89" s="7"/>
      <c r="K89" s="7"/>
      <c r="L89" s="22"/>
      <c r="M89" s="22"/>
      <c r="N89" s="322"/>
    </row>
    <row r="90" spans="2:14" x14ac:dyDescent="0.3">
      <c r="B90" s="335"/>
      <c r="C90" s="297"/>
      <c r="D90" s="4"/>
      <c r="E90" s="4"/>
      <c r="F90" s="4"/>
      <c r="G90" s="4"/>
      <c r="H90" s="4"/>
      <c r="I90" s="4"/>
      <c r="J90" s="4"/>
      <c r="K90" s="4"/>
      <c r="L90" s="4"/>
      <c r="M90" s="4"/>
      <c r="N90" s="336"/>
    </row>
  </sheetData>
  <sheetProtection algorithmName="SHA-512" hashValue="LyHJffdopZJo922iIiBOe6wgw82wQP0KM6iJKwXeAhfEPKkYCKGqUOh7wOUjmAlcEkOWrRAUiYEaOERAVQBvsg==" saltValue="XSyBvBTSAd9i5fcl1hUhLg==" spinCount="100000" sheet="1" selectLockedCells="1"/>
  <mergeCells count="24">
    <mergeCell ref="B86:C86"/>
    <mergeCell ref="E56:N58"/>
    <mergeCell ref="E59:N61"/>
    <mergeCell ref="E62:N64"/>
    <mergeCell ref="E65:N67"/>
    <mergeCell ref="E86:N87"/>
    <mergeCell ref="B65:C65"/>
    <mergeCell ref="B74:C74"/>
    <mergeCell ref="B77:C77"/>
    <mergeCell ref="B83:C83"/>
    <mergeCell ref="B56:C56"/>
    <mergeCell ref="B59:C59"/>
    <mergeCell ref="E80:N81"/>
    <mergeCell ref="B62:C62"/>
    <mergeCell ref="B80:C80"/>
    <mergeCell ref="E4:K5"/>
    <mergeCell ref="D12:E13"/>
    <mergeCell ref="D7:G7"/>
    <mergeCell ref="B50:C50"/>
    <mergeCell ref="B53:C53"/>
    <mergeCell ref="D8:G8"/>
    <mergeCell ref="J9:K9"/>
    <mergeCell ref="G11:I12"/>
    <mergeCell ref="J47:M49"/>
  </mergeCells>
  <conditionalFormatting sqref="F14 I14">
    <cfRule type="containsErrors" dxfId="33" priority="3" stopIfTrue="1">
      <formula>ISERROR(F14)</formula>
    </cfRule>
  </conditionalFormatting>
  <conditionalFormatting sqref="E45 G45">
    <cfRule type="expression" dxfId="32" priority="13" stopIfTrue="1">
      <formula>ISERROR($M$5)</formula>
    </cfRule>
  </conditionalFormatting>
  <conditionalFormatting sqref="C47">
    <cfRule type="expression" dxfId="31" priority="21" stopIfTrue="1">
      <formula>ISERROR($L$7)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B1:AA78"/>
  <sheetViews>
    <sheetView showGridLines="0" topLeftCell="B1" zoomScaleNormal="100" workbookViewId="0">
      <selection activeCell="E23" sqref="E23"/>
    </sheetView>
  </sheetViews>
  <sheetFormatPr defaultColWidth="9.1796875" defaultRowHeight="12" customHeight="1" x14ac:dyDescent="0.3"/>
  <cols>
    <col min="1" max="1" width="9.1796875" style="204"/>
    <col min="2" max="7" width="6.7265625" style="204" customWidth="1"/>
    <col min="8" max="8" width="6.1796875" style="204" customWidth="1"/>
    <col min="9" max="14" width="6.7265625" style="204" customWidth="1"/>
    <col min="15" max="16384" width="9.1796875" style="204"/>
  </cols>
  <sheetData>
    <row r="1" spans="2:27" ht="12" customHeight="1" thickBot="1" x14ac:dyDescent="0.35"/>
    <row r="2" spans="2:27" ht="12" customHeight="1" x14ac:dyDescent="0.3">
      <c r="B2" s="145"/>
      <c r="C2" s="483" t="s">
        <v>76</v>
      </c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147"/>
    </row>
    <row r="3" spans="2:27" ht="12" customHeight="1" x14ac:dyDescent="0.3">
      <c r="B3" s="14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164"/>
    </row>
    <row r="4" spans="2:27" ht="12" customHeight="1" x14ac:dyDescent="0.3">
      <c r="B4" s="14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164"/>
      <c r="R4" s="361"/>
      <c r="S4" s="362"/>
      <c r="T4" s="362"/>
      <c r="U4" s="362"/>
      <c r="V4" s="361"/>
      <c r="W4" s="361"/>
      <c r="X4" s="363" t="s">
        <v>252</v>
      </c>
      <c r="Y4" s="362"/>
      <c r="Z4" s="362"/>
      <c r="AA4" s="362"/>
    </row>
    <row r="5" spans="2:27" ht="12" customHeight="1" x14ac:dyDescent="0.3">
      <c r="B5" s="484" t="s">
        <v>149</v>
      </c>
      <c r="C5" s="485"/>
      <c r="D5" s="36" t="s">
        <v>150</v>
      </c>
      <c r="E5" s="54"/>
      <c r="F5" s="53" t="s">
        <v>267</v>
      </c>
      <c r="G5" s="36"/>
      <c r="H5" s="36"/>
      <c r="I5" s="482" t="s">
        <v>268</v>
      </c>
      <c r="J5" s="482"/>
      <c r="K5" s="36"/>
      <c r="L5" s="15" t="s">
        <v>154</v>
      </c>
      <c r="M5" s="163"/>
      <c r="N5" s="164"/>
      <c r="R5" s="364"/>
      <c r="S5" s="364"/>
      <c r="T5" s="364"/>
      <c r="U5" s="364"/>
      <c r="V5" s="364"/>
      <c r="W5" s="364"/>
      <c r="X5" s="365"/>
      <c r="Y5" s="361"/>
      <c r="Z5" s="364"/>
      <c r="AA5" s="364"/>
    </row>
    <row r="6" spans="2:27" ht="12" customHeight="1" x14ac:dyDescent="0.3">
      <c r="B6" s="148"/>
      <c r="C6" s="183"/>
      <c r="D6" s="165" t="s">
        <v>151</v>
      </c>
      <c r="E6" s="36"/>
      <c r="F6" s="140"/>
      <c r="G6" s="77" t="s">
        <v>60</v>
      </c>
      <c r="H6" s="77"/>
      <c r="I6" s="482"/>
      <c r="J6" s="482"/>
      <c r="K6" s="163"/>
      <c r="L6" s="15" t="s">
        <v>31</v>
      </c>
      <c r="M6" s="163"/>
      <c r="N6" s="164"/>
      <c r="R6" s="361"/>
      <c r="S6" s="361"/>
      <c r="T6" s="361"/>
      <c r="U6" s="418" t="s">
        <v>266</v>
      </c>
      <c r="V6" s="361"/>
      <c r="W6" s="361"/>
      <c r="X6" s="361"/>
      <c r="Y6" s="361"/>
      <c r="Z6" s="361"/>
      <c r="AA6" s="361"/>
    </row>
    <row r="7" spans="2:27" ht="12" customHeight="1" thickBot="1" x14ac:dyDescent="0.35">
      <c r="B7" s="148"/>
      <c r="C7" s="183"/>
      <c r="D7" s="165" t="s">
        <v>152</v>
      </c>
      <c r="E7" s="36"/>
      <c r="F7" s="140"/>
      <c r="G7" s="77" t="s">
        <v>59</v>
      </c>
      <c r="H7" s="77"/>
      <c r="I7" s="482"/>
      <c r="J7" s="482"/>
      <c r="K7" s="163"/>
      <c r="L7" s="15" t="s">
        <v>155</v>
      </c>
      <c r="M7" s="163"/>
      <c r="N7" s="164"/>
      <c r="R7" s="365" t="s">
        <v>111</v>
      </c>
      <c r="S7" s="366" t="s">
        <v>45</v>
      </c>
      <c r="T7" s="365"/>
      <c r="U7" s="419" t="s">
        <v>77</v>
      </c>
      <c r="V7" s="419" t="s">
        <v>2</v>
      </c>
      <c r="W7" s="366"/>
      <c r="X7" s="367">
        <f>GEOMETRY!F6</f>
        <v>0</v>
      </c>
      <c r="Y7" s="368" t="s">
        <v>64</v>
      </c>
      <c r="Z7" s="369"/>
      <c r="AA7" s="369"/>
    </row>
    <row r="8" spans="2:27" ht="12" customHeight="1" thickBot="1" x14ac:dyDescent="0.35">
      <c r="B8" s="148"/>
      <c r="C8" s="183"/>
      <c r="D8" s="165" t="s">
        <v>153</v>
      </c>
      <c r="E8" s="36"/>
      <c r="F8" s="346" t="str">
        <f>GEOMETRY!S15</f>
        <v/>
      </c>
      <c r="G8" s="165" t="s">
        <v>249</v>
      </c>
      <c r="H8" s="77"/>
      <c r="I8" s="163"/>
      <c r="J8" s="163"/>
      <c r="K8" s="163"/>
      <c r="L8" s="166" t="str">
        <f>U50</f>
        <v/>
      </c>
      <c r="M8" s="163"/>
      <c r="N8" s="164"/>
      <c r="R8" s="370">
        <f>IF(X9&gt;S15,S15-X7,X9-X7)</f>
        <v>0</v>
      </c>
      <c r="S8" s="371">
        <f>IF(AND(ROUND(R8,0)=2,ROUND(R8,0)&lt;&gt;0),4,S9)</f>
        <v>0</v>
      </c>
      <c r="T8" s="365"/>
      <c r="U8" s="366" t="s">
        <v>28</v>
      </c>
      <c r="V8" s="366">
        <v>4</v>
      </c>
      <c r="W8" s="366"/>
      <c r="X8" s="369"/>
      <c r="Y8" s="369"/>
      <c r="Z8" s="369"/>
      <c r="AA8" s="369"/>
    </row>
    <row r="9" spans="2:27" ht="12" customHeight="1" thickBot="1" x14ac:dyDescent="0.35">
      <c r="B9" s="148"/>
      <c r="C9" s="236"/>
      <c r="D9" s="165"/>
      <c r="E9" s="36"/>
      <c r="F9" s="15"/>
      <c r="G9" s="165"/>
      <c r="H9" s="77"/>
      <c r="I9" s="163"/>
      <c r="J9" s="163"/>
      <c r="K9" s="163"/>
      <c r="L9" s="189"/>
      <c r="M9" s="163"/>
      <c r="N9" s="164"/>
      <c r="R9" s="369"/>
      <c r="S9" s="366">
        <f>IF(AND(ROUND(R8,0)&gt;2,ROUND(R8,0)&lt;4,ROUND(R8,0)&gt;0),7,S10)</f>
        <v>0</v>
      </c>
      <c r="T9" s="365"/>
      <c r="U9" s="366" t="s">
        <v>262</v>
      </c>
      <c r="V9" s="366">
        <v>7</v>
      </c>
      <c r="W9" s="366"/>
      <c r="X9" s="367">
        <f>GEOMETRY!F7</f>
        <v>0</v>
      </c>
      <c r="Y9" s="368" t="s">
        <v>65</v>
      </c>
      <c r="Z9" s="369"/>
      <c r="AA9" s="369"/>
    </row>
    <row r="10" spans="2:27" ht="12" customHeight="1" thickBot="1" x14ac:dyDescent="0.35">
      <c r="B10" s="148"/>
      <c r="C10" s="236"/>
      <c r="D10" s="165"/>
      <c r="E10" s="36"/>
      <c r="F10" s="359" t="s">
        <v>259</v>
      </c>
      <c r="G10" s="360">
        <f>S8</f>
        <v>0</v>
      </c>
      <c r="H10" s="77"/>
      <c r="I10" s="163"/>
      <c r="J10" s="163"/>
      <c r="K10" s="163"/>
      <c r="L10" s="189"/>
      <c r="M10" s="163"/>
      <c r="N10" s="164"/>
      <c r="R10" s="369"/>
      <c r="S10" s="366">
        <f>IF(ROUND(R8,0)&gt;=4,10,0)</f>
        <v>0</v>
      </c>
      <c r="T10" s="365"/>
      <c r="U10" s="366" t="s">
        <v>263</v>
      </c>
      <c r="V10" s="366">
        <v>10</v>
      </c>
      <c r="W10" s="366"/>
      <c r="X10" s="369"/>
      <c r="Y10" s="369"/>
      <c r="Z10" s="369"/>
      <c r="AA10" s="369"/>
    </row>
    <row r="11" spans="2:27" ht="12" customHeight="1" x14ac:dyDescent="0.3">
      <c r="B11" s="148"/>
      <c r="C11" s="236"/>
      <c r="D11" s="165"/>
      <c r="E11" s="36"/>
      <c r="F11" s="15"/>
      <c r="G11" s="165"/>
      <c r="H11" s="77"/>
      <c r="I11" s="163"/>
      <c r="J11" s="163"/>
      <c r="K11" s="163"/>
      <c r="L11" s="189"/>
      <c r="M11" s="163"/>
      <c r="N11" s="164"/>
      <c r="R11" s="369"/>
      <c r="S11" s="369"/>
      <c r="T11" s="369"/>
      <c r="U11" s="369"/>
      <c r="V11" s="369"/>
      <c r="W11" s="369"/>
      <c r="X11" s="88"/>
      <c r="Y11" s="88"/>
      <c r="Z11" s="369"/>
      <c r="AA11" s="369"/>
    </row>
    <row r="12" spans="2:27" ht="12" customHeight="1" x14ac:dyDescent="0.3">
      <c r="B12" s="148"/>
      <c r="C12" s="236"/>
      <c r="D12" s="165"/>
      <c r="E12" s="36"/>
      <c r="F12" s="15"/>
      <c r="G12" s="165"/>
      <c r="H12" s="77"/>
      <c r="I12" s="163"/>
      <c r="J12" s="163"/>
      <c r="K12" s="163"/>
      <c r="L12" s="189"/>
      <c r="M12" s="163"/>
      <c r="N12" s="164"/>
      <c r="R12" s="369"/>
      <c r="S12" s="369"/>
      <c r="T12" s="369"/>
      <c r="U12" s="369"/>
      <c r="V12" s="369"/>
      <c r="W12" s="369"/>
      <c r="X12" s="88"/>
      <c r="Y12" s="88"/>
      <c r="Z12" s="369"/>
      <c r="AA12" s="369"/>
    </row>
    <row r="13" spans="2:27" ht="12" customHeight="1" x14ac:dyDescent="0.3">
      <c r="B13" s="148"/>
      <c r="C13" s="236"/>
      <c r="D13" s="165"/>
      <c r="E13" s="36"/>
      <c r="F13" s="15"/>
      <c r="G13" s="165"/>
      <c r="H13" s="77"/>
      <c r="I13" s="163"/>
      <c r="J13" s="163"/>
      <c r="K13" s="163"/>
      <c r="L13" s="189"/>
      <c r="M13" s="163"/>
      <c r="N13" s="164"/>
      <c r="R13" s="479" t="s">
        <v>257</v>
      </c>
      <c r="S13" s="479"/>
      <c r="T13" s="479"/>
      <c r="U13" s="369"/>
      <c r="V13" s="369"/>
      <c r="W13" s="369"/>
      <c r="X13" s="478" t="s">
        <v>239</v>
      </c>
      <c r="Y13" s="478"/>
      <c r="Z13" s="478"/>
      <c r="AA13" s="478"/>
    </row>
    <row r="14" spans="2:27" ht="12" customHeight="1" x14ac:dyDescent="0.3">
      <c r="B14" s="474" t="s">
        <v>246</v>
      </c>
      <c r="C14" s="475"/>
      <c r="D14" s="475"/>
      <c r="E14" s="475"/>
      <c r="F14" s="475"/>
      <c r="G14" s="475"/>
      <c r="H14" s="337"/>
      <c r="I14" s="214"/>
      <c r="J14" s="355"/>
      <c r="K14" s="486" t="s">
        <v>245</v>
      </c>
      <c r="L14" s="486"/>
      <c r="M14" s="486"/>
      <c r="N14" s="164"/>
      <c r="R14" s="479"/>
      <c r="S14" s="479"/>
      <c r="T14" s="479"/>
      <c r="U14" s="365"/>
      <c r="V14" s="365"/>
      <c r="W14" s="365"/>
      <c r="X14" s="372"/>
      <c r="Y14" s="364"/>
      <c r="Z14" s="361"/>
      <c r="AA14" s="361"/>
    </row>
    <row r="15" spans="2:27" ht="12" customHeight="1" x14ac:dyDescent="0.3">
      <c r="B15" s="474"/>
      <c r="C15" s="475"/>
      <c r="D15" s="475"/>
      <c r="E15" s="475"/>
      <c r="F15" s="475"/>
      <c r="G15" s="475"/>
      <c r="H15" s="337"/>
      <c r="I15" s="355"/>
      <c r="J15" s="355"/>
      <c r="K15" s="486"/>
      <c r="L15" s="486"/>
      <c r="M15" s="486"/>
      <c r="N15" s="164"/>
      <c r="R15" s="88"/>
      <c r="S15" s="358" t="str">
        <f>IF(AND(C6=0,C7=0,C8=0),"",X16)</f>
        <v/>
      </c>
      <c r="T15" s="85"/>
      <c r="U15" s="85"/>
      <c r="V15" s="373"/>
      <c r="W15" s="373"/>
      <c r="X15" s="374" t="s">
        <v>61</v>
      </c>
      <c r="Y15" s="374" t="s">
        <v>62</v>
      </c>
      <c r="Z15" s="374" t="s">
        <v>63</v>
      </c>
      <c r="AA15" s="374" t="s">
        <v>27</v>
      </c>
    </row>
    <row r="16" spans="2:27" ht="12" customHeight="1" x14ac:dyDescent="0.3">
      <c r="B16" s="357"/>
      <c r="C16" s="36"/>
      <c r="D16" s="337"/>
      <c r="E16" s="337"/>
      <c r="F16" s="337"/>
      <c r="G16" s="337"/>
      <c r="H16" s="337"/>
      <c r="I16" s="355"/>
      <c r="J16" s="355"/>
      <c r="K16" s="486"/>
      <c r="L16" s="486"/>
      <c r="M16" s="486"/>
      <c r="N16" s="164"/>
      <c r="R16" s="361"/>
      <c r="S16" s="88"/>
      <c r="T16" s="89"/>
      <c r="U16" s="89"/>
      <c r="V16" s="361"/>
      <c r="W16" s="361"/>
      <c r="X16" s="375">
        <f>IF(AND(GEOMETRY!U50&lt;=50,'TRAFFIC &amp; ACCIDENTS'!D10&lt;400),24,X17)</f>
        <v>26</v>
      </c>
      <c r="Y16" s="376">
        <f>IF(AND(GEOMETRY!U50&lt;=30,'TRAFFIC &amp; ACCIDENTS'!D10&lt;1501),30,Y17)</f>
        <v>32</v>
      </c>
      <c r="Z16" s="376">
        <f>IF(AND(GEOMETRY!U50&lt;=50,'TRAFFIC &amp; ACCIDENTS'!D10&lt;2001),34,Z17)</f>
        <v>36</v>
      </c>
      <c r="AA16" s="376">
        <f>IF('TRAFFIC &amp; ACCIDENTS'!D10&gt;2000,40,0)</f>
        <v>0</v>
      </c>
    </row>
    <row r="17" spans="2:27" ht="12" customHeight="1" x14ac:dyDescent="0.3">
      <c r="B17" s="357"/>
      <c r="C17" s="30"/>
      <c r="D17" s="262" t="s">
        <v>43</v>
      </c>
      <c r="E17" s="262"/>
      <c r="F17" s="262"/>
      <c r="G17" s="262"/>
      <c r="H17" s="54"/>
      <c r="I17" s="420"/>
      <c r="J17" s="54"/>
      <c r="K17" s="54"/>
      <c r="L17" s="265"/>
      <c r="M17" s="266"/>
      <c r="N17" s="347"/>
      <c r="R17" s="361"/>
      <c r="S17" s="376" t="s">
        <v>258</v>
      </c>
      <c r="T17" s="84"/>
      <c r="U17" s="84"/>
      <c r="V17" s="365"/>
      <c r="W17" s="365"/>
      <c r="X17" s="376">
        <f>IF(AND(GEOMETRY!U50&gt;50,'TRAFFIC &amp; ACCIDENTS'!D10&lt;400),26,Y16)</f>
        <v>26</v>
      </c>
      <c r="Y17" s="376">
        <f>IF(AND(GEOMETRY!U50&gt;=35,'TRAFFIC &amp; ACCIDENTS'!D10&lt;1501),32,Z16)</f>
        <v>32</v>
      </c>
      <c r="Z17" s="376">
        <f>IF(AND(GEOMETRY!U50&gt;=55,'TRAFFIC &amp; ACCIDENTS'!D10&lt;2001),36,AA16)</f>
        <v>36</v>
      </c>
      <c r="AA17" s="377"/>
    </row>
    <row r="18" spans="2:27" ht="12" customHeight="1" x14ac:dyDescent="0.3">
      <c r="B18" s="487" t="s">
        <v>67</v>
      </c>
      <c r="C18" s="36"/>
      <c r="D18" s="261"/>
      <c r="E18" s="261"/>
      <c r="F18" s="261"/>
      <c r="G18" s="167"/>
      <c r="H18" s="54"/>
      <c r="I18" s="54"/>
      <c r="J18" s="214"/>
      <c r="K18" s="338" t="s">
        <v>156</v>
      </c>
      <c r="L18" s="338" t="s">
        <v>243</v>
      </c>
      <c r="M18" s="98"/>
      <c r="N18" s="347"/>
      <c r="R18" s="361"/>
      <c r="S18" s="378"/>
      <c r="T18" s="84"/>
      <c r="U18" s="84"/>
      <c r="V18" s="365"/>
      <c r="W18" s="365"/>
      <c r="X18" s="376"/>
      <c r="Y18" s="376"/>
      <c r="Z18" s="376"/>
      <c r="AA18" s="377"/>
    </row>
    <row r="19" spans="2:27" ht="12" customHeight="1" x14ac:dyDescent="0.3">
      <c r="B19" s="487"/>
      <c r="C19" s="168"/>
      <c r="D19" s="216" t="s">
        <v>156</v>
      </c>
      <c r="E19" s="216" t="s">
        <v>30</v>
      </c>
      <c r="F19" s="216" t="s">
        <v>41</v>
      </c>
      <c r="G19" s="171"/>
      <c r="H19" s="214"/>
      <c r="I19" s="216" t="s">
        <v>242</v>
      </c>
      <c r="J19" s="214"/>
      <c r="K19" s="338" t="s">
        <v>38</v>
      </c>
      <c r="L19" s="338" t="s">
        <v>244</v>
      </c>
      <c r="M19" s="98"/>
      <c r="N19" s="347"/>
      <c r="R19" s="361"/>
      <c r="S19" s="84"/>
      <c r="T19" s="84"/>
      <c r="U19" s="84"/>
      <c r="V19" s="365"/>
      <c r="W19" s="365"/>
      <c r="X19" s="88"/>
      <c r="Y19" s="88"/>
      <c r="Z19" s="88"/>
      <c r="AA19" s="88"/>
    </row>
    <row r="20" spans="2:27" ht="12" customHeight="1" x14ac:dyDescent="0.3">
      <c r="B20" s="488"/>
      <c r="C20" s="168"/>
      <c r="D20" s="216" t="s">
        <v>38</v>
      </c>
      <c r="E20" s="216" t="s">
        <v>38</v>
      </c>
      <c r="F20" s="217" t="s">
        <v>66</v>
      </c>
      <c r="G20" s="171"/>
      <c r="H20" s="214"/>
      <c r="I20" s="356">
        <f>'2R RATING SUMMARY'!F6</f>
        <v>0</v>
      </c>
      <c r="J20" s="214"/>
      <c r="K20" s="112" t="s">
        <v>162</v>
      </c>
      <c r="L20" s="110" t="s">
        <v>160</v>
      </c>
      <c r="M20" s="111" t="s">
        <v>161</v>
      </c>
      <c r="N20" s="347"/>
      <c r="R20" s="361"/>
      <c r="S20" s="83"/>
      <c r="T20" s="84"/>
      <c r="U20" s="84"/>
      <c r="V20" s="364"/>
      <c r="W20" s="364"/>
      <c r="X20" s="88"/>
      <c r="Y20" s="88"/>
      <c r="Z20" s="88"/>
      <c r="AA20" s="88"/>
    </row>
    <row r="21" spans="2:27" ht="12" customHeight="1" x14ac:dyDescent="0.3">
      <c r="B21" s="199">
        <v>1</v>
      </c>
      <c r="C21" s="220" t="str">
        <f t="shared" ref="C21:C40" si="0">IF(AND(D21&lt;&gt;0,$L$8&gt;E21),"*","")</f>
        <v/>
      </c>
      <c r="D21" s="143"/>
      <c r="E21" s="143"/>
      <c r="F21" s="169" t="str">
        <f>IF(AND(E21&gt;=D21,D21&lt;L8,E21&lt;&gt;0),G21,"")</f>
        <v/>
      </c>
      <c r="G21" s="238" t="e">
        <f>IF(E21&gt;L8,1,(E21-D21)/(L8-D21))</f>
        <v>#VALUE!</v>
      </c>
      <c r="H21" s="480" t="str">
        <f>IF(OR(I20=0,AND(C6="",C7="",C8="")),"Input project length from summary sheet, and terrain (above), to calculate points.","")</f>
        <v>Input project length from summary sheet, and terrain (above), to calculate points.</v>
      </c>
      <c r="I21" s="480"/>
      <c r="J21" s="481"/>
      <c r="K21" s="278" t="str">
        <f>IF(GEOMETRY!D21=0,"",GEOMETRY!D21)</f>
        <v/>
      </c>
      <c r="L21" s="412">
        <f>IF(K21&gt;=U50,0,K21/U50)</f>
        <v>0</v>
      </c>
      <c r="M21" s="412">
        <f t="shared" ref="M21:M40" si="1">IF(L21&gt;0,1-L21,0)</f>
        <v>0</v>
      </c>
      <c r="N21" s="347"/>
      <c r="R21" s="365"/>
      <c r="S21" s="365"/>
      <c r="T21" s="365"/>
      <c r="U21" s="365"/>
      <c r="V21" s="365"/>
      <c r="W21" s="365"/>
      <c r="X21" s="365"/>
      <c r="Y21" s="365"/>
      <c r="Z21" s="365"/>
      <c r="AA21" s="365"/>
    </row>
    <row r="22" spans="2:27" ht="12" customHeight="1" x14ac:dyDescent="0.3">
      <c r="B22" s="199">
        <v>2</v>
      </c>
      <c r="C22" s="220" t="str">
        <f t="shared" si="0"/>
        <v/>
      </c>
      <c r="D22" s="143"/>
      <c r="E22" s="143"/>
      <c r="F22" s="169" t="str">
        <f>IF(AND(E22&gt;=D22,D22&lt;L8,E22&lt;&gt;0),G22,"")</f>
        <v/>
      </c>
      <c r="G22" s="180" t="e">
        <f>IF(E22&gt;L8,1,(E22-D22)/(L8-D22))</f>
        <v>#VALUE!</v>
      </c>
      <c r="H22" s="480"/>
      <c r="I22" s="480"/>
      <c r="J22" s="481"/>
      <c r="K22" s="278" t="str">
        <f>IF(GEOMETRY!D22=0,"",GEOMETRY!D22)</f>
        <v/>
      </c>
      <c r="L22" s="412">
        <f>IF(K22&gt;=U50,0,K22/U50)</f>
        <v>0</v>
      </c>
      <c r="M22" s="412">
        <f t="shared" si="1"/>
        <v>0</v>
      </c>
      <c r="N22" s="347"/>
      <c r="R22" s="206"/>
      <c r="S22" s="205"/>
    </row>
    <row r="23" spans="2:27" ht="12" customHeight="1" x14ac:dyDescent="0.3">
      <c r="B23" s="199">
        <v>3</v>
      </c>
      <c r="C23" s="220" t="str">
        <f t="shared" si="0"/>
        <v/>
      </c>
      <c r="D23" s="143"/>
      <c r="E23" s="143"/>
      <c r="F23" s="169" t="str">
        <f>IF(AND(E23&gt;=D23,D23&lt;L8,E23&lt;&gt;0),G23,"")</f>
        <v/>
      </c>
      <c r="G23" s="180" t="e">
        <f>IF(E23&gt;L8,1,(E23-D23)/(L8-D23))</f>
        <v>#VALUE!</v>
      </c>
      <c r="H23" s="480"/>
      <c r="I23" s="480"/>
      <c r="J23" s="481"/>
      <c r="K23" s="278" t="str">
        <f>IF(GEOMETRY!D23=0,"",GEOMETRY!D23)</f>
        <v/>
      </c>
      <c r="L23" s="412">
        <f>IF(K23&gt;=U50,0,K23/U50)</f>
        <v>0</v>
      </c>
      <c r="M23" s="412">
        <f t="shared" si="1"/>
        <v>0</v>
      </c>
      <c r="N23" s="347"/>
    </row>
    <row r="24" spans="2:27" ht="12" customHeight="1" x14ac:dyDescent="0.3">
      <c r="B24" s="199">
        <v>4</v>
      </c>
      <c r="C24" s="220" t="str">
        <f t="shared" si="0"/>
        <v/>
      </c>
      <c r="D24" s="144"/>
      <c r="E24" s="143"/>
      <c r="F24" s="169" t="str">
        <f>IF(AND(E24&gt;=D24,D24&lt;L8,E24&lt;&gt;0),G24,"")</f>
        <v/>
      </c>
      <c r="G24" s="180" t="e">
        <f>IF(E24&gt;L8,1,(E24-D24)/(L8-D24))</f>
        <v>#VALUE!</v>
      </c>
      <c r="H24" s="480"/>
      <c r="I24" s="480"/>
      <c r="J24" s="481"/>
      <c r="K24" s="278" t="str">
        <f>IF(GEOMETRY!D24=0,"",GEOMETRY!D24)</f>
        <v/>
      </c>
      <c r="L24" s="412">
        <f>IF(K24&gt;=U50,0,K24/U50)</f>
        <v>0</v>
      </c>
      <c r="M24" s="412">
        <f t="shared" si="1"/>
        <v>0</v>
      </c>
      <c r="N24" s="347"/>
    </row>
    <row r="25" spans="2:27" ht="12" customHeight="1" x14ac:dyDescent="0.3">
      <c r="B25" s="199">
        <v>5</v>
      </c>
      <c r="C25" s="220" t="str">
        <f t="shared" si="0"/>
        <v/>
      </c>
      <c r="D25" s="144"/>
      <c r="E25" s="144"/>
      <c r="F25" s="169" t="str">
        <f>IF(AND(E25&gt;=D25,D25&lt;L8,E25&lt;&gt;0),G25,"")</f>
        <v/>
      </c>
      <c r="G25" s="180" t="e">
        <f>IF(E25&gt;L8,1,(E25-D25)/(L8-D25))</f>
        <v>#VALUE!</v>
      </c>
      <c r="H25" s="54"/>
      <c r="I25" s="54"/>
      <c r="J25" s="214"/>
      <c r="K25" s="278" t="str">
        <f>IF(GEOMETRY!D25=0,"",GEOMETRY!D25)</f>
        <v/>
      </c>
      <c r="L25" s="412">
        <f>IF(K25&gt;=U50,0,K25/U50)</f>
        <v>0</v>
      </c>
      <c r="M25" s="412">
        <f t="shared" si="1"/>
        <v>0</v>
      </c>
      <c r="N25" s="347"/>
    </row>
    <row r="26" spans="2:27" ht="12" customHeight="1" x14ac:dyDescent="0.3">
      <c r="B26" s="199">
        <v>6</v>
      </c>
      <c r="C26" s="220" t="str">
        <f t="shared" si="0"/>
        <v/>
      </c>
      <c r="D26" s="144"/>
      <c r="E26" s="144"/>
      <c r="F26" s="169" t="str">
        <f>IF(AND(E26&gt;=D26,D26&lt;L8,E26&lt;&gt;0),G26,"")</f>
        <v/>
      </c>
      <c r="G26" s="180" t="e">
        <f>IF(E26&gt;L8,1,(E26-D26)/(L8-D26))</f>
        <v>#VALUE!</v>
      </c>
      <c r="H26" s="54"/>
      <c r="I26" s="54"/>
      <c r="J26" s="214"/>
      <c r="K26" s="278" t="str">
        <f>IF(GEOMETRY!D26=0,"",GEOMETRY!D26)</f>
        <v/>
      </c>
      <c r="L26" s="412">
        <f>IF(K26&gt;=U50,0,K26/U50)</f>
        <v>0</v>
      </c>
      <c r="M26" s="412">
        <f t="shared" si="1"/>
        <v>0</v>
      </c>
      <c r="N26" s="347"/>
    </row>
    <row r="27" spans="2:27" ht="12" customHeight="1" x14ac:dyDescent="0.3">
      <c r="B27" s="199">
        <v>7</v>
      </c>
      <c r="C27" s="220" t="str">
        <f t="shared" si="0"/>
        <v/>
      </c>
      <c r="D27" s="144"/>
      <c r="E27" s="144"/>
      <c r="F27" s="169" t="str">
        <f>IF(AND(E27&gt;=D27,D27&lt;L8,E27&lt;&gt;0),G27,"")</f>
        <v/>
      </c>
      <c r="G27" s="180" t="e">
        <f>IF(E27&gt;L8,1,(E27-D27)/(L8-D27))</f>
        <v>#VALUE!</v>
      </c>
      <c r="H27" s="54"/>
      <c r="I27" s="54"/>
      <c r="J27" s="214"/>
      <c r="K27" s="278" t="str">
        <f>IF(GEOMETRY!D27=0,"",GEOMETRY!D27)</f>
        <v/>
      </c>
      <c r="L27" s="412">
        <f>IF(K27&gt;=U50,0,K27/U50)</f>
        <v>0</v>
      </c>
      <c r="M27" s="412">
        <f t="shared" si="1"/>
        <v>0</v>
      </c>
      <c r="N27" s="347"/>
    </row>
    <row r="28" spans="2:27" ht="12" customHeight="1" x14ac:dyDescent="0.3">
      <c r="B28" s="199">
        <v>8</v>
      </c>
      <c r="C28" s="220" t="str">
        <f t="shared" si="0"/>
        <v/>
      </c>
      <c r="D28" s="144"/>
      <c r="E28" s="144"/>
      <c r="F28" s="169" t="str">
        <f>IF(AND(E28&gt;=D28,D28&lt;L8,E28&lt;&gt;0),G28,"")</f>
        <v/>
      </c>
      <c r="G28" s="180" t="e">
        <f>IF(E28&gt;L8,1,(E28-D28)/(L8-D28))</f>
        <v>#VALUE!</v>
      </c>
      <c r="H28" s="54"/>
      <c r="I28" s="54"/>
      <c r="J28" s="214"/>
      <c r="K28" s="278" t="str">
        <f>IF(GEOMETRY!D28=0,"",GEOMETRY!D28)</f>
        <v/>
      </c>
      <c r="L28" s="412">
        <f>IF(K28&gt;=U50,0,K28/U50)</f>
        <v>0</v>
      </c>
      <c r="M28" s="412">
        <f t="shared" si="1"/>
        <v>0</v>
      </c>
      <c r="N28" s="347"/>
    </row>
    <row r="29" spans="2:27" ht="12" customHeight="1" x14ac:dyDescent="0.3">
      <c r="B29" s="199">
        <v>9</v>
      </c>
      <c r="C29" s="220" t="str">
        <f t="shared" ref="C29:C34" si="2">IF(AND(D29&lt;&gt;0,$L$8&gt;E29),"*","")</f>
        <v/>
      </c>
      <c r="D29" s="143"/>
      <c r="E29" s="143"/>
      <c r="F29" s="169" t="str">
        <f>IF(AND(E29&gt;=D29,D29&lt;L2,E29&lt;&gt;0),G29,"")</f>
        <v/>
      </c>
      <c r="G29" s="180" t="e">
        <f>IF(E29&gt;L2,1,(E29-D29)/(L2-D29))</f>
        <v>#DIV/0!</v>
      </c>
      <c r="H29" s="54"/>
      <c r="I29" s="54"/>
      <c r="J29" s="214"/>
      <c r="K29" s="278" t="str">
        <f>IF(GEOMETRY!D29=0,"",GEOMETRY!D29)</f>
        <v/>
      </c>
      <c r="L29" s="412">
        <f>IF(K29&gt;=U44,0,K29/U44)</f>
        <v>0</v>
      </c>
      <c r="M29" s="412">
        <f t="shared" ref="M29:M34" si="3">IF(L29&gt;0,1-L29,0)</f>
        <v>0</v>
      </c>
      <c r="N29" s="347"/>
    </row>
    <row r="30" spans="2:27" ht="12" customHeight="1" x14ac:dyDescent="0.3">
      <c r="B30" s="199">
        <v>10</v>
      </c>
      <c r="C30" s="220" t="str">
        <f t="shared" si="2"/>
        <v/>
      </c>
      <c r="D30" s="144"/>
      <c r="E30" s="144"/>
      <c r="F30" s="169" t="str">
        <f>IF(AND(E30&gt;=D30,D30&lt;L2,E30&lt;&gt;0),G30,"")</f>
        <v/>
      </c>
      <c r="G30" s="180" t="e">
        <f>IF(E30&gt;L2,1,(E30-D30)/(L2-D30))</f>
        <v>#DIV/0!</v>
      </c>
      <c r="H30" s="54"/>
      <c r="I30" s="54"/>
      <c r="J30" s="214"/>
      <c r="K30" s="278" t="str">
        <f>IF(GEOMETRY!D30=0,"",GEOMETRY!D30)</f>
        <v/>
      </c>
      <c r="L30" s="412">
        <f>IF(K30&gt;=U44,0,K30/U44)</f>
        <v>0</v>
      </c>
      <c r="M30" s="412">
        <f t="shared" si="3"/>
        <v>0</v>
      </c>
      <c r="N30" s="347"/>
    </row>
    <row r="31" spans="2:27" ht="12" customHeight="1" x14ac:dyDescent="0.3">
      <c r="B31" s="199">
        <v>11</v>
      </c>
      <c r="C31" s="220" t="str">
        <f t="shared" si="2"/>
        <v/>
      </c>
      <c r="D31" s="144"/>
      <c r="E31" s="144"/>
      <c r="F31" s="169" t="str">
        <f>IF(AND(E31&gt;=D31,D31&lt;L2,E31&lt;&gt;0),G31,"")</f>
        <v/>
      </c>
      <c r="G31" s="180" t="e">
        <f>IF(E31&gt;L2,1,(E31-D31)/(L2-D31))</f>
        <v>#DIV/0!</v>
      </c>
      <c r="H31" s="54"/>
      <c r="I31" s="54"/>
      <c r="J31" s="214"/>
      <c r="K31" s="278" t="str">
        <f>IF(GEOMETRY!D31=0,"",GEOMETRY!D31)</f>
        <v/>
      </c>
      <c r="L31" s="412">
        <f>IF(K31&gt;=U44,0,K31/U44)</f>
        <v>0</v>
      </c>
      <c r="M31" s="412">
        <f t="shared" si="3"/>
        <v>0</v>
      </c>
      <c r="N31" s="347"/>
    </row>
    <row r="32" spans="2:27" ht="12" customHeight="1" x14ac:dyDescent="0.3">
      <c r="B32" s="199">
        <v>12</v>
      </c>
      <c r="C32" s="220" t="str">
        <f t="shared" si="2"/>
        <v/>
      </c>
      <c r="D32" s="144"/>
      <c r="E32" s="144"/>
      <c r="F32" s="169" t="str">
        <f>IF(AND(E32&gt;=D32,D32&lt;L2,E32&lt;&gt;0),G32,"")</f>
        <v/>
      </c>
      <c r="G32" s="180" t="e">
        <f>IF(E32&gt;L2,1,(E32-D32)/(L2-D32))</f>
        <v>#DIV/0!</v>
      </c>
      <c r="H32" s="54"/>
      <c r="I32" s="54"/>
      <c r="J32" s="214"/>
      <c r="K32" s="278" t="str">
        <f>IF(GEOMETRY!D32=0,"",GEOMETRY!D32)</f>
        <v/>
      </c>
      <c r="L32" s="412">
        <f>IF(K32&gt;=U44,0,K32/U44)</f>
        <v>0</v>
      </c>
      <c r="M32" s="412">
        <f t="shared" si="3"/>
        <v>0</v>
      </c>
      <c r="N32" s="347"/>
    </row>
    <row r="33" spans="2:27" ht="12" customHeight="1" x14ac:dyDescent="0.3">
      <c r="B33" s="199">
        <v>13</v>
      </c>
      <c r="C33" s="220" t="str">
        <f t="shared" si="2"/>
        <v/>
      </c>
      <c r="D33" s="144"/>
      <c r="E33" s="144"/>
      <c r="F33" s="169" t="str">
        <f>IF(AND(E33&gt;=D33,D33&lt;L2,E33&lt;&gt;0),G33,"")</f>
        <v/>
      </c>
      <c r="G33" s="180" t="e">
        <f>IF(E33&gt;L2,1,(E33-D33)/(L2-D33))</f>
        <v>#DIV/0!</v>
      </c>
      <c r="H33" s="54"/>
      <c r="I33" s="54"/>
      <c r="J33" s="214"/>
      <c r="K33" s="278" t="str">
        <f>IF(GEOMETRY!D33=0,"",GEOMETRY!D33)</f>
        <v/>
      </c>
      <c r="L33" s="412">
        <f>IF(K33&gt;=U44,0,K33/U44)</f>
        <v>0</v>
      </c>
      <c r="M33" s="412">
        <f t="shared" si="3"/>
        <v>0</v>
      </c>
      <c r="N33" s="347"/>
    </row>
    <row r="34" spans="2:27" ht="12" customHeight="1" x14ac:dyDescent="0.3">
      <c r="B34" s="199">
        <v>14</v>
      </c>
      <c r="C34" s="220" t="str">
        <f t="shared" si="2"/>
        <v/>
      </c>
      <c r="D34" s="339"/>
      <c r="E34" s="144"/>
      <c r="F34" s="169" t="str">
        <f>IF(AND(E34&gt;=D34,D34&lt;L2,E34&lt;&gt;0),G34,"")</f>
        <v/>
      </c>
      <c r="G34" s="180" t="e">
        <f>IF(E34&gt;L2,1,(E34-D34)/(L2-D34))</f>
        <v>#DIV/0!</v>
      </c>
      <c r="H34" s="54"/>
      <c r="I34" s="54"/>
      <c r="J34" s="214"/>
      <c r="K34" s="278" t="str">
        <f>IF(GEOMETRY!D34=0,"",GEOMETRY!D34)</f>
        <v/>
      </c>
      <c r="L34" s="412">
        <f>IF(K34&gt;=U44,0,K34/U44)</f>
        <v>0</v>
      </c>
      <c r="M34" s="412">
        <f t="shared" si="3"/>
        <v>0</v>
      </c>
      <c r="N34" s="347"/>
    </row>
    <row r="35" spans="2:27" ht="12" customHeight="1" x14ac:dyDescent="0.3">
      <c r="B35" s="199">
        <v>15</v>
      </c>
      <c r="C35" s="220" t="str">
        <f t="shared" si="0"/>
        <v/>
      </c>
      <c r="D35" s="143"/>
      <c r="E35" s="144"/>
      <c r="F35" s="169" t="str">
        <f>IF(AND(E35&gt;=D35,D35&lt;L8,E35&lt;&gt;0),G35,"")</f>
        <v/>
      </c>
      <c r="G35" s="180" t="e">
        <f>IF(E35&gt;L8,1,(E35-D35)/(L8-D35))</f>
        <v>#VALUE!</v>
      </c>
      <c r="H35" s="54"/>
      <c r="I35" s="54"/>
      <c r="J35" s="214"/>
      <c r="K35" s="278" t="str">
        <f>IF(GEOMETRY!D35=0,"",GEOMETRY!D35)</f>
        <v/>
      </c>
      <c r="L35" s="412">
        <f>IF(K35&gt;=U50,0,K35/U50)</f>
        <v>0</v>
      </c>
      <c r="M35" s="412">
        <f t="shared" si="1"/>
        <v>0</v>
      </c>
      <c r="N35" s="347"/>
    </row>
    <row r="36" spans="2:27" ht="12" customHeight="1" x14ac:dyDescent="0.3">
      <c r="B36" s="199">
        <v>16</v>
      </c>
      <c r="C36" s="220" t="str">
        <f t="shared" si="0"/>
        <v/>
      </c>
      <c r="D36" s="144"/>
      <c r="E36" s="144"/>
      <c r="F36" s="169" t="str">
        <f>IF(AND(E36&gt;=D36,D36&lt;L8,E36&lt;&gt;0),G36,"")</f>
        <v/>
      </c>
      <c r="G36" s="180" t="e">
        <f>IF(E36&gt;L8,1,(E36-D36)/(L8-D36))</f>
        <v>#VALUE!</v>
      </c>
      <c r="H36" s="54"/>
      <c r="I36" s="54"/>
      <c r="J36" s="214"/>
      <c r="K36" s="278" t="str">
        <f>IF(GEOMETRY!D36=0,"",GEOMETRY!D36)</f>
        <v/>
      </c>
      <c r="L36" s="412">
        <f>IF(K36&gt;=U50,0,K36/U50)</f>
        <v>0</v>
      </c>
      <c r="M36" s="412">
        <f t="shared" si="1"/>
        <v>0</v>
      </c>
      <c r="N36" s="347"/>
    </row>
    <row r="37" spans="2:27" ht="12" customHeight="1" x14ac:dyDescent="0.3">
      <c r="B37" s="199">
        <v>17</v>
      </c>
      <c r="C37" s="220" t="str">
        <f t="shared" si="0"/>
        <v/>
      </c>
      <c r="D37" s="144"/>
      <c r="E37" s="144"/>
      <c r="F37" s="169" t="str">
        <f>IF(AND(E37&gt;=D37,D37&lt;L8,E37&lt;&gt;0),G37,"")</f>
        <v/>
      </c>
      <c r="G37" s="180" t="e">
        <f>IF(E37&gt;L8,1,(E37-D37)/(L8-D37))</f>
        <v>#VALUE!</v>
      </c>
      <c r="H37" s="54"/>
      <c r="I37" s="54"/>
      <c r="J37" s="214"/>
      <c r="K37" s="278" t="str">
        <f>IF(GEOMETRY!D37=0,"",GEOMETRY!D37)</f>
        <v/>
      </c>
      <c r="L37" s="412">
        <f>IF(K37&gt;=U50,0,K37/U50)</f>
        <v>0</v>
      </c>
      <c r="M37" s="412">
        <f t="shared" si="1"/>
        <v>0</v>
      </c>
      <c r="N37" s="347"/>
    </row>
    <row r="38" spans="2:27" ht="12" customHeight="1" x14ac:dyDescent="0.3">
      <c r="B38" s="199">
        <v>18</v>
      </c>
      <c r="C38" s="220" t="str">
        <f t="shared" si="0"/>
        <v/>
      </c>
      <c r="D38" s="144"/>
      <c r="E38" s="144"/>
      <c r="F38" s="169" t="str">
        <f>IF(AND(E38&gt;=D38,D38&lt;L8,E38&lt;&gt;0),G38,"")</f>
        <v/>
      </c>
      <c r="G38" s="180" t="e">
        <f>IF(E38&gt;L8,1,(E38-D38)/(L8-D38))</f>
        <v>#VALUE!</v>
      </c>
      <c r="H38" s="54"/>
      <c r="I38" s="54"/>
      <c r="J38" s="214"/>
      <c r="K38" s="278" t="str">
        <f>IF(GEOMETRY!D38=0,"",GEOMETRY!D38)</f>
        <v/>
      </c>
      <c r="L38" s="412">
        <f>IF(K38&gt;=U50,0,K38/U50)</f>
        <v>0</v>
      </c>
      <c r="M38" s="412">
        <f t="shared" si="1"/>
        <v>0</v>
      </c>
      <c r="N38" s="347"/>
    </row>
    <row r="39" spans="2:27" ht="12" customHeight="1" x14ac:dyDescent="0.3">
      <c r="B39" s="199">
        <v>19</v>
      </c>
      <c r="C39" s="220" t="str">
        <f t="shared" si="0"/>
        <v/>
      </c>
      <c r="D39" s="144"/>
      <c r="E39" s="144"/>
      <c r="F39" s="169" t="str">
        <f>IF(AND(E39&gt;=D39,D39&lt;L8,E39&lt;&gt;0),G39,"")</f>
        <v/>
      </c>
      <c r="G39" s="180" t="e">
        <f>IF(E39&gt;L8,1,(E39-D39)/(L8-D39))</f>
        <v>#VALUE!</v>
      </c>
      <c r="H39" s="54"/>
      <c r="I39" s="54"/>
      <c r="J39" s="214"/>
      <c r="K39" s="278" t="str">
        <f>IF(GEOMETRY!D39=0,"",GEOMETRY!D39)</f>
        <v/>
      </c>
      <c r="L39" s="412">
        <f>IF(K39&gt;=U50,0,K39/U50)</f>
        <v>0</v>
      </c>
      <c r="M39" s="412">
        <f t="shared" si="1"/>
        <v>0</v>
      </c>
      <c r="N39" s="347"/>
    </row>
    <row r="40" spans="2:27" ht="12" customHeight="1" thickBot="1" x14ac:dyDescent="0.35">
      <c r="B40" s="199">
        <v>20</v>
      </c>
      <c r="C40" s="220" t="str">
        <f t="shared" si="0"/>
        <v/>
      </c>
      <c r="D40" s="339"/>
      <c r="E40" s="144"/>
      <c r="F40" s="169" t="str">
        <f>IF(AND(E40&gt;=D40,D40&lt;L8,E40&lt;&gt;0),G40,"")</f>
        <v/>
      </c>
      <c r="G40" s="180" t="e">
        <f>IF(E40&gt;L8,1,(E40-D40)/(L8-D40))</f>
        <v>#VALUE!</v>
      </c>
      <c r="H40" s="54"/>
      <c r="I40" s="54"/>
      <c r="J40" s="214"/>
      <c r="K40" s="278" t="str">
        <f>IF(GEOMETRY!D40=0,"",GEOMETRY!D40)</f>
        <v/>
      </c>
      <c r="L40" s="412">
        <f>IF(K40&gt;=U50,0,K40/U50)</f>
        <v>0</v>
      </c>
      <c r="M40" s="412">
        <f t="shared" si="1"/>
        <v>0</v>
      </c>
      <c r="N40" s="347"/>
    </row>
    <row r="41" spans="2:27" ht="12" customHeight="1" thickTop="1" thickBot="1" x14ac:dyDescent="0.35">
      <c r="B41" s="277"/>
      <c r="C41" s="54"/>
      <c r="D41" s="340" t="str">
        <f>IF(SUM(D21:E40)=0,"",G75*F41)</f>
        <v/>
      </c>
      <c r="E41" s="341" t="s">
        <v>256</v>
      </c>
      <c r="F41" s="170">
        <f>IF(SUM(F21:F40)=0,0,(SUM(F21:F40)/(COUNT(F21:F40))))</f>
        <v>0</v>
      </c>
      <c r="G41" s="171" t="s">
        <v>157</v>
      </c>
      <c r="H41" s="54"/>
      <c r="I41" s="54"/>
      <c r="J41" s="214"/>
      <c r="K41" s="98"/>
      <c r="L41" s="113" t="s">
        <v>158</v>
      </c>
      <c r="M41" s="101">
        <f>SUM(M21:M40)</f>
        <v>0</v>
      </c>
      <c r="N41" s="347"/>
    </row>
    <row r="42" spans="2:27" ht="12" customHeight="1" thickTop="1" x14ac:dyDescent="0.3">
      <c r="B42" s="348"/>
      <c r="C42" s="218"/>
      <c r="D42" s="354"/>
      <c r="E42" s="353"/>
      <c r="F42" s="352"/>
      <c r="G42" s="219"/>
      <c r="H42" s="54"/>
      <c r="I42" s="54"/>
      <c r="J42" s="220"/>
      <c r="K42" s="218"/>
      <c r="L42" s="54"/>
      <c r="M42" s="54"/>
      <c r="N42" s="349"/>
    </row>
    <row r="43" spans="2:27" ht="12" customHeight="1" thickBot="1" x14ac:dyDescent="0.35">
      <c r="B43" s="161"/>
      <c r="C43" s="81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172"/>
    </row>
    <row r="45" spans="2:27" ht="12" customHeight="1" x14ac:dyDescent="0.3">
      <c r="O45" s="342"/>
      <c r="P45" s="342"/>
      <c r="Q45" s="342"/>
      <c r="R45" s="365" t="s">
        <v>32</v>
      </c>
      <c r="S45" s="365"/>
      <c r="T45" s="365"/>
      <c r="U45" s="379" t="s">
        <v>33</v>
      </c>
      <c r="V45" s="379"/>
      <c r="W45" s="379"/>
      <c r="X45" s="366"/>
      <c r="Y45" s="88"/>
      <c r="Z45" s="88"/>
      <c r="AA45" s="88"/>
    </row>
    <row r="46" spans="2:27" ht="12" customHeight="1" x14ac:dyDescent="0.3">
      <c r="O46" s="343"/>
      <c r="P46" s="343"/>
      <c r="Q46" s="343"/>
      <c r="R46" s="380">
        <f>GEOMETRY!C6</f>
        <v>0</v>
      </c>
      <c r="S46" s="365" t="s">
        <v>34</v>
      </c>
      <c r="T46" s="365"/>
      <c r="U46" s="361">
        <f>IF(C6&lt;&gt;0,V46,U47)</f>
        <v>20</v>
      </c>
      <c r="V46" s="361">
        <f>IF('TRAFFIC &amp; ACCIDENTS'!D10&lt;400,30,W46)</f>
        <v>30</v>
      </c>
      <c r="W46" s="361">
        <f>IF('TRAFFIC &amp; ACCIDENTS'!D10&lt;2001,40,50)</f>
        <v>40</v>
      </c>
      <c r="X46" s="366"/>
      <c r="Y46" s="88"/>
      <c r="Z46" s="88"/>
      <c r="AA46" s="88"/>
    </row>
    <row r="47" spans="2:27" ht="12" customHeight="1" x14ac:dyDescent="0.3">
      <c r="O47" s="343"/>
      <c r="P47" s="343"/>
      <c r="Q47" s="343"/>
      <c r="R47" s="380">
        <f>GEOMETRY!C7</f>
        <v>0</v>
      </c>
      <c r="S47" s="365" t="s">
        <v>35</v>
      </c>
      <c r="T47" s="365"/>
      <c r="U47" s="361">
        <f>IF(C7&lt;&gt;0,V47,U48)</f>
        <v>20</v>
      </c>
      <c r="V47" s="361">
        <f>IF('TRAFFIC &amp; ACCIDENTS'!D10&lt;400,20,W47)</f>
        <v>20</v>
      </c>
      <c r="W47" s="361">
        <f>IF('TRAFFIC &amp; ACCIDENTS'!D10&lt;2001,30,40)</f>
        <v>30</v>
      </c>
      <c r="X47" s="366"/>
      <c r="Y47" s="88"/>
      <c r="Z47" s="88"/>
      <c r="AA47" s="88"/>
    </row>
    <row r="48" spans="2:27" ht="12" customHeight="1" x14ac:dyDescent="0.3">
      <c r="B48" s="382" t="s">
        <v>169</v>
      </c>
      <c r="C48" s="383"/>
      <c r="D48" s="383"/>
      <c r="E48" s="383"/>
      <c r="F48" s="383"/>
      <c r="G48" s="384"/>
      <c r="H48" s="384"/>
      <c r="I48" s="384"/>
      <c r="J48" s="384"/>
      <c r="K48" s="384"/>
      <c r="L48" s="384"/>
      <c r="M48" s="385"/>
      <c r="N48" s="342"/>
      <c r="O48" s="343"/>
      <c r="P48" s="343"/>
      <c r="Q48" s="343"/>
      <c r="R48" s="380">
        <f>GEOMETRY!C8</f>
        <v>0</v>
      </c>
      <c r="S48" s="365" t="s">
        <v>36</v>
      </c>
      <c r="T48" s="365"/>
      <c r="U48" s="361">
        <f>V48</f>
        <v>20</v>
      </c>
      <c r="V48" s="361">
        <f>IF('TRAFFIC &amp; ACCIDENTS'!D10&lt;400,20,W48)</f>
        <v>20</v>
      </c>
      <c r="W48" s="361">
        <f>IF('TRAFFIC &amp; ACCIDENTS'!D10&lt;2001,30,40)</f>
        <v>30</v>
      </c>
      <c r="X48" s="366"/>
      <c r="Y48" s="88"/>
      <c r="Z48" s="88"/>
      <c r="AA48" s="88"/>
    </row>
    <row r="49" spans="2:27" ht="12" customHeight="1" x14ac:dyDescent="0.3">
      <c r="B49" s="384"/>
      <c r="C49" s="384"/>
      <c r="D49" s="384"/>
      <c r="E49" s="384"/>
      <c r="F49" s="384"/>
      <c r="G49" s="384"/>
      <c r="H49" s="384"/>
      <c r="I49" s="384"/>
      <c r="J49" s="384"/>
      <c r="K49" s="384"/>
      <c r="L49" s="384"/>
      <c r="M49" s="386"/>
      <c r="N49" s="343"/>
      <c r="O49" s="292"/>
      <c r="P49" s="292"/>
      <c r="Q49" s="292"/>
      <c r="R49" s="366"/>
      <c r="S49" s="365"/>
      <c r="T49" s="365"/>
      <c r="U49" s="365"/>
      <c r="V49" s="365"/>
      <c r="W49" s="365"/>
      <c r="X49" s="366"/>
      <c r="Y49" s="88"/>
      <c r="Z49" s="88"/>
      <c r="AA49" s="88"/>
    </row>
    <row r="50" spans="2:27" ht="12" customHeight="1" x14ac:dyDescent="0.3">
      <c r="B50" s="384" t="s">
        <v>241</v>
      </c>
      <c r="C50" s="384"/>
      <c r="D50" s="384"/>
      <c r="E50" s="384"/>
      <c r="F50" s="384"/>
      <c r="G50" s="384"/>
      <c r="H50" s="384"/>
      <c r="I50" s="384"/>
      <c r="J50" s="88"/>
      <c r="K50" s="387" t="str">
        <f>U50</f>
        <v/>
      </c>
      <c r="L50" s="476"/>
      <c r="M50" s="388"/>
      <c r="N50" s="343"/>
      <c r="O50" s="292"/>
      <c r="P50" s="292"/>
      <c r="Q50" s="292"/>
      <c r="R50" s="366"/>
      <c r="S50" s="365"/>
      <c r="T50" s="381" t="s">
        <v>37</v>
      </c>
      <c r="U50" s="380" t="str">
        <f>IF(AND(C6=0,C7=0,C8=0),"",U46)</f>
        <v/>
      </c>
      <c r="V50" s="365"/>
      <c r="W50" s="365"/>
      <c r="X50" s="366"/>
      <c r="Y50" s="88"/>
      <c r="Z50" s="88"/>
      <c r="AA50" s="88"/>
    </row>
    <row r="51" spans="2:27" ht="12" customHeight="1" x14ac:dyDescent="0.3">
      <c r="B51" s="384" t="s">
        <v>159</v>
      </c>
      <c r="C51" s="384"/>
      <c r="D51" s="384"/>
      <c r="E51" s="384"/>
      <c r="F51" s="384"/>
      <c r="G51" s="384"/>
      <c r="H51" s="384"/>
      <c r="I51" s="384"/>
      <c r="J51" s="384"/>
      <c r="K51" s="384"/>
      <c r="L51" s="476"/>
      <c r="M51" s="88"/>
      <c r="O51" s="292"/>
      <c r="P51" s="292"/>
      <c r="Q51" s="292"/>
    </row>
    <row r="52" spans="2:27" ht="12" customHeight="1" x14ac:dyDescent="0.3">
      <c r="B52" s="384"/>
      <c r="C52" s="384" t="s">
        <v>171</v>
      </c>
      <c r="D52" s="384"/>
      <c r="E52" s="384"/>
      <c r="F52" s="384"/>
      <c r="G52" s="384"/>
      <c r="H52" s="384"/>
      <c r="I52" s="384"/>
      <c r="J52" s="384"/>
      <c r="K52" s="384"/>
      <c r="L52" s="476"/>
      <c r="M52" s="88"/>
      <c r="O52" s="292"/>
      <c r="P52" s="292"/>
      <c r="Q52" s="292"/>
    </row>
    <row r="53" spans="2:27" ht="12" customHeight="1" x14ac:dyDescent="0.3">
      <c r="B53" s="384"/>
      <c r="C53" s="384" t="s">
        <v>170</v>
      </c>
      <c r="D53" s="384"/>
      <c r="E53" s="384"/>
      <c r="F53" s="384"/>
      <c r="G53" s="384"/>
      <c r="H53" s="384"/>
      <c r="I53" s="384"/>
      <c r="J53" s="384"/>
      <c r="K53" s="384"/>
      <c r="L53" s="386"/>
      <c r="M53" s="88"/>
      <c r="O53" s="292"/>
      <c r="P53" s="292"/>
      <c r="Q53" s="292"/>
    </row>
    <row r="54" spans="2:27" ht="12" customHeight="1" x14ac:dyDescent="0.3">
      <c r="B54" s="384"/>
      <c r="C54" s="384" t="s">
        <v>172</v>
      </c>
      <c r="D54" s="384"/>
      <c r="E54" s="384"/>
      <c r="F54" s="384"/>
      <c r="G54" s="365"/>
      <c r="H54" s="365"/>
      <c r="I54" s="365"/>
      <c r="J54" s="365"/>
      <c r="K54" s="384"/>
      <c r="L54" s="389"/>
      <c r="M54" s="88"/>
      <c r="O54" s="292"/>
      <c r="P54" s="292"/>
      <c r="Q54" s="292"/>
    </row>
    <row r="55" spans="2:27" ht="12" customHeight="1" x14ac:dyDescent="0.3">
      <c r="B55" s="384"/>
      <c r="C55" s="384"/>
      <c r="D55" s="477" t="s">
        <v>173</v>
      </c>
      <c r="E55" s="477"/>
      <c r="F55" s="477"/>
      <c r="G55" s="477"/>
      <c r="H55" s="477"/>
      <c r="I55" s="384"/>
      <c r="J55" s="384"/>
      <c r="K55" s="384"/>
      <c r="L55" s="389"/>
      <c r="M55" s="88"/>
      <c r="O55" s="292"/>
      <c r="P55" s="292"/>
      <c r="Q55" s="292"/>
    </row>
    <row r="56" spans="2:27" ht="12" customHeight="1" x14ac:dyDescent="0.3">
      <c r="B56" s="384"/>
      <c r="C56" s="384"/>
      <c r="D56" s="477"/>
      <c r="E56" s="477"/>
      <c r="F56" s="477"/>
      <c r="G56" s="477"/>
      <c r="H56" s="477"/>
      <c r="I56" s="384"/>
      <c r="J56" s="384"/>
      <c r="K56" s="384"/>
      <c r="L56" s="389"/>
      <c r="M56" s="88"/>
      <c r="O56" s="292"/>
      <c r="P56" s="292"/>
      <c r="Q56" s="292"/>
    </row>
    <row r="57" spans="2:27" ht="12" customHeight="1" x14ac:dyDescent="0.3">
      <c r="B57" s="384"/>
      <c r="C57" s="384"/>
      <c r="D57" s="390"/>
      <c r="E57" s="384"/>
      <c r="F57" s="390"/>
      <c r="G57" s="384"/>
      <c r="H57" s="384"/>
      <c r="I57" s="384"/>
      <c r="J57" s="384"/>
      <c r="K57" s="384"/>
      <c r="L57" s="389"/>
      <c r="M57" s="88"/>
      <c r="O57" s="292"/>
      <c r="P57" s="292"/>
      <c r="Q57" s="292"/>
    </row>
    <row r="58" spans="2:27" ht="12" customHeight="1" x14ac:dyDescent="0.3">
      <c r="B58" s="384" t="s">
        <v>174</v>
      </c>
      <c r="C58" s="384"/>
      <c r="D58" s="384"/>
      <c r="E58" s="384"/>
      <c r="F58" s="88"/>
      <c r="G58" s="384"/>
      <c r="H58" s="384"/>
      <c r="I58" s="384"/>
      <c r="J58" s="384"/>
      <c r="K58" s="384"/>
      <c r="L58" s="389"/>
      <c r="M58" s="88"/>
      <c r="O58" s="292"/>
      <c r="P58" s="292"/>
      <c r="Q58" s="292"/>
    </row>
    <row r="59" spans="2:27" ht="12" customHeight="1" x14ac:dyDescent="0.3">
      <c r="B59" s="390"/>
      <c r="C59" s="390"/>
      <c r="D59" s="390"/>
      <c r="E59" s="88"/>
      <c r="F59" s="390"/>
      <c r="G59" s="390"/>
      <c r="H59" s="390"/>
      <c r="I59" s="384"/>
      <c r="J59" s="384"/>
      <c r="K59" s="384"/>
      <c r="L59" s="389"/>
      <c r="M59" s="88"/>
      <c r="O59" s="292"/>
      <c r="P59" s="292"/>
      <c r="Q59" s="292"/>
    </row>
    <row r="60" spans="2:27" ht="12" customHeight="1" x14ac:dyDescent="0.3">
      <c r="B60" s="88"/>
      <c r="C60" s="390"/>
      <c r="D60" s="384" t="s">
        <v>240</v>
      </c>
      <c r="E60" s="384"/>
      <c r="F60" s="390"/>
      <c r="G60" s="390"/>
      <c r="H60" s="390"/>
      <c r="I60" s="384"/>
      <c r="J60" s="384"/>
      <c r="K60" s="384"/>
      <c r="L60" s="389"/>
      <c r="M60" s="88"/>
      <c r="O60" s="292"/>
      <c r="P60" s="292"/>
      <c r="Q60" s="292"/>
    </row>
    <row r="61" spans="2:27" ht="12" customHeight="1" x14ac:dyDescent="0.3">
      <c r="B61" s="88"/>
      <c r="C61" s="390"/>
      <c r="D61" s="390"/>
      <c r="E61" s="384"/>
      <c r="F61" s="390"/>
      <c r="G61" s="390"/>
      <c r="H61" s="390"/>
      <c r="I61" s="384"/>
      <c r="J61" s="384"/>
      <c r="K61" s="384"/>
      <c r="L61" s="389"/>
      <c r="M61" s="88"/>
      <c r="O61" s="292"/>
      <c r="P61" s="292"/>
      <c r="Q61" s="292"/>
    </row>
    <row r="62" spans="2:27" ht="12" customHeight="1" x14ac:dyDescent="0.3">
      <c r="B62" s="88"/>
      <c r="C62" s="391" t="s">
        <v>163</v>
      </c>
      <c r="D62" s="391"/>
      <c r="E62" s="392" t="s">
        <v>248</v>
      </c>
      <c r="F62" s="88"/>
      <c r="G62" s="384"/>
      <c r="H62" s="384"/>
      <c r="I62" s="384"/>
      <c r="J62" s="384"/>
      <c r="K62" s="384"/>
      <c r="L62" s="389"/>
      <c r="M62" s="88"/>
      <c r="O62" s="292"/>
      <c r="P62" s="292"/>
      <c r="Q62" s="292"/>
    </row>
    <row r="63" spans="2:27" ht="12" customHeight="1" x14ac:dyDescent="0.3">
      <c r="B63" s="88"/>
      <c r="C63" s="393"/>
      <c r="D63" s="394"/>
      <c r="E63" s="394"/>
      <c r="F63" s="88"/>
      <c r="G63" s="384"/>
      <c r="H63" s="384"/>
      <c r="I63" s="384"/>
      <c r="J63" s="384"/>
      <c r="K63" s="384"/>
      <c r="L63" s="389"/>
      <c r="M63" s="88"/>
      <c r="O63" s="292"/>
      <c r="P63" s="292"/>
      <c r="Q63" s="292"/>
    </row>
    <row r="64" spans="2:27" ht="12" customHeight="1" x14ac:dyDescent="0.3">
      <c r="B64" s="88"/>
      <c r="C64" s="395" t="s">
        <v>164</v>
      </c>
      <c r="D64" s="396"/>
      <c r="E64" s="396">
        <v>1</v>
      </c>
      <c r="F64" s="88"/>
      <c r="G64" s="386"/>
      <c r="H64" s="397"/>
      <c r="I64" s="389"/>
      <c r="J64" s="398"/>
      <c r="K64" s="384"/>
      <c r="L64" s="389"/>
      <c r="M64" s="88"/>
      <c r="O64" s="292"/>
      <c r="P64" s="292"/>
      <c r="Q64" s="292"/>
    </row>
    <row r="65" spans="2:17" ht="12" customHeight="1" x14ac:dyDescent="0.3">
      <c r="B65" s="88"/>
      <c r="C65" s="395" t="s">
        <v>165</v>
      </c>
      <c r="D65" s="396"/>
      <c r="E65" s="396">
        <v>2</v>
      </c>
      <c r="F65" s="88"/>
      <c r="G65" s="384"/>
      <c r="H65" s="384"/>
      <c r="I65" s="384"/>
      <c r="J65" s="384"/>
      <c r="K65" s="384"/>
      <c r="L65" s="389"/>
      <c r="M65" s="88"/>
      <c r="O65" s="292"/>
      <c r="P65" s="292"/>
      <c r="Q65" s="292"/>
    </row>
    <row r="66" spans="2:17" ht="12" customHeight="1" x14ac:dyDescent="0.3">
      <c r="B66" s="88"/>
      <c r="C66" s="395" t="s">
        <v>166</v>
      </c>
      <c r="D66" s="396"/>
      <c r="E66" s="396">
        <v>3</v>
      </c>
      <c r="F66" s="88"/>
      <c r="G66" s="384"/>
      <c r="H66" s="390"/>
      <c r="I66" s="390"/>
      <c r="J66" s="390"/>
      <c r="K66" s="384"/>
      <c r="L66" s="389"/>
      <c r="M66" s="88"/>
      <c r="O66" s="292"/>
      <c r="P66" s="292"/>
      <c r="Q66" s="292"/>
    </row>
    <row r="67" spans="2:17" ht="12" customHeight="1" x14ac:dyDescent="0.3">
      <c r="B67" s="390"/>
      <c r="C67" s="395" t="s">
        <v>167</v>
      </c>
      <c r="D67" s="396"/>
      <c r="E67" s="396">
        <v>4</v>
      </c>
      <c r="F67" s="88"/>
      <c r="G67" s="384"/>
      <c r="H67" s="384"/>
      <c r="I67" s="384"/>
      <c r="J67" s="384"/>
      <c r="K67" s="384"/>
      <c r="L67" s="389"/>
      <c r="M67" s="88"/>
      <c r="O67" s="292"/>
      <c r="P67" s="292"/>
      <c r="Q67" s="292"/>
    </row>
    <row r="68" spans="2:17" ht="12" customHeight="1" x14ac:dyDescent="0.3">
      <c r="B68" s="390"/>
      <c r="C68" s="395" t="s">
        <v>168</v>
      </c>
      <c r="D68" s="396"/>
      <c r="E68" s="396">
        <v>5</v>
      </c>
      <c r="F68" s="88"/>
      <c r="G68" s="384"/>
      <c r="H68" s="384"/>
      <c r="I68" s="384"/>
      <c r="J68" s="384"/>
      <c r="K68" s="384"/>
      <c r="L68" s="386"/>
      <c r="M68" s="88"/>
      <c r="O68" s="292"/>
      <c r="P68" s="292"/>
      <c r="Q68" s="292"/>
    </row>
    <row r="69" spans="2:17" ht="12" customHeight="1" x14ac:dyDescent="0.3">
      <c r="B69" s="384"/>
      <c r="C69" s="390"/>
      <c r="D69" s="390"/>
      <c r="E69" s="390"/>
      <c r="F69" s="384"/>
      <c r="G69" s="384"/>
      <c r="H69" s="384"/>
      <c r="I69" s="384"/>
      <c r="J69" s="384"/>
      <c r="K69" s="384"/>
      <c r="L69" s="384"/>
      <c r="M69" s="384"/>
      <c r="N69" s="293"/>
      <c r="O69" s="344"/>
      <c r="P69" s="344"/>
      <c r="Q69" s="344"/>
    </row>
    <row r="70" spans="2:17" ht="12" customHeight="1" x14ac:dyDescent="0.3">
      <c r="B70" s="384"/>
      <c r="C70" s="384"/>
      <c r="D70" s="384"/>
      <c r="E70" s="384"/>
      <c r="F70" s="384"/>
      <c r="G70" s="384"/>
      <c r="H70" s="399"/>
      <c r="I70" s="384"/>
      <c r="J70" s="384"/>
      <c r="K70" s="384"/>
      <c r="L70" s="365"/>
      <c r="M70" s="365"/>
      <c r="N70" s="292"/>
      <c r="O70" s="344"/>
      <c r="P70" s="344"/>
      <c r="Q70" s="344"/>
    </row>
    <row r="71" spans="2:17" ht="12" customHeight="1" x14ac:dyDescent="0.3">
      <c r="B71" s="365"/>
      <c r="C71" s="365"/>
      <c r="D71" s="365"/>
      <c r="E71" s="386"/>
      <c r="F71" s="400" t="s">
        <v>158</v>
      </c>
      <c r="G71" s="429">
        <f>M41</f>
        <v>0</v>
      </c>
      <c r="H71" s="428" t="s">
        <v>272</v>
      </c>
      <c r="I71" s="365"/>
      <c r="J71" s="365"/>
      <c r="K71" s="365"/>
      <c r="L71" s="365"/>
      <c r="M71" s="365"/>
      <c r="N71" s="292"/>
    </row>
    <row r="72" spans="2:17" ht="12" customHeight="1" x14ac:dyDescent="0.35">
      <c r="B72" s="401"/>
      <c r="C72" s="365"/>
      <c r="D72" s="473" t="s">
        <v>242</v>
      </c>
      <c r="E72" s="473"/>
      <c r="F72" s="473"/>
      <c r="G72" s="402">
        <f>'TRAFFIC &amp; ACCIDENTS'!D12</f>
        <v>0</v>
      </c>
      <c r="H72" s="403" t="s">
        <v>42</v>
      </c>
      <c r="I72" s="365"/>
      <c r="J72" s="365"/>
      <c r="K72" s="365"/>
      <c r="L72" s="364"/>
      <c r="M72" s="364"/>
      <c r="N72" s="344"/>
      <c r="O72" s="344"/>
      <c r="P72" s="344"/>
      <c r="Q72" s="344"/>
    </row>
    <row r="73" spans="2:17" ht="12" customHeight="1" x14ac:dyDescent="0.35">
      <c r="B73" s="401"/>
      <c r="C73" s="365"/>
      <c r="D73" s="365"/>
      <c r="E73" s="386"/>
      <c r="F73" s="386"/>
      <c r="G73" s="386"/>
      <c r="H73" s="386"/>
      <c r="I73" s="365"/>
      <c r="J73" s="365"/>
      <c r="K73" s="365"/>
      <c r="L73" s="364"/>
      <c r="M73" s="364"/>
      <c r="N73" s="344"/>
    </row>
    <row r="74" spans="2:17" ht="12" customHeight="1" x14ac:dyDescent="0.35">
      <c r="B74" s="404"/>
      <c r="C74" s="401"/>
      <c r="D74" s="365"/>
      <c r="E74" s="386"/>
      <c r="F74" s="405" t="s">
        <v>163</v>
      </c>
      <c r="G74" s="389">
        <f>IF('2R RATING SUMMARY'!F6=0,0,G71/(3*G72))</f>
        <v>0</v>
      </c>
      <c r="H74" s="386"/>
      <c r="I74" s="365"/>
      <c r="J74" s="365"/>
      <c r="K74" s="88"/>
      <c r="L74" s="365"/>
      <c r="M74" s="88"/>
      <c r="N74" s="345"/>
    </row>
    <row r="75" spans="2:17" ht="12" customHeight="1" x14ac:dyDescent="0.35">
      <c r="B75" s="404"/>
      <c r="C75" s="401"/>
      <c r="D75" s="365"/>
      <c r="E75" s="406"/>
      <c r="F75" s="397" t="s">
        <v>2</v>
      </c>
      <c r="G75" s="413">
        <f>IF(G74*10&gt;5,5,G74*10)</f>
        <v>0</v>
      </c>
      <c r="H75" s="386" t="s">
        <v>247</v>
      </c>
      <c r="I75" s="365"/>
      <c r="J75" s="365"/>
      <c r="K75" s="365"/>
      <c r="L75" s="364"/>
      <c r="M75" s="364"/>
      <c r="N75" s="344"/>
      <c r="O75" s="293"/>
      <c r="P75" s="293"/>
      <c r="Q75" s="293"/>
    </row>
    <row r="76" spans="2:17" ht="12" customHeight="1" x14ac:dyDescent="0.3">
      <c r="B76" s="88"/>
      <c r="C76" s="404"/>
      <c r="D76" s="407"/>
      <c r="E76" s="386"/>
      <c r="F76" s="397"/>
      <c r="G76" s="414"/>
      <c r="H76" s="404"/>
      <c r="I76" s="408"/>
      <c r="J76" s="409"/>
      <c r="K76" s="361"/>
      <c r="L76" s="88"/>
      <c r="M76" s="88"/>
    </row>
    <row r="77" spans="2:17" ht="12" customHeight="1" x14ac:dyDescent="0.3">
      <c r="B77" s="88"/>
      <c r="C77" s="404"/>
      <c r="D77" s="404"/>
      <c r="E77" s="404"/>
      <c r="F77" s="404"/>
      <c r="G77" s="404"/>
      <c r="H77" s="404"/>
      <c r="I77" s="404"/>
      <c r="J77" s="361"/>
      <c r="K77" s="361"/>
      <c r="L77" s="88"/>
      <c r="M77" s="88"/>
    </row>
    <row r="78" spans="2:17" ht="12" customHeight="1" x14ac:dyDescent="0.3">
      <c r="B78" s="384"/>
      <c r="C78" s="390"/>
      <c r="D78" s="88"/>
      <c r="E78" s="88"/>
      <c r="F78" s="384"/>
      <c r="G78" s="88"/>
      <c r="H78" s="88"/>
      <c r="I78" s="88"/>
      <c r="J78" s="88"/>
      <c r="K78" s="88"/>
      <c r="L78" s="88"/>
      <c r="M78" s="88"/>
      <c r="N78" s="293"/>
    </row>
  </sheetData>
  <sheetProtection algorithmName="SHA-512" hashValue="/h5X4MKg+O6Gp0Mn2poDE1CqeoU7OAoAuVn753pW+rS3fQ+wxoymOyxgY1//b+fGJb3tSZjejNx5XHpZEL0HBA==" saltValue="hzBPSsfM/sEVF0SiY+oZsA==" spinCount="100000" sheet="1" selectLockedCells="1"/>
  <mergeCells count="12">
    <mergeCell ref="I5:J7"/>
    <mergeCell ref="C2:M4"/>
    <mergeCell ref="B5:C5"/>
    <mergeCell ref="K14:M16"/>
    <mergeCell ref="B18:B20"/>
    <mergeCell ref="D72:F72"/>
    <mergeCell ref="B14:G15"/>
    <mergeCell ref="L50:L52"/>
    <mergeCell ref="D55:H56"/>
    <mergeCell ref="X13:AA13"/>
    <mergeCell ref="R13:T14"/>
    <mergeCell ref="H21:J24"/>
  </mergeCells>
  <conditionalFormatting sqref="C42 K42">
    <cfRule type="expression" dxfId="30" priority="22" stopIfTrue="1">
      <formula>ISERROR($J$69)</formula>
    </cfRule>
  </conditionalFormatting>
  <conditionalFormatting sqref="F21:F28 F35:F40">
    <cfRule type="expression" dxfId="29" priority="20" stopIfTrue="1">
      <formula>ISERROR($J$57)</formula>
    </cfRule>
  </conditionalFormatting>
  <conditionalFormatting sqref="F41">
    <cfRule type="expression" dxfId="28" priority="18" stopIfTrue="1">
      <formula>ISERROR($E$111)</formula>
    </cfRule>
  </conditionalFormatting>
  <conditionalFormatting sqref="X18">
    <cfRule type="expression" dxfId="27" priority="17" stopIfTrue="1">
      <formula>ISERROR($M$6)</formula>
    </cfRule>
  </conditionalFormatting>
  <conditionalFormatting sqref="R22">
    <cfRule type="expression" dxfId="26" priority="16" stopIfTrue="1">
      <formula>ISERROR($M$8)</formula>
    </cfRule>
  </conditionalFormatting>
  <conditionalFormatting sqref="E41">
    <cfRule type="expression" dxfId="25" priority="73" stopIfTrue="1">
      <formula>ISERROR($K$39)</formula>
    </cfRule>
  </conditionalFormatting>
  <conditionalFormatting sqref="G21:G28 G35:G40">
    <cfRule type="expression" dxfId="24" priority="74" stopIfTrue="1">
      <formula>ISERROR($K$20)</formula>
    </cfRule>
  </conditionalFormatting>
  <conditionalFormatting sqref="I20">
    <cfRule type="expression" dxfId="23" priority="10">
      <formula>0</formula>
    </cfRule>
  </conditionalFormatting>
  <conditionalFormatting sqref="I25">
    <cfRule type="containsErrors" dxfId="22" priority="9" stopIfTrue="1">
      <formula>ISERROR(I25)</formula>
    </cfRule>
  </conditionalFormatting>
  <conditionalFormatting sqref="D41">
    <cfRule type="containsErrors" dxfId="21" priority="8" stopIfTrue="1">
      <formula>ISERROR(D41)</formula>
    </cfRule>
  </conditionalFormatting>
  <conditionalFormatting sqref="F21:F28 F35:F41">
    <cfRule type="containsErrors" dxfId="20" priority="7" stopIfTrue="1">
      <formula>ISERROR(F21)</formula>
    </cfRule>
  </conditionalFormatting>
  <conditionalFormatting sqref="L21:M28 L35:M41">
    <cfRule type="containsErrors" dxfId="19" priority="5" stopIfTrue="1">
      <formula>ISERROR(L21)</formula>
    </cfRule>
  </conditionalFormatting>
  <conditionalFormatting sqref="F29:F34">
    <cfRule type="expression" dxfId="18" priority="3" stopIfTrue="1">
      <formula>ISERROR($J$57)</formula>
    </cfRule>
  </conditionalFormatting>
  <conditionalFormatting sqref="G29:G34">
    <cfRule type="expression" dxfId="17" priority="4" stopIfTrue="1">
      <formula>ISERROR($K$20)</formula>
    </cfRule>
  </conditionalFormatting>
  <conditionalFormatting sqref="F29:F34">
    <cfRule type="containsErrors" dxfId="16" priority="2" stopIfTrue="1">
      <formula>ISERROR(F29)</formula>
    </cfRule>
  </conditionalFormatting>
  <conditionalFormatting sqref="L29:M34">
    <cfRule type="containsErrors" dxfId="15" priority="1" stopIfTrue="1">
      <formula>ISERROR(L29)</formula>
    </cfRule>
  </conditionalFormatting>
  <pageMargins left="0.7" right="0.7" top="0.75" bottom="0.75" header="0.3" footer="0.3"/>
  <pageSetup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43"/>
  <sheetViews>
    <sheetView showGridLines="0" zoomScaleNormal="100" workbookViewId="0">
      <selection activeCell="C19" sqref="C19"/>
    </sheetView>
  </sheetViews>
  <sheetFormatPr defaultColWidth="9.1796875" defaultRowHeight="13" x14ac:dyDescent="0.3"/>
  <cols>
    <col min="1" max="1" width="7.26953125" style="204" customWidth="1"/>
    <col min="2" max="2" width="5.81640625" style="204" customWidth="1"/>
    <col min="3" max="12" width="9.1796875" style="204"/>
    <col min="13" max="13" width="1.26953125" style="204" customWidth="1"/>
    <col min="14" max="16384" width="9.1796875" style="204"/>
  </cols>
  <sheetData>
    <row r="2" spans="2:26" ht="13.5" thickBot="1" x14ac:dyDescent="0.35"/>
    <row r="3" spans="2:26" ht="12.75" customHeight="1" x14ac:dyDescent="0.3">
      <c r="B3" s="492" t="s">
        <v>175</v>
      </c>
      <c r="C3" s="483"/>
      <c r="D3" s="483"/>
      <c r="E3" s="483"/>
      <c r="F3" s="483"/>
      <c r="G3" s="483"/>
      <c r="H3" s="483"/>
      <c r="I3" s="483"/>
      <c r="J3" s="483"/>
      <c r="K3" s="483"/>
      <c r="L3" s="493"/>
      <c r="O3" s="114"/>
      <c r="P3" s="115"/>
      <c r="Q3" s="116"/>
      <c r="R3" s="115"/>
      <c r="S3" s="115"/>
      <c r="T3" s="115"/>
      <c r="U3" s="115"/>
      <c r="V3" s="117"/>
      <c r="W3" s="117"/>
      <c r="X3" s="117"/>
      <c r="Y3" s="115"/>
      <c r="Z3" s="118"/>
    </row>
    <row r="4" spans="2:26" ht="12.75" customHeight="1" x14ac:dyDescent="0.3">
      <c r="B4" s="494"/>
      <c r="C4" s="458"/>
      <c r="D4" s="458"/>
      <c r="E4" s="458"/>
      <c r="F4" s="458"/>
      <c r="G4" s="458"/>
      <c r="H4" s="458"/>
      <c r="I4" s="458"/>
      <c r="J4" s="458"/>
      <c r="K4" s="458"/>
      <c r="L4" s="495"/>
      <c r="O4" s="119"/>
      <c r="P4" s="12"/>
      <c r="Q4" s="12"/>
      <c r="R4" s="181" t="s">
        <v>176</v>
      </c>
      <c r="S4" s="8"/>
      <c r="T4" s="12"/>
      <c r="U4" s="12"/>
      <c r="V4" s="12"/>
      <c r="W4" s="12"/>
      <c r="X4" s="12"/>
      <c r="Y4" s="12"/>
      <c r="Z4" s="108"/>
    </row>
    <row r="5" spans="2:26" x14ac:dyDescent="0.3">
      <c r="B5" s="494"/>
      <c r="C5" s="458"/>
      <c r="D5" s="458"/>
      <c r="E5" s="458"/>
      <c r="F5" s="458"/>
      <c r="G5" s="458"/>
      <c r="H5" s="458"/>
      <c r="I5" s="458"/>
      <c r="J5" s="458"/>
      <c r="K5" s="458"/>
      <c r="L5" s="495"/>
      <c r="O5" s="119"/>
      <c r="P5" s="12"/>
      <c r="Q5" s="12"/>
      <c r="R5" s="12"/>
      <c r="S5" s="12"/>
      <c r="T5" s="12"/>
      <c r="U5" s="12"/>
      <c r="V5" s="12"/>
      <c r="W5" s="12"/>
      <c r="X5" s="8"/>
      <c r="Y5" s="20" t="s">
        <v>82</v>
      </c>
      <c r="Z5" s="108"/>
    </row>
    <row r="6" spans="2:26" x14ac:dyDescent="0.3">
      <c r="B6" s="148"/>
      <c r="C6" s="36"/>
      <c r="D6" s="36"/>
      <c r="E6" s="36"/>
      <c r="F6" s="106"/>
      <c r="G6" s="36"/>
      <c r="H6" s="36"/>
      <c r="I6" s="15"/>
      <c r="J6" s="54"/>
      <c r="K6" s="54"/>
      <c r="L6" s="150"/>
      <c r="O6" s="119"/>
      <c r="P6" s="12"/>
      <c r="Q6" s="182" t="s">
        <v>177</v>
      </c>
      <c r="R6" s="12"/>
      <c r="S6" s="12"/>
      <c r="T6" s="12"/>
      <c r="U6" s="12"/>
      <c r="V6" s="12"/>
      <c r="W6" s="24"/>
      <c r="X6" s="8"/>
      <c r="Y6" s="18" t="str">
        <f>GEOMETRY!U50</f>
        <v/>
      </c>
      <c r="Z6" s="107"/>
    </row>
    <row r="7" spans="2:26" x14ac:dyDescent="0.3">
      <c r="B7" s="198" t="s">
        <v>192</v>
      </c>
      <c r="C7" s="36"/>
      <c r="D7" s="36"/>
      <c r="E7" s="36"/>
      <c r="F7" s="36"/>
      <c r="G7" s="173"/>
      <c r="H7" s="173"/>
      <c r="I7" s="36"/>
      <c r="J7" s="36"/>
      <c r="K7" s="54"/>
      <c r="L7" s="150"/>
      <c r="O7" s="119"/>
      <c r="P7" s="12"/>
      <c r="Q7" s="46" t="s">
        <v>83</v>
      </c>
      <c r="R7" s="12"/>
      <c r="S7" s="12"/>
      <c r="T7" s="12"/>
      <c r="U7" s="12"/>
      <c r="V7" s="12"/>
      <c r="W7" s="24"/>
      <c r="X7" s="12"/>
      <c r="Y7" s="12"/>
      <c r="Z7" s="107"/>
    </row>
    <row r="8" spans="2:26" x14ac:dyDescent="0.3">
      <c r="B8" s="199">
        <v>1</v>
      </c>
      <c r="C8" s="174" t="s">
        <v>117</v>
      </c>
      <c r="D8" s="36"/>
      <c r="E8" s="36"/>
      <c r="F8" s="36"/>
      <c r="G8" s="36"/>
      <c r="H8" s="36"/>
      <c r="I8" s="36"/>
      <c r="J8" s="36"/>
      <c r="K8" s="15"/>
      <c r="L8" s="150"/>
      <c r="O8" s="119"/>
      <c r="P8" s="19" t="s">
        <v>84</v>
      </c>
      <c r="Q8" s="24"/>
      <c r="R8" s="24"/>
      <c r="S8" s="12" t="s">
        <v>115</v>
      </c>
      <c r="T8" s="24"/>
      <c r="U8" s="24"/>
      <c r="V8" s="24"/>
      <c r="W8" s="24"/>
      <c r="X8" s="12"/>
      <c r="Y8" s="12"/>
      <c r="Z8" s="107"/>
    </row>
    <row r="9" spans="2:26" x14ac:dyDescent="0.3">
      <c r="B9" s="148"/>
      <c r="C9" s="36"/>
      <c r="D9" s="36"/>
      <c r="E9" s="36"/>
      <c r="F9" s="36"/>
      <c r="G9" s="36"/>
      <c r="H9" s="36"/>
      <c r="I9" s="36"/>
      <c r="J9" s="36"/>
      <c r="K9" s="15"/>
      <c r="L9" s="150"/>
      <c r="O9" s="119"/>
      <c r="P9" s="12"/>
      <c r="Q9" s="12"/>
      <c r="R9" s="12"/>
      <c r="S9" s="12"/>
      <c r="T9" s="12"/>
      <c r="U9" s="46"/>
      <c r="V9" s="12"/>
      <c r="W9" s="29" t="s">
        <v>0</v>
      </c>
      <c r="X9" s="12"/>
      <c r="Y9" s="12"/>
      <c r="Z9" s="107"/>
    </row>
    <row r="10" spans="2:26" x14ac:dyDescent="0.3">
      <c r="B10" s="148"/>
      <c r="C10" s="141"/>
      <c r="D10" s="159" t="s">
        <v>179</v>
      </c>
      <c r="E10" s="36"/>
      <c r="F10" s="36"/>
      <c r="G10" s="36"/>
      <c r="H10" s="36"/>
      <c r="I10" s="36"/>
      <c r="J10" s="36"/>
      <c r="K10" s="15"/>
      <c r="L10" s="150"/>
      <c r="O10" s="119"/>
      <c r="P10" s="20"/>
      <c r="Q10" s="32" t="s">
        <v>85</v>
      </c>
      <c r="R10" s="12"/>
      <c r="S10" s="12"/>
      <c r="T10" s="12"/>
      <c r="U10" s="32"/>
      <c r="V10" s="12"/>
      <c r="W10" s="48" t="s">
        <v>2</v>
      </c>
      <c r="X10" s="12"/>
      <c r="Y10" s="12"/>
      <c r="Z10" s="107"/>
    </row>
    <row r="11" spans="2:26" x14ac:dyDescent="0.3">
      <c r="B11" s="148"/>
      <c r="C11" s="36"/>
      <c r="D11" s="36"/>
      <c r="E11" s="36"/>
      <c r="F11" s="36"/>
      <c r="G11" s="36"/>
      <c r="H11" s="36"/>
      <c r="I11" s="36"/>
      <c r="J11" s="36"/>
      <c r="K11" s="15"/>
      <c r="L11" s="150"/>
      <c r="O11" s="119"/>
      <c r="P11" s="20"/>
      <c r="Q11" s="12"/>
      <c r="R11" s="12"/>
      <c r="S11" s="12"/>
      <c r="T11" s="12"/>
      <c r="U11" s="18"/>
      <c r="V11" s="12"/>
      <c r="W11" s="29"/>
      <c r="X11" s="12"/>
      <c r="Y11" s="12"/>
      <c r="Z11" s="107"/>
    </row>
    <row r="12" spans="2:26" ht="12.75" customHeight="1" x14ac:dyDescent="0.3">
      <c r="B12" s="148"/>
      <c r="C12" s="33">
        <f>'TRAFFIC &amp; ACCIDENTS'!D12</f>
        <v>0</v>
      </c>
      <c r="D12" s="36" t="s">
        <v>86</v>
      </c>
      <c r="E12" s="36"/>
      <c r="F12" s="36"/>
      <c r="G12" s="489" t="s">
        <v>180</v>
      </c>
      <c r="H12" s="490"/>
      <c r="I12" s="13"/>
      <c r="J12" s="9"/>
      <c r="K12" s="197"/>
      <c r="L12" s="47"/>
      <c r="O12" s="119"/>
      <c r="P12" s="120">
        <v>1</v>
      </c>
      <c r="Q12" s="12" t="s">
        <v>87</v>
      </c>
      <c r="R12" s="12"/>
      <c r="S12" s="12"/>
      <c r="T12" s="12"/>
      <c r="U12" s="12"/>
      <c r="V12" s="12"/>
      <c r="W12" s="29">
        <v>5</v>
      </c>
      <c r="X12" s="12"/>
      <c r="Y12" s="12"/>
      <c r="Z12" s="107"/>
    </row>
    <row r="13" spans="2:26" ht="12.75" customHeight="1" x14ac:dyDescent="0.3">
      <c r="B13" s="148"/>
      <c r="C13" s="36"/>
      <c r="D13" s="36"/>
      <c r="E13" s="36"/>
      <c r="F13" s="36"/>
      <c r="G13" s="490"/>
      <c r="H13" s="490"/>
      <c r="I13" s="486" t="s">
        <v>206</v>
      </c>
      <c r="J13" s="486"/>
      <c r="K13" s="281" t="s">
        <v>221</v>
      </c>
      <c r="L13" s="202"/>
      <c r="O13" s="119"/>
      <c r="P13" s="120"/>
      <c r="Q13" s="12"/>
      <c r="R13" s="12" t="s">
        <v>88</v>
      </c>
      <c r="S13" s="12"/>
      <c r="T13" s="12"/>
      <c r="U13" s="18"/>
      <c r="V13" s="12"/>
      <c r="W13" s="29"/>
      <c r="X13" s="12"/>
      <c r="Y13" s="12"/>
      <c r="Z13" s="107"/>
    </row>
    <row r="14" spans="2:26" x14ac:dyDescent="0.3">
      <c r="B14" s="148"/>
      <c r="C14" s="35">
        <f>IF(C12=0,0,C10/C12)</f>
        <v>0</v>
      </c>
      <c r="D14" s="159" t="s">
        <v>118</v>
      </c>
      <c r="E14" s="177">
        <f>C14*5</f>
        <v>0</v>
      </c>
      <c r="F14" s="36" t="s">
        <v>89</v>
      </c>
      <c r="G14" s="490"/>
      <c r="H14" s="490"/>
      <c r="I14" s="486"/>
      <c r="J14" s="486"/>
      <c r="K14" s="34"/>
      <c r="L14" s="47"/>
      <c r="O14" s="119"/>
      <c r="P14" s="120"/>
      <c r="Q14" s="12"/>
      <c r="R14" s="12" t="s">
        <v>90</v>
      </c>
      <c r="S14" s="12"/>
      <c r="T14" s="12"/>
      <c r="U14" s="18"/>
      <c r="V14" s="12"/>
      <c r="W14" s="29"/>
      <c r="X14" s="12"/>
      <c r="Y14" s="36"/>
      <c r="Z14" s="121"/>
    </row>
    <row r="15" spans="2:26" x14ac:dyDescent="0.3">
      <c r="B15" s="148"/>
      <c r="C15" s="37"/>
      <c r="D15" s="36"/>
      <c r="E15" s="36"/>
      <c r="F15" s="36"/>
      <c r="G15" s="36"/>
      <c r="H15" s="36"/>
      <c r="I15" s="175"/>
      <c r="J15" s="176"/>
      <c r="K15" s="34"/>
      <c r="L15" s="47"/>
      <c r="O15" s="119"/>
      <c r="P15" s="120"/>
      <c r="Q15" s="28" t="s">
        <v>189</v>
      </c>
      <c r="R15" s="12"/>
      <c r="S15" s="12"/>
      <c r="T15" s="12"/>
      <c r="U15" s="18"/>
      <c r="V15" s="12"/>
      <c r="W15" s="29"/>
      <c r="X15" s="12"/>
      <c r="Y15" s="36"/>
      <c r="Z15" s="122"/>
    </row>
    <row r="16" spans="2:26" ht="12.75" customHeight="1" x14ac:dyDescent="0.3">
      <c r="B16" s="148"/>
      <c r="C16" s="36"/>
      <c r="D16" s="36"/>
      <c r="E16" s="36"/>
      <c r="F16" s="36"/>
      <c r="G16" s="36"/>
      <c r="H16" s="496" t="s">
        <v>182</v>
      </c>
      <c r="I16" s="496"/>
      <c r="J16" s="496"/>
      <c r="K16" s="496"/>
      <c r="L16" s="47"/>
      <c r="O16" s="119"/>
      <c r="P16" s="120"/>
      <c r="Q16" s="12"/>
      <c r="R16" s="12"/>
      <c r="S16" s="12"/>
      <c r="T16" s="12"/>
      <c r="U16" s="18"/>
      <c r="V16" s="12"/>
      <c r="W16" s="29"/>
      <c r="X16" s="12"/>
      <c r="Y16" s="15"/>
      <c r="Z16" s="123"/>
    </row>
    <row r="17" spans="2:26" x14ac:dyDescent="0.3">
      <c r="B17" s="199">
        <v>2</v>
      </c>
      <c r="C17" s="174" t="s">
        <v>91</v>
      </c>
      <c r="D17" s="36"/>
      <c r="E17" s="36"/>
      <c r="F17" s="36"/>
      <c r="G17" s="36"/>
      <c r="H17" s="496"/>
      <c r="I17" s="496"/>
      <c r="J17" s="496"/>
      <c r="K17" s="496"/>
      <c r="L17" s="47"/>
      <c r="O17" s="119"/>
      <c r="P17" s="120"/>
      <c r="Q17" s="12"/>
      <c r="R17" s="12"/>
      <c r="S17" s="12"/>
      <c r="T17" s="12"/>
      <c r="U17" s="18"/>
      <c r="V17" s="12"/>
      <c r="W17" s="29"/>
      <c r="X17" s="12"/>
      <c r="Y17" s="15"/>
      <c r="Z17" s="123"/>
    </row>
    <row r="18" spans="2:26" x14ac:dyDescent="0.3">
      <c r="B18" s="148"/>
      <c r="C18" s="36"/>
      <c r="D18" s="36"/>
      <c r="E18" s="36"/>
      <c r="F18" s="36"/>
      <c r="G18" s="36"/>
      <c r="H18" s="496"/>
      <c r="I18" s="496"/>
      <c r="J18" s="496"/>
      <c r="K18" s="496"/>
      <c r="L18" s="150"/>
      <c r="O18" s="119"/>
      <c r="P18" s="120">
        <v>2</v>
      </c>
      <c r="Q18" s="12" t="s">
        <v>79</v>
      </c>
      <c r="R18" s="12"/>
      <c r="S18" s="12"/>
      <c r="T18" s="12"/>
      <c r="U18" s="12"/>
      <c r="V18" s="12"/>
      <c r="W18" s="29">
        <v>5</v>
      </c>
      <c r="X18" s="12"/>
      <c r="Y18" s="36"/>
      <c r="Z18" s="124"/>
    </row>
    <row r="19" spans="2:26" x14ac:dyDescent="0.3">
      <c r="B19" s="148"/>
      <c r="C19" s="235"/>
      <c r="D19" s="36" t="s">
        <v>92</v>
      </c>
      <c r="E19" s="36"/>
      <c r="F19" s="36"/>
      <c r="G19" s="36"/>
      <c r="H19" s="36"/>
      <c r="I19" s="36"/>
      <c r="J19" s="36"/>
      <c r="K19" s="36"/>
      <c r="L19" s="150"/>
      <c r="O19" s="119"/>
      <c r="P19" s="120"/>
      <c r="Q19" s="12"/>
      <c r="R19" s="12" t="s">
        <v>93</v>
      </c>
      <c r="S19" s="12"/>
      <c r="T19" s="12"/>
      <c r="U19" s="18"/>
      <c r="V19" s="12"/>
      <c r="W19" s="29"/>
      <c r="X19" s="12"/>
      <c r="Y19" s="36"/>
      <c r="Z19" s="124"/>
    </row>
    <row r="20" spans="2:26" x14ac:dyDescent="0.3">
      <c r="B20" s="148"/>
      <c r="C20" s="15"/>
      <c r="D20" s="36"/>
      <c r="E20" s="36"/>
      <c r="F20" s="36"/>
      <c r="G20" s="36"/>
      <c r="H20" s="36"/>
      <c r="I20" s="36"/>
      <c r="J20" s="36"/>
      <c r="K20" s="36"/>
      <c r="L20" s="150"/>
      <c r="O20" s="119"/>
      <c r="P20" s="120"/>
      <c r="Q20" s="12"/>
      <c r="R20" s="12" t="s">
        <v>94</v>
      </c>
      <c r="S20" s="12"/>
      <c r="T20" s="12"/>
      <c r="U20" s="18"/>
      <c r="V20" s="12"/>
      <c r="W20" s="29"/>
      <c r="X20" s="12"/>
      <c r="Y20" s="15"/>
      <c r="Z20" s="125"/>
    </row>
    <row r="21" spans="2:26" x14ac:dyDescent="0.3">
      <c r="B21" s="148"/>
      <c r="C21" s="15"/>
      <c r="D21" s="36"/>
      <c r="E21" s="36"/>
      <c r="F21" s="36"/>
      <c r="G21" s="36"/>
      <c r="H21" s="36"/>
      <c r="I21" s="36"/>
      <c r="J21" s="36"/>
      <c r="K21" s="36"/>
      <c r="L21" s="150"/>
      <c r="O21" s="119"/>
      <c r="P21" s="120"/>
      <c r="Q21" s="12"/>
      <c r="R21" s="12" t="s">
        <v>95</v>
      </c>
      <c r="S21" s="12"/>
      <c r="T21" s="12"/>
      <c r="U21" s="18"/>
      <c r="V21" s="12"/>
      <c r="W21" s="29"/>
      <c r="X21" s="20"/>
      <c r="Y21" s="15"/>
      <c r="Z21" s="125"/>
    </row>
    <row r="22" spans="2:26" x14ac:dyDescent="0.3">
      <c r="B22" s="199">
        <v>3</v>
      </c>
      <c r="C22" s="174" t="s">
        <v>148</v>
      </c>
      <c r="D22" s="36"/>
      <c r="E22" s="36"/>
      <c r="F22" s="36"/>
      <c r="G22" s="417" t="s">
        <v>264</v>
      </c>
      <c r="H22" s="36"/>
      <c r="I22" s="36"/>
      <c r="J22" s="36"/>
      <c r="K22" s="36"/>
      <c r="L22" s="150"/>
      <c r="O22" s="119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07"/>
    </row>
    <row r="23" spans="2:26" x14ac:dyDescent="0.3">
      <c r="B23" s="199"/>
      <c r="C23" s="174"/>
      <c r="D23" s="36"/>
      <c r="E23" s="36"/>
      <c r="F23" s="36"/>
      <c r="G23" s="36"/>
      <c r="H23" s="36"/>
      <c r="I23" s="36"/>
      <c r="J23" s="36"/>
      <c r="K23" s="36"/>
      <c r="L23" s="150"/>
      <c r="O23" s="119"/>
      <c r="P23" s="120">
        <v>3</v>
      </c>
      <c r="Q23" s="12" t="s">
        <v>96</v>
      </c>
      <c r="R23" s="12"/>
      <c r="S23" s="12"/>
      <c r="T23" s="12"/>
      <c r="U23" s="18"/>
      <c r="V23" s="12"/>
      <c r="W23" s="29">
        <v>5</v>
      </c>
      <c r="X23" s="12"/>
      <c r="Y23" s="12"/>
      <c r="Z23" s="107"/>
    </row>
    <row r="24" spans="2:26" x14ac:dyDescent="0.3">
      <c r="B24" s="199"/>
      <c r="C24" s="174"/>
      <c r="D24" s="235"/>
      <c r="E24" s="36" t="s">
        <v>112</v>
      </c>
      <c r="F24" s="36"/>
      <c r="G24" s="36"/>
      <c r="H24" s="36"/>
      <c r="I24" s="36"/>
      <c r="J24" s="36"/>
      <c r="K24" s="36"/>
      <c r="L24" s="150"/>
      <c r="O24" s="119"/>
      <c r="P24" s="120"/>
      <c r="Q24" s="20" t="s">
        <v>98</v>
      </c>
      <c r="R24" s="12" t="s">
        <v>99</v>
      </c>
      <c r="S24" s="12"/>
      <c r="T24" s="12"/>
      <c r="U24" s="12"/>
      <c r="V24" s="12"/>
      <c r="W24" s="12"/>
      <c r="X24" s="12"/>
      <c r="Y24" s="12"/>
      <c r="Z24" s="107"/>
    </row>
    <row r="25" spans="2:26" x14ac:dyDescent="0.3">
      <c r="B25" s="199"/>
      <c r="C25" s="174"/>
      <c r="D25" s="416"/>
      <c r="E25" s="36" t="s">
        <v>265</v>
      </c>
      <c r="F25" s="36"/>
      <c r="G25" s="36"/>
      <c r="H25" s="36"/>
      <c r="I25" s="36"/>
      <c r="J25" s="36"/>
      <c r="K25" s="36"/>
      <c r="L25" s="150"/>
      <c r="O25" s="119"/>
      <c r="P25" s="120"/>
      <c r="Q25" s="12"/>
      <c r="R25" s="126" t="s">
        <v>100</v>
      </c>
      <c r="S25" s="12"/>
      <c r="T25" s="12"/>
      <c r="U25" s="12"/>
      <c r="V25" s="12"/>
      <c r="W25" s="12"/>
      <c r="X25" s="12"/>
      <c r="Y25" s="12"/>
      <c r="Z25" s="107"/>
    </row>
    <row r="26" spans="2:26" x14ac:dyDescent="0.3">
      <c r="B26" s="199"/>
      <c r="C26" s="174"/>
      <c r="D26" s="33" t="e">
        <f>D24/'TRAFFIC &amp; ACCIDENTS'!D12</f>
        <v>#DIV/0!</v>
      </c>
      <c r="E26" s="36" t="s">
        <v>97</v>
      </c>
      <c r="F26" s="36"/>
      <c r="G26" s="178"/>
      <c r="H26" s="178"/>
      <c r="I26" s="36"/>
      <c r="J26" s="36"/>
      <c r="K26" s="36"/>
      <c r="L26" s="150"/>
      <c r="O26" s="119"/>
      <c r="P26" s="120"/>
      <c r="Q26" s="12"/>
      <c r="R26" s="126" t="s">
        <v>102</v>
      </c>
      <c r="S26" s="12"/>
      <c r="T26" s="12"/>
      <c r="U26" s="12"/>
      <c r="V26" s="12"/>
      <c r="W26" s="29"/>
      <c r="X26" s="12"/>
      <c r="Y26" s="12"/>
      <c r="Z26" s="107"/>
    </row>
    <row r="27" spans="2:26" x14ac:dyDescent="0.3">
      <c r="B27" s="199"/>
      <c r="C27" s="174"/>
      <c r="D27" s="36"/>
      <c r="E27" s="36"/>
      <c r="F27" s="36"/>
      <c r="G27" s="36"/>
      <c r="H27" s="36"/>
      <c r="I27" s="36"/>
      <c r="J27" s="36"/>
      <c r="K27" s="36"/>
      <c r="L27" s="150"/>
      <c r="O27" s="119"/>
      <c r="P27" s="120"/>
      <c r="Q27" s="12"/>
      <c r="R27" s="127" t="s">
        <v>114</v>
      </c>
      <c r="S27" s="12"/>
      <c r="T27" s="12"/>
      <c r="U27" s="12"/>
      <c r="V27" s="18"/>
      <c r="W27" s="39"/>
      <c r="X27" s="15"/>
      <c r="Y27" s="36"/>
      <c r="Z27" s="124"/>
    </row>
    <row r="28" spans="2:26" x14ac:dyDescent="0.3">
      <c r="B28" s="148"/>
      <c r="C28" s="36"/>
      <c r="D28" s="38"/>
      <c r="E28" s="36"/>
      <c r="F28" s="38" t="s">
        <v>101</v>
      </c>
      <c r="G28" s="36"/>
      <c r="H28" s="36"/>
      <c r="I28" s="410" t="s">
        <v>261</v>
      </c>
      <c r="J28" s="36"/>
      <c r="K28" s="36"/>
      <c r="L28" s="150"/>
      <c r="O28" s="119"/>
      <c r="P28" s="120"/>
      <c r="Q28" s="12"/>
      <c r="R28" s="12"/>
      <c r="S28" s="12"/>
      <c r="T28" s="12"/>
      <c r="U28" s="12"/>
      <c r="V28" s="18"/>
      <c r="W28" s="36"/>
      <c r="X28" s="15"/>
      <c r="Y28" s="36"/>
      <c r="Z28" s="124"/>
    </row>
    <row r="29" spans="2:26" x14ac:dyDescent="0.3">
      <c r="B29" s="148"/>
      <c r="C29" s="491"/>
      <c r="D29" s="14" t="e">
        <f>IF(AND(D26&gt;=1,D26&lt;5),"X","")</f>
        <v>#DIV/0!</v>
      </c>
      <c r="E29" s="77" t="s">
        <v>103</v>
      </c>
      <c r="F29" s="200" t="e">
        <f>IF(D29&lt;&gt;"",2,"")</f>
        <v>#DIV/0!</v>
      </c>
      <c r="G29" s="239" t="e">
        <f>IF(F29="","",1)</f>
        <v>#DIV/0!</v>
      </c>
      <c r="H29" s="75"/>
      <c r="I29" s="36" t="s">
        <v>104</v>
      </c>
      <c r="J29" s="36"/>
      <c r="K29" s="36"/>
      <c r="L29" s="150"/>
      <c r="O29" s="119"/>
      <c r="P29" s="120"/>
      <c r="Q29" s="12"/>
      <c r="R29" s="12"/>
      <c r="S29" s="12"/>
      <c r="T29" s="12"/>
      <c r="U29" s="12"/>
      <c r="V29" s="12"/>
      <c r="W29" s="29"/>
      <c r="X29" s="12"/>
      <c r="Y29" s="12"/>
      <c r="Z29" s="107"/>
    </row>
    <row r="30" spans="2:26" x14ac:dyDescent="0.3">
      <c r="B30" s="148"/>
      <c r="C30" s="491"/>
      <c r="D30" s="14" t="e">
        <f>IF(AND(D26&gt;=5,D26&lt;=10),"X","")</f>
        <v>#DIV/0!</v>
      </c>
      <c r="E30" s="77" t="s">
        <v>105</v>
      </c>
      <c r="F30" s="200" t="e">
        <f>IF(D30&lt;&gt;"",3.5,"")</f>
        <v>#DIV/0!</v>
      </c>
      <c r="G30" s="239" t="e">
        <f>IF(F30="","",1)</f>
        <v>#DIV/0!</v>
      </c>
      <c r="H30" s="75"/>
      <c r="I30" s="235"/>
      <c r="J30" s="36"/>
      <c r="K30" s="36" t="s">
        <v>4</v>
      </c>
      <c r="L30" s="150"/>
      <c r="O30" s="119"/>
      <c r="P30" s="120">
        <v>4</v>
      </c>
      <c r="Q30" s="12" t="s">
        <v>80</v>
      </c>
      <c r="R30" s="25"/>
      <c r="S30" s="18"/>
      <c r="T30" s="12"/>
      <c r="U30" s="18"/>
      <c r="V30" s="12"/>
      <c r="W30" s="29">
        <v>5</v>
      </c>
      <c r="X30" s="12"/>
      <c r="Y30" s="12"/>
      <c r="Z30" s="107"/>
    </row>
    <row r="31" spans="2:26" x14ac:dyDescent="0.3">
      <c r="B31" s="148"/>
      <c r="C31" s="491"/>
      <c r="D31" s="14" t="e">
        <f>IF(D26&gt;10,"X","")</f>
        <v>#DIV/0!</v>
      </c>
      <c r="E31" s="77" t="s">
        <v>106</v>
      </c>
      <c r="F31" s="201" t="e">
        <f>IF(D31&lt;&gt;"",5,"")</f>
        <v>#DIV/0!</v>
      </c>
      <c r="G31" s="239" t="e">
        <f>IF(F31="","",1)</f>
        <v>#DIV/0!</v>
      </c>
      <c r="H31" s="75"/>
      <c r="I31" s="40"/>
      <c r="J31" s="15"/>
      <c r="K31" s="15" t="s">
        <v>99</v>
      </c>
      <c r="L31" s="150"/>
      <c r="O31" s="119"/>
      <c r="P31" s="20"/>
      <c r="Q31" s="12"/>
      <c r="R31" s="12" t="s">
        <v>108</v>
      </c>
      <c r="S31" s="18"/>
      <c r="T31" s="12"/>
      <c r="U31" s="18"/>
      <c r="V31" s="12"/>
      <c r="W31" s="29"/>
      <c r="X31" s="12"/>
      <c r="Y31" s="36"/>
      <c r="Z31" s="124"/>
    </row>
    <row r="32" spans="2:26" x14ac:dyDescent="0.3">
      <c r="B32" s="148"/>
      <c r="C32" s="36"/>
      <c r="D32" s="15"/>
      <c r="E32" s="36"/>
      <c r="F32" s="15" t="e">
        <f>IF(G32&gt;1,0,SUM(F29:F31))</f>
        <v>#DIV/0!</v>
      </c>
      <c r="G32" s="239" t="e">
        <f>SUM(G29:G31)</f>
        <v>#DIV/0!</v>
      </c>
      <c r="H32" s="75"/>
      <c r="I32" s="15">
        <f>IF(I30&gt;2,2,I30)</f>
        <v>0</v>
      </c>
      <c r="J32" s="36"/>
      <c r="K32" s="14" t="e">
        <f>IF(SUM(F32,I32)&gt;5,5,SUM(F32,I32))</f>
        <v>#DIV/0!</v>
      </c>
      <c r="L32" s="155"/>
      <c r="O32" s="119"/>
      <c r="P32" s="20"/>
      <c r="Q32" s="12"/>
      <c r="R32" s="12" t="s">
        <v>110</v>
      </c>
      <c r="S32" s="18"/>
      <c r="T32" s="12"/>
      <c r="U32" s="18"/>
      <c r="V32" s="12"/>
      <c r="W32" s="12"/>
      <c r="X32" s="12"/>
      <c r="Y32" s="36"/>
      <c r="Z32" s="124"/>
    </row>
    <row r="33" spans="2:26" x14ac:dyDescent="0.3">
      <c r="B33" s="148"/>
      <c r="C33" s="36"/>
      <c r="D33" s="36"/>
      <c r="E33" s="36"/>
      <c r="F33" s="36"/>
      <c r="G33" s="15"/>
      <c r="H33" s="15"/>
      <c r="I33" s="15"/>
      <c r="J33" s="36"/>
      <c r="K33" s="15"/>
      <c r="L33" s="50"/>
      <c r="O33" s="119"/>
      <c r="P33" s="12"/>
      <c r="Q33" s="24"/>
      <c r="R33" s="12"/>
      <c r="S33" s="24"/>
      <c r="T33" s="24"/>
      <c r="U33" s="24"/>
      <c r="V33" s="24"/>
      <c r="W33" s="24"/>
      <c r="X33" s="12"/>
      <c r="Y33" s="36"/>
      <c r="Z33" s="124"/>
    </row>
    <row r="34" spans="2:26" x14ac:dyDescent="0.3">
      <c r="B34" s="199">
        <v>4</v>
      </c>
      <c r="C34" s="174" t="s">
        <v>107</v>
      </c>
      <c r="D34" s="36"/>
      <c r="E34" s="36"/>
      <c r="F34" s="36"/>
      <c r="G34" s="15"/>
      <c r="H34" s="15"/>
      <c r="I34" s="15"/>
      <c r="J34" s="36"/>
      <c r="K34" s="15"/>
      <c r="L34" s="50"/>
      <c r="O34" s="119"/>
      <c r="P34" s="12"/>
      <c r="Q34" s="24"/>
      <c r="R34" s="24"/>
      <c r="S34" s="24"/>
      <c r="T34" s="24"/>
      <c r="U34" s="24"/>
      <c r="V34" s="24"/>
      <c r="W34" s="29"/>
      <c r="X34" s="12"/>
      <c r="Y34" s="12"/>
      <c r="Z34" s="107"/>
    </row>
    <row r="35" spans="2:26" x14ac:dyDescent="0.3">
      <c r="B35" s="199"/>
      <c r="C35" s="174"/>
      <c r="D35" s="36"/>
      <c r="E35" s="36"/>
      <c r="F35" s="36"/>
      <c r="G35" s="15"/>
      <c r="H35" s="15"/>
      <c r="I35" s="15"/>
      <c r="J35" s="36"/>
      <c r="K35" s="15"/>
      <c r="L35" s="50"/>
      <c r="O35" s="119"/>
      <c r="P35" s="20"/>
      <c r="Q35" s="12"/>
      <c r="R35" s="12"/>
      <c r="S35" s="12"/>
      <c r="T35" s="12"/>
      <c r="U35" s="18"/>
      <c r="V35" s="12"/>
      <c r="W35" s="29"/>
      <c r="X35" s="12"/>
      <c r="Y35" s="12"/>
      <c r="Z35" s="107"/>
    </row>
    <row r="36" spans="2:26" ht="13.5" thickBot="1" x14ac:dyDescent="0.35">
      <c r="B36" s="148"/>
      <c r="C36" s="140"/>
      <c r="D36" s="36" t="s">
        <v>109</v>
      </c>
      <c r="E36" s="36"/>
      <c r="F36" s="36"/>
      <c r="G36" s="15"/>
      <c r="H36" s="15"/>
      <c r="I36" s="15"/>
      <c r="J36" s="36"/>
      <c r="K36" s="15"/>
      <c r="L36" s="50"/>
      <c r="O36" s="207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9"/>
    </row>
    <row r="37" spans="2:26" ht="13.5" thickBot="1" x14ac:dyDescent="0.35">
      <c r="B37" s="161"/>
      <c r="C37" s="55"/>
      <c r="D37" s="81"/>
      <c r="E37" s="81"/>
      <c r="F37" s="81"/>
      <c r="G37" s="55"/>
      <c r="H37" s="55"/>
      <c r="I37" s="55"/>
      <c r="J37" s="81"/>
      <c r="K37" s="55"/>
      <c r="L37" s="179"/>
    </row>
    <row r="41" spans="2:26" x14ac:dyDescent="0.3">
      <c r="C41" s="205"/>
    </row>
    <row r="42" spans="2:26" x14ac:dyDescent="0.3">
      <c r="C42" s="205"/>
    </row>
    <row r="43" spans="2:26" x14ac:dyDescent="0.3">
      <c r="C43" s="206"/>
      <c r="D43" s="205"/>
    </row>
  </sheetData>
  <sheetProtection password="EC65" sheet="1" selectLockedCells="1"/>
  <mergeCells count="5">
    <mergeCell ref="I13:J14"/>
    <mergeCell ref="G12:H14"/>
    <mergeCell ref="C29:C31"/>
    <mergeCell ref="B3:L5"/>
    <mergeCell ref="H16:K18"/>
  </mergeCells>
  <conditionalFormatting sqref="D29">
    <cfRule type="expression" dxfId="14" priority="15" stopIfTrue="1">
      <formula>ISERROR(D26)</formula>
    </cfRule>
  </conditionalFormatting>
  <conditionalFormatting sqref="D30">
    <cfRule type="expression" dxfId="13" priority="14" stopIfTrue="1">
      <formula>ISERROR(D26)</formula>
    </cfRule>
  </conditionalFormatting>
  <conditionalFormatting sqref="D31">
    <cfRule type="expression" dxfId="12" priority="13" stopIfTrue="1">
      <formula>ISERROR(D26)</formula>
    </cfRule>
  </conditionalFormatting>
  <conditionalFormatting sqref="F29">
    <cfRule type="expression" dxfId="11" priority="12" stopIfTrue="1">
      <formula>ISERROR(D26)</formula>
    </cfRule>
  </conditionalFormatting>
  <conditionalFormatting sqref="F30">
    <cfRule type="expression" dxfId="10" priority="11" stopIfTrue="1">
      <formula>ISERROR(D26)</formula>
    </cfRule>
  </conditionalFormatting>
  <conditionalFormatting sqref="F31">
    <cfRule type="expression" dxfId="9" priority="10" stopIfTrue="1">
      <formula>ISERROR(D26)</formula>
    </cfRule>
  </conditionalFormatting>
  <conditionalFormatting sqref="F32">
    <cfRule type="expression" dxfId="8" priority="9" stopIfTrue="1">
      <formula>ISERROR(D26)</formula>
    </cfRule>
  </conditionalFormatting>
  <conditionalFormatting sqref="K32">
    <cfRule type="expression" dxfId="7" priority="8" stopIfTrue="1">
      <formula>ISERROR(D26)</formula>
    </cfRule>
  </conditionalFormatting>
  <conditionalFormatting sqref="C14 E14">
    <cfRule type="expression" dxfId="6" priority="7" stopIfTrue="1">
      <formula>ISERROR($C$67)</formula>
    </cfRule>
  </conditionalFormatting>
  <conditionalFormatting sqref="D26">
    <cfRule type="expression" dxfId="5" priority="6" stopIfTrue="1">
      <formula>ISERROR(D26)</formula>
    </cfRule>
  </conditionalFormatting>
  <conditionalFormatting sqref="D29">
    <cfRule type="expression" dxfId="4" priority="4" stopIfTrue="1">
      <formula>ISERROR(D26)</formula>
    </cfRule>
  </conditionalFormatting>
  <conditionalFormatting sqref="D30">
    <cfRule type="expression" dxfId="3" priority="3" stopIfTrue="1">
      <formula>ISERROR(D26)</formula>
    </cfRule>
  </conditionalFormatting>
  <conditionalFormatting sqref="D31">
    <cfRule type="expression" dxfId="2" priority="2" stopIfTrue="1">
      <formula>ISERROR(D26)</formula>
    </cfRule>
  </conditionalFormatting>
  <conditionalFormatting sqref="D41">
    <cfRule type="expression" dxfId="1" priority="19" stopIfTrue="1">
      <formula>ISERROR($K$5)</formula>
    </cfRule>
  </conditionalFormatting>
  <conditionalFormatting sqref="C43">
    <cfRule type="expression" dxfId="0" priority="20" stopIfTrue="1">
      <formula>ISERROR($K$7)</formula>
    </cfRule>
  </conditionalFormatting>
  <pageMargins left="0.31" right="0.36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2R RATING SUMMARY</vt:lpstr>
      <vt:lpstr>TRAFFIC &amp; ACCIDENTS</vt:lpstr>
      <vt:lpstr>STRUCTURE</vt:lpstr>
      <vt:lpstr>GEOMETRY</vt:lpstr>
      <vt:lpstr>ROADSIDE SAFETY</vt:lpstr>
      <vt:lpstr>'2R RATING SUMMARY'!Print_Area</vt:lpstr>
      <vt:lpstr>GEOMETRY!Print_Area</vt:lpstr>
      <vt:lpstr>'ROADSIDE SAFETY'!Print_Area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2020-02-20T00:37:01Z</cp:lastPrinted>
  <dcterms:created xsi:type="dcterms:W3CDTF">2001-08-02T21:00:18Z</dcterms:created>
  <dcterms:modified xsi:type="dcterms:W3CDTF">2021-08-13T17:48:43Z</dcterms:modified>
</cp:coreProperties>
</file>