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W/"/>
    </mc:Choice>
  </mc:AlternateContent>
  <xr:revisionPtr revIDLastSave="20" documentId="11_CAA9B6E9B1D5D469260781E8927826A6E5D288C4" xr6:coauthVersionLast="47" xr6:coauthVersionMax="47" xr10:uidLastSave="{52AAB1E1-136F-4B7C-A2CE-5DF1C67D036C}"/>
  <workbookProtection workbookAlgorithmName="SHA-512" workbookHashValue="MRzflPDxc3wxEqB9xHQovrnlZtJo2aTw5dyUPTCHrmoqkg21zURwpmb0+VmsTsRnuvWLDn8YCwKWfM1a9tWxlw==" workbookSaltValue="OuLxiTSl4zj3zp/RrXaOKw==" workbookSpinCount="100000" lockStructure="1"/>
  <bookViews>
    <workbookView xWindow="28680" yWindow="-120" windowWidth="29040" windowHeight="15840" tabRatio="592" firstSheet="1" activeTab="1" xr2:uid="{00000000-000D-0000-FFFF-FFFF00000000}"/>
  </bookViews>
  <sheets>
    <sheet name="Results" sheetId="7" state="hidden" r:id="rId1"/>
    <sheet name="RC INPUT" sheetId="2" r:id="rId2"/>
    <sheet name="Traffic &amp; Accidents" sheetId="8" r:id="rId3"/>
    <sheet name="Old Structure" sheetId="9" state="hidden" r:id="rId4"/>
    <sheet name="STRUCTURE" sheetId="11" r:id="rId5"/>
    <sheet name="Geometry" sheetId="10" r:id="rId6"/>
    <sheet name="Dev. Request" sheetId="6" r:id="rId7"/>
  </sheets>
  <definedNames>
    <definedName name="_xlnm.Print_Area" localSheetId="1">'RC INPUT'!$A$3:$M$51</definedName>
    <definedName name="_xlnm.Print_Area" localSheetId="4">STRUCTURE!$B$4:$O$38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1" l="1"/>
  <c r="S15" i="11" l="1"/>
  <c r="AA15" i="11" s="1"/>
  <c r="K22" i="2" l="1"/>
  <c r="K23" i="2" s="1"/>
  <c r="K25" i="2" s="1"/>
  <c r="S99" i="10" l="1"/>
  <c r="Z124" i="10" s="1"/>
  <c r="S98" i="10"/>
  <c r="T98" i="10" s="1"/>
  <c r="S97" i="10"/>
  <c r="Z122" i="10" s="1"/>
  <c r="S96" i="10"/>
  <c r="S95" i="10"/>
  <c r="Z120" i="10" s="1"/>
  <c r="S94" i="10"/>
  <c r="Z119" i="10" s="1"/>
  <c r="S93" i="10"/>
  <c r="P118" i="10" s="1"/>
  <c r="S92" i="10"/>
  <c r="S91" i="10"/>
  <c r="T91" i="10" s="1"/>
  <c r="S90" i="10"/>
  <c r="T90" i="10" s="1"/>
  <c r="S89" i="10"/>
  <c r="Z114" i="10" s="1"/>
  <c r="S88" i="10"/>
  <c r="S87" i="10"/>
  <c r="S86" i="10"/>
  <c r="Z111" i="10" s="1"/>
  <c r="Z112" i="10" l="1"/>
  <c r="Y112" i="10" s="1"/>
  <c r="X112" i="10" s="1"/>
  <c r="W112" i="10" s="1"/>
  <c r="V112" i="10" s="1"/>
  <c r="U112" i="10" s="1"/>
  <c r="T112" i="10" s="1"/>
  <c r="S112" i="10" s="1"/>
  <c r="R112" i="10" s="1"/>
  <c r="Q112" i="10" s="1"/>
  <c r="P112" i="10" s="1"/>
  <c r="T87" i="10" s="1"/>
  <c r="P114" i="10"/>
  <c r="Z116" i="10"/>
  <c r="Y116" i="10" s="1"/>
  <c r="X116" i="10" s="1"/>
  <c r="W116" i="10" s="1"/>
  <c r="V116" i="10" s="1"/>
  <c r="U116" i="10" s="1"/>
  <c r="T116" i="10" s="1"/>
  <c r="S116" i="10" s="1"/>
  <c r="R116" i="10" s="1"/>
  <c r="Q116" i="10" s="1"/>
  <c r="T99" i="10"/>
  <c r="Y119" i="10"/>
  <c r="X119" i="10" s="1"/>
  <c r="W119" i="10" s="1"/>
  <c r="V119" i="10" s="1"/>
  <c r="U119" i="10" s="1"/>
  <c r="T119" i="10" s="1"/>
  <c r="S119" i="10" s="1"/>
  <c r="R119" i="10" s="1"/>
  <c r="Q119" i="10" s="1"/>
  <c r="T95" i="10"/>
  <c r="Y111" i="10"/>
  <c r="X111" i="10" s="1"/>
  <c r="W111" i="10" s="1"/>
  <c r="V111" i="10" s="1"/>
  <c r="U111" i="10" s="1"/>
  <c r="T111" i="10" s="1"/>
  <c r="S111" i="10" s="1"/>
  <c r="R111" i="10" s="1"/>
  <c r="Q111" i="10" s="1"/>
  <c r="P111" i="10" s="1"/>
  <c r="T86" i="10" s="1"/>
  <c r="P117" i="10"/>
  <c r="Y122" i="10"/>
  <c r="X122" i="10" s="1"/>
  <c r="W122" i="10" s="1"/>
  <c r="V122" i="10" s="1"/>
  <c r="U122" i="10" s="1"/>
  <c r="T122" i="10" s="1"/>
  <c r="S122" i="10" s="1"/>
  <c r="R122" i="10" s="1"/>
  <c r="Q122" i="10" s="1"/>
  <c r="T94" i="10"/>
  <c r="P115" i="10"/>
  <c r="Z117" i="10"/>
  <c r="Y117" i="10" s="1"/>
  <c r="X117" i="10" s="1"/>
  <c r="W117" i="10" s="1"/>
  <c r="V117" i="10" s="1"/>
  <c r="U117" i="10" s="1"/>
  <c r="T117" i="10" s="1"/>
  <c r="S117" i="10" s="1"/>
  <c r="R117" i="10" s="1"/>
  <c r="Q117" i="10" s="1"/>
  <c r="Y120" i="10"/>
  <c r="X120" i="10" s="1"/>
  <c r="W120" i="10" s="1"/>
  <c r="V120" i="10" s="1"/>
  <c r="U120" i="10" s="1"/>
  <c r="T120" i="10" s="1"/>
  <c r="S120" i="10" s="1"/>
  <c r="R120" i="10" s="1"/>
  <c r="Q120" i="10" s="1"/>
  <c r="P123" i="10"/>
  <c r="T88" i="10"/>
  <c r="T96" i="10"/>
  <c r="P113" i="10"/>
  <c r="Z115" i="10"/>
  <c r="Y115" i="10" s="1"/>
  <c r="X115" i="10" s="1"/>
  <c r="W115" i="10" s="1"/>
  <c r="V115" i="10" s="1"/>
  <c r="U115" i="10" s="1"/>
  <c r="T115" i="10" s="1"/>
  <c r="S115" i="10" s="1"/>
  <c r="R115" i="10" s="1"/>
  <c r="Q115" i="10" s="1"/>
  <c r="P121" i="10"/>
  <c r="Z123" i="10"/>
  <c r="Y123" i="10" s="1"/>
  <c r="X123" i="10" s="1"/>
  <c r="W123" i="10" s="1"/>
  <c r="V123" i="10" s="1"/>
  <c r="U123" i="10" s="1"/>
  <c r="T123" i="10" s="1"/>
  <c r="S123" i="10" s="1"/>
  <c r="R123" i="10" s="1"/>
  <c r="Q123" i="10" s="1"/>
  <c r="T93" i="10"/>
  <c r="P116" i="10"/>
  <c r="Z118" i="10"/>
  <c r="Y118" i="10" s="1"/>
  <c r="X118" i="10" s="1"/>
  <c r="W118" i="10" s="1"/>
  <c r="V118" i="10" s="1"/>
  <c r="U118" i="10" s="1"/>
  <c r="T118" i="10" s="1"/>
  <c r="S118" i="10" s="1"/>
  <c r="R118" i="10" s="1"/>
  <c r="Q118" i="10" s="1"/>
  <c r="P124" i="10"/>
  <c r="Z113" i="10"/>
  <c r="Y113" i="10" s="1"/>
  <c r="X113" i="10" s="1"/>
  <c r="W113" i="10" s="1"/>
  <c r="V113" i="10" s="1"/>
  <c r="U113" i="10" s="1"/>
  <c r="T113" i="10" s="1"/>
  <c r="S113" i="10" s="1"/>
  <c r="R113" i="10" s="1"/>
  <c r="Q113" i="10" s="1"/>
  <c r="P119" i="10"/>
  <c r="Z121" i="10"/>
  <c r="Y121" i="10" s="1"/>
  <c r="X121" i="10" s="1"/>
  <c r="W121" i="10" s="1"/>
  <c r="V121" i="10" s="1"/>
  <c r="U121" i="10" s="1"/>
  <c r="T121" i="10" s="1"/>
  <c r="S121" i="10" s="1"/>
  <c r="R121" i="10" s="1"/>
  <c r="Q121" i="10" s="1"/>
  <c r="Y124" i="10"/>
  <c r="X124" i="10" s="1"/>
  <c r="W124" i="10" s="1"/>
  <c r="V124" i="10" s="1"/>
  <c r="U124" i="10" s="1"/>
  <c r="T124" i="10" s="1"/>
  <c r="S124" i="10" s="1"/>
  <c r="R124" i="10" s="1"/>
  <c r="Q124" i="10" s="1"/>
  <c r="P122" i="10"/>
  <c r="T92" i="10"/>
  <c r="Y114" i="10"/>
  <c r="X114" i="10" s="1"/>
  <c r="W114" i="10" s="1"/>
  <c r="V114" i="10" s="1"/>
  <c r="U114" i="10" s="1"/>
  <c r="T114" i="10" s="1"/>
  <c r="S114" i="10" s="1"/>
  <c r="R114" i="10" s="1"/>
  <c r="Q114" i="10" s="1"/>
  <c r="T89" i="10"/>
  <c r="T97" i="10"/>
  <c r="P120" i="10"/>
  <c r="V70" i="10"/>
  <c r="V69" i="10"/>
  <c r="V68" i="10"/>
  <c r="V67" i="10"/>
  <c r="V66" i="10"/>
  <c r="V65" i="10"/>
  <c r="V64" i="10"/>
  <c r="V63" i="10"/>
  <c r="V62" i="10"/>
  <c r="V61" i="10"/>
  <c r="V60" i="10"/>
  <c r="V59" i="10"/>
  <c r="V58" i="10"/>
  <c r="O58" i="10"/>
  <c r="V57" i="10"/>
  <c r="O57" i="10"/>
  <c r="O56" i="10"/>
  <c r="AU32" i="10"/>
  <c r="AU13" i="10"/>
  <c r="AU9" i="10"/>
  <c r="X32" i="10"/>
  <c r="Z6" i="10"/>
  <c r="U6" i="10"/>
  <c r="AP25" i="10" l="1"/>
  <c r="AO25" i="10" s="1"/>
  <c r="AN25" i="10" s="1"/>
  <c r="AM25" i="10" s="1"/>
  <c r="AL25" i="10" s="1"/>
  <c r="AK25" i="10" s="1"/>
  <c r="AJ25" i="10" s="1"/>
  <c r="AI25" i="10" s="1"/>
  <c r="AH25" i="10" s="1"/>
  <c r="AG25" i="10" s="1"/>
  <c r="AP23" i="10"/>
  <c r="AO23" i="10" s="1"/>
  <c r="AN23" i="10" s="1"/>
  <c r="AM23" i="10" s="1"/>
  <c r="AL23" i="10" s="1"/>
  <c r="AK23" i="10" s="1"/>
  <c r="AJ23" i="10" s="1"/>
  <c r="AI23" i="10" s="1"/>
  <c r="AH23" i="10" s="1"/>
  <c r="AG23" i="10" s="1"/>
  <c r="AQ37" i="10"/>
  <c r="AP37" i="10" s="1"/>
  <c r="AO37" i="10" s="1"/>
  <c r="AN37" i="10" s="1"/>
  <c r="AM37" i="10" s="1"/>
  <c r="AL37" i="10" s="1"/>
  <c r="AK37" i="10" s="1"/>
  <c r="AJ37" i="10" s="1"/>
  <c r="AI37" i="10" s="1"/>
  <c r="AH37" i="10" s="1"/>
  <c r="AG37" i="10" s="1"/>
  <c r="AP13" i="10"/>
  <c r="AO13" i="10" s="1"/>
  <c r="AN13" i="10" s="1"/>
  <c r="AM13" i="10" s="1"/>
  <c r="AL13" i="10" s="1"/>
  <c r="AK13" i="10" s="1"/>
  <c r="AJ13" i="10" s="1"/>
  <c r="AI13" i="10" s="1"/>
  <c r="AH13" i="10" s="1"/>
  <c r="AG13" i="10" s="1"/>
  <c r="AP24" i="10"/>
  <c r="AO24" i="10" s="1"/>
  <c r="AN24" i="10" s="1"/>
  <c r="AM24" i="10" s="1"/>
  <c r="AL24" i="10" s="1"/>
  <c r="AK24" i="10" s="1"/>
  <c r="AJ24" i="10" s="1"/>
  <c r="AI24" i="10" s="1"/>
  <c r="AH24" i="10" s="1"/>
  <c r="AG24" i="10" s="1"/>
  <c r="AQ36" i="10"/>
  <c r="AP36" i="10" s="1"/>
  <c r="AO36" i="10" s="1"/>
  <c r="AN36" i="10" s="1"/>
  <c r="AM36" i="10" s="1"/>
  <c r="AL36" i="10" s="1"/>
  <c r="AK36" i="10" s="1"/>
  <c r="AJ36" i="10" s="1"/>
  <c r="AI36" i="10" s="1"/>
  <c r="AH36" i="10" s="1"/>
  <c r="AG36" i="10" s="1"/>
  <c r="AQ38" i="10"/>
  <c r="AP38" i="10" s="1"/>
  <c r="AO38" i="10" s="1"/>
  <c r="AN38" i="10" s="1"/>
  <c r="AM38" i="10" s="1"/>
  <c r="AL38" i="10" s="1"/>
  <c r="AK38" i="10" s="1"/>
  <c r="AJ38" i="10" s="1"/>
  <c r="AI38" i="10" s="1"/>
  <c r="AH38" i="10" s="1"/>
  <c r="AG38" i="10" s="1"/>
  <c r="AP14" i="10"/>
  <c r="AO14" i="10" s="1"/>
  <c r="AN14" i="10" s="1"/>
  <c r="AM14" i="10" s="1"/>
  <c r="AL14" i="10" s="1"/>
  <c r="AK14" i="10" s="1"/>
  <c r="AJ14" i="10" s="1"/>
  <c r="AI14" i="10" s="1"/>
  <c r="AH14" i="10" s="1"/>
  <c r="AG14" i="10" s="1"/>
  <c r="AP15" i="10"/>
  <c r="AO15" i="10" s="1"/>
  <c r="AN15" i="10" s="1"/>
  <c r="AM15" i="10" s="1"/>
  <c r="AL15" i="10" s="1"/>
  <c r="AK15" i="10" s="1"/>
  <c r="AJ15" i="10" s="1"/>
  <c r="AI15" i="10" s="1"/>
  <c r="AH15" i="10" s="1"/>
  <c r="AG15" i="10" s="1"/>
  <c r="F86" i="9" l="1"/>
  <c r="F85" i="9"/>
  <c r="F84" i="9"/>
  <c r="D40" i="10"/>
  <c r="L39" i="10"/>
  <c r="AA63" i="9"/>
  <c r="AB40" i="9"/>
  <c r="AA39" i="9"/>
  <c r="L12" i="9"/>
  <c r="F22" i="8"/>
  <c r="D36" i="8"/>
  <c r="D40" i="8" s="1"/>
  <c r="F36" i="8"/>
  <c r="F40" i="8" s="1"/>
  <c r="H36" i="8"/>
  <c r="H40" i="8" s="1"/>
  <c r="E45" i="8"/>
  <c r="J40" i="8" l="1"/>
  <c r="B45" i="8" s="1"/>
  <c r="G45" i="8" s="1"/>
  <c r="T102" i="10"/>
  <c r="AB58" i="10"/>
  <c r="AX44" i="10"/>
  <c r="Q64" i="10"/>
  <c r="P64" i="10" s="1"/>
  <c r="BB44" i="10"/>
  <c r="Q70" i="10"/>
  <c r="P70" i="10" s="1"/>
  <c r="O70" i="10" s="1"/>
  <c r="Q65" i="10"/>
  <c r="P65" i="10" s="1"/>
  <c r="O65" i="10" s="1"/>
  <c r="O64" i="10" s="1"/>
  <c r="BC25" i="10"/>
  <c r="AX25" i="10"/>
  <c r="Q68" i="10"/>
  <c r="P68" i="10" s="1"/>
  <c r="Q63" i="10"/>
  <c r="P63" i="10" s="1"/>
  <c r="Q69" i="10"/>
  <c r="P69" i="10" s="1"/>
  <c r="AE25" i="10"/>
  <c r="AE24" i="10" s="1"/>
  <c r="AE23" i="10" s="1"/>
  <c r="AE21" i="10" s="1"/>
  <c r="AA26" i="10" s="1"/>
  <c r="AE15" i="10"/>
  <c r="AE14" i="10" s="1"/>
  <c r="AE13" i="10" s="1"/>
  <c r="AE11" i="10" s="1"/>
  <c r="V26" i="10" s="1"/>
  <c r="AE38" i="10"/>
  <c r="AE37" i="10" s="1"/>
  <c r="AE36" i="10" s="1"/>
  <c r="AE34" i="10" s="1"/>
  <c r="V44" i="10" s="1"/>
  <c r="AB44" i="10" s="1"/>
  <c r="P27" i="8"/>
  <c r="P26" i="8" s="1"/>
  <c r="P25" i="8" s="1"/>
  <c r="P24" i="8" s="1"/>
  <c r="P23" i="8" s="1"/>
  <c r="P22" i="8" s="1"/>
  <c r="L25" i="8" s="1"/>
  <c r="O69" i="10" l="1"/>
  <c r="O68" i="10" s="1"/>
  <c r="Q60" i="10" s="1"/>
  <c r="O63" i="10"/>
  <c r="J47" i="8"/>
  <c r="P56" i="8"/>
  <c r="P55" i="8" s="1"/>
  <c r="P54" i="8" s="1"/>
  <c r="P53" i="8" s="1"/>
  <c r="P52" i="8" s="1"/>
  <c r="P51" i="8" s="1"/>
  <c r="L50" i="8" s="1"/>
  <c r="U95" i="10" l="1"/>
  <c r="V95" i="10" s="1"/>
  <c r="W95" i="10" s="1"/>
  <c r="U99" i="10"/>
  <c r="V99" i="10" s="1"/>
  <c r="W99" i="10" s="1"/>
  <c r="X57" i="10"/>
  <c r="Y57" i="10" s="1"/>
  <c r="X63" i="10"/>
  <c r="Y63" i="10" s="1"/>
  <c r="U93" i="10"/>
  <c r="V93" i="10" s="1"/>
  <c r="W93" i="10" s="1"/>
  <c r="U91" i="10"/>
  <c r="V91" i="10" s="1"/>
  <c r="W91" i="10" s="1"/>
  <c r="X65" i="10"/>
  <c r="Y65" i="10" s="1"/>
  <c r="X60" i="10"/>
  <c r="Y60" i="10" s="1"/>
  <c r="U94" i="10"/>
  <c r="V94" i="10" s="1"/>
  <c r="W94" i="10" s="1"/>
  <c r="U97" i="10"/>
  <c r="V97" i="10" s="1"/>
  <c r="W97" i="10" s="1"/>
  <c r="X61" i="10"/>
  <c r="Y61" i="10" s="1"/>
  <c r="X58" i="10"/>
  <c r="Y58" i="10" s="1"/>
  <c r="X59" i="10"/>
  <c r="Y59" i="10" s="1"/>
  <c r="U96" i="10"/>
  <c r="V96" i="10" s="1"/>
  <c r="W96" i="10" s="1"/>
  <c r="U89" i="10"/>
  <c r="V89" i="10" s="1"/>
  <c r="W89" i="10" s="1"/>
  <c r="X70" i="10"/>
  <c r="Y70" i="10" s="1"/>
  <c r="U88" i="10"/>
  <c r="V88" i="10" s="1"/>
  <c r="W88" i="10" s="1"/>
  <c r="U87" i="10"/>
  <c r="V87" i="10" s="1"/>
  <c r="W87" i="10" s="1"/>
  <c r="X68" i="10"/>
  <c r="Y68" i="10" s="1"/>
  <c r="X62" i="10"/>
  <c r="Y62" i="10" s="1"/>
  <c r="X69" i="10"/>
  <c r="Y69" i="10" s="1"/>
  <c r="U86" i="10"/>
  <c r="V86" i="10" s="1"/>
  <c r="W86" i="10" s="1"/>
  <c r="X64" i="10"/>
  <c r="Y64" i="10" s="1"/>
  <c r="X66" i="10"/>
  <c r="Y66" i="10" s="1"/>
  <c r="U98" i="10"/>
  <c r="V98" i="10" s="1"/>
  <c r="W98" i="10" s="1"/>
  <c r="X67" i="10"/>
  <c r="Y67" i="10" s="1"/>
  <c r="U92" i="10"/>
  <c r="V92" i="10" s="1"/>
  <c r="W92" i="10" s="1"/>
  <c r="U90" i="10"/>
  <c r="V90" i="10" s="1"/>
  <c r="W90" i="10" s="1"/>
  <c r="F9" i="7"/>
  <c r="M25" i="10"/>
  <c r="M37" i="10"/>
  <c r="M35" i="10"/>
  <c r="M34" i="10"/>
  <c r="M33" i="10"/>
  <c r="M32" i="10"/>
  <c r="M31" i="10"/>
  <c r="M29" i="10"/>
  <c r="M28" i="10"/>
  <c r="M27" i="10"/>
  <c r="K16" i="2"/>
  <c r="F5" i="7" s="1"/>
  <c r="F88" i="9"/>
  <c r="M92" i="9" s="1"/>
  <c r="M24" i="10"/>
  <c r="F26" i="7"/>
  <c r="F27" i="7"/>
  <c r="L8" i="9" l="1"/>
  <c r="T75" i="9" s="1"/>
  <c r="T101" i="10"/>
  <c r="T103" i="10" s="1"/>
  <c r="T104" i="10" s="1"/>
  <c r="T105" i="10" s="1"/>
  <c r="T106" i="10" s="1"/>
  <c r="J129" i="10" s="1"/>
  <c r="W100" i="10"/>
  <c r="Y71" i="10"/>
  <c r="AB57" i="10"/>
  <c r="AB60" i="10" s="1"/>
  <c r="M26" i="10"/>
  <c r="M36" i="10"/>
  <c r="M30" i="10"/>
  <c r="AB61" i="10" l="1"/>
  <c r="AB62" i="10" s="1"/>
  <c r="BA45" i="10"/>
  <c r="BA44" i="10" s="1"/>
  <c r="AZ45" i="10" s="1"/>
  <c r="AZ44" i="10" s="1"/>
  <c r="BB26" i="10"/>
  <c r="BB25" i="10" s="1"/>
  <c r="BA26" i="10" s="1"/>
  <c r="BA25" i="10" s="1"/>
  <c r="AZ26" i="10" s="1"/>
  <c r="AZ25" i="10" s="1"/>
  <c r="AW45" i="10"/>
  <c r="AW44" i="10" s="1"/>
  <c r="AV45" i="10" s="1"/>
  <c r="AV44" i="10" s="1"/>
  <c r="AU45" i="10" s="1"/>
  <c r="AU44" i="10" s="1"/>
  <c r="AW26" i="10"/>
  <c r="AW25" i="10" s="1"/>
  <c r="AV26" i="10" s="1"/>
  <c r="AV25" i="10" s="1"/>
  <c r="AU26" i="10" s="1"/>
  <c r="AU25" i="10" s="1"/>
  <c r="AB75" i="9"/>
  <c r="G15" i="10"/>
  <c r="K17" i="2"/>
  <c r="F7" i="7" s="1"/>
  <c r="K71" i="10" l="1"/>
  <c r="H131" i="10" s="1"/>
  <c r="AU38" i="10"/>
  <c r="AU34" i="10" s="1"/>
  <c r="AU19" i="10"/>
  <c r="N37" i="10"/>
  <c r="H34" i="10"/>
  <c r="F33" i="10"/>
  <c r="E32" i="10"/>
  <c r="B31" i="10"/>
  <c r="N29" i="10"/>
  <c r="H26" i="10"/>
  <c r="H35" i="10"/>
  <c r="F34" i="10"/>
  <c r="E33" i="10"/>
  <c r="B32" i="10"/>
  <c r="N30" i="10"/>
  <c r="H27" i="10"/>
  <c r="F26" i="10"/>
  <c r="E25" i="10"/>
  <c r="B24" i="10"/>
  <c r="B37" i="10"/>
  <c r="N35" i="10"/>
  <c r="H32" i="10"/>
  <c r="B29" i="10"/>
  <c r="N36" i="10"/>
  <c r="F32" i="10"/>
  <c r="N28" i="10"/>
  <c r="H36" i="10"/>
  <c r="F35" i="10"/>
  <c r="E34" i="10"/>
  <c r="B33" i="10"/>
  <c r="N31" i="10"/>
  <c r="H28" i="10"/>
  <c r="F27" i="10"/>
  <c r="E27" i="10" s="1"/>
  <c r="E26" i="10"/>
  <c r="B25" i="10"/>
  <c r="N27" i="10"/>
  <c r="H24" i="10"/>
  <c r="H33" i="10"/>
  <c r="B30" i="10"/>
  <c r="F24" i="10"/>
  <c r="E24" i="10" s="1"/>
  <c r="H37" i="10"/>
  <c r="F36" i="10"/>
  <c r="E35" i="10"/>
  <c r="B34" i="10"/>
  <c r="N32" i="10"/>
  <c r="H29" i="10"/>
  <c r="F28" i="10"/>
  <c r="B26" i="10"/>
  <c r="N24" i="10"/>
  <c r="F37" i="10"/>
  <c r="E36" i="10"/>
  <c r="B35" i="10"/>
  <c r="N33" i="10"/>
  <c r="H30" i="10"/>
  <c r="F29" i="10"/>
  <c r="E28" i="10"/>
  <c r="B27" i="10"/>
  <c r="N25" i="10"/>
  <c r="L25" i="10" s="1"/>
  <c r="E37" i="10"/>
  <c r="B36" i="10"/>
  <c r="N34" i="10"/>
  <c r="H31" i="10"/>
  <c r="F30" i="10"/>
  <c r="E29" i="10"/>
  <c r="B28" i="10"/>
  <c r="N26" i="10"/>
  <c r="F31" i="10"/>
  <c r="E30" i="10"/>
  <c r="E31" i="10"/>
  <c r="H25" i="10"/>
  <c r="F25" i="10"/>
  <c r="L36" i="10"/>
  <c r="L24" i="10"/>
  <c r="L28" i="10"/>
  <c r="L33" i="10"/>
  <c r="L29" i="10"/>
  <c r="L34" i="10"/>
  <c r="L37" i="10"/>
  <c r="L27" i="10"/>
  <c r="L31" i="10"/>
  <c r="L35" i="10"/>
  <c r="L32" i="10"/>
  <c r="L26" i="10"/>
  <c r="L30" i="10"/>
  <c r="K18" i="2"/>
  <c r="AU15" i="10" l="1"/>
  <c r="L10" i="10"/>
  <c r="L8" i="10"/>
  <c r="J8" i="10" s="1"/>
  <c r="L7" i="10"/>
  <c r="J7" i="10" s="1"/>
  <c r="E38" i="10"/>
  <c r="L38" i="10"/>
  <c r="I39" i="10" l="1"/>
  <c r="I38" i="10"/>
  <c r="C38" i="10"/>
  <c r="C39" i="10"/>
  <c r="O29" i="2"/>
  <c r="N29" i="2" s="1"/>
  <c r="K30" i="2" s="1"/>
  <c r="L30" i="2"/>
  <c r="O30" i="2"/>
  <c r="N30" i="2" s="1"/>
  <c r="K31" i="2" s="1"/>
  <c r="L31" i="2"/>
  <c r="J10" i="10"/>
  <c r="O28" i="2"/>
  <c r="N28" i="2" s="1"/>
  <c r="K29" i="2" s="1"/>
  <c r="L29" i="2"/>
  <c r="J13" i="10"/>
  <c r="B39" i="10"/>
  <c r="H39" i="10"/>
  <c r="L32" i="2"/>
  <c r="K32" i="2" l="1"/>
  <c r="K34" i="2" s="1"/>
  <c r="J37" i="2" s="1"/>
  <c r="L27" i="2"/>
  <c r="L26" i="2" s="1"/>
  <c r="F11" i="7" s="1"/>
  <c r="F13" i="7" l="1"/>
  <c r="K37" i="2"/>
  <c r="K41" i="2" s="1"/>
  <c r="F25" i="7" s="1"/>
  <c r="F19" i="7" l="1"/>
  <c r="F21" i="7" s="1"/>
</calcChain>
</file>

<file path=xl/sharedStrings.xml><?xml version="1.0" encoding="utf-8"?>
<sst xmlns="http://schemas.openxmlformats.org/spreadsheetml/2006/main" count="616" uniqueCount="452">
  <si>
    <t>County:</t>
  </si>
  <si>
    <t>Project Name:</t>
  </si>
  <si>
    <t>Possible</t>
  </si>
  <si>
    <t>Scored</t>
  </si>
  <si>
    <t>Points</t>
  </si>
  <si>
    <t>TRAFFIC:</t>
  </si>
  <si>
    <t>TRAFFIC VOLUME</t>
  </si>
  <si>
    <t>TRAFFIC ACCIDENTS</t>
  </si>
  <si>
    <t>TRAFFIC SUBTOTAL</t>
  </si>
  <si>
    <t>ROAD CONDITION:</t>
  </si>
  <si>
    <t>=</t>
  </si>
  <si>
    <t>or</t>
  </si>
  <si>
    <t>GEOMETRICS:</t>
  </si>
  <si>
    <t>Pavement Width</t>
  </si>
  <si>
    <t>Road Bed Width</t>
  </si>
  <si>
    <t>Gravel, Roadbed Width only</t>
  </si>
  <si>
    <t>Horiz. and Vert. Alignment</t>
  </si>
  <si>
    <t>GEOMETRICS SUBTOTAL</t>
  </si>
  <si>
    <t>Available</t>
  </si>
  <si>
    <t>Raw Score</t>
  </si>
  <si>
    <t>TOTAL SWR RAP WORKSHEET RATING</t>
  </si>
  <si>
    <t>Note:</t>
  </si>
  <si>
    <t xml:space="preserve">   1. Points for the Road Surface Condition Rating other than Gravel Surfaced will be assigned </t>
  </si>
  <si>
    <t xml:space="preserve">   2. No points are allowed for conditions not to be improved by the project.</t>
  </si>
  <si>
    <t xml:space="preserve">   3. Points assigned must be in proportion to percent of the minimum design standard achieved. </t>
  </si>
  <si>
    <t>TRAFFIC VOLUME (10 Points Max.)</t>
  </si>
  <si>
    <t>Current Estimated ADT =</t>
  </si>
  <si>
    <t>&lt;--Points</t>
  </si>
  <si>
    <t xml:space="preserve">ADT = Average Weekday Traffic Volume      </t>
  </si>
  <si>
    <t>TRAFFIC VOLUME RATING</t>
  </si>
  <si>
    <t>TRAFFIC ACCIDENTS (10 Points Max.)</t>
  </si>
  <si>
    <t>Equivalent Property Damage Only Accidents, Three Year Average</t>
  </si>
  <si>
    <t>(Indicate number of accidents, not number of fatalities, injuries or property damages)</t>
  </si>
  <si>
    <t>PROPERTY</t>
  </si>
  <si>
    <t>No. of</t>
  </si>
  <si>
    <t>YEAR:</t>
  </si>
  <si>
    <t>DAMAGE</t>
  </si>
  <si>
    <t>INJURY</t>
  </si>
  <si>
    <t>FATAL</t>
  </si>
  <si>
    <t>ONLY</t>
  </si>
  <si>
    <t>accidents</t>
  </si>
  <si>
    <t>Factors</t>
  </si>
  <si>
    <t>X 3</t>
  </si>
  <si>
    <t>X 10</t>
  </si>
  <si>
    <t>X 25</t>
  </si>
  <si>
    <t>+</t>
  </si>
  <si>
    <t>TOTAL</t>
  </si>
  <si>
    <t>ACCIDENT RATING =</t>
  </si>
  <si>
    <t>Determine Accident Rating using table below</t>
  </si>
  <si>
    <t>Project Length in Miles</t>
  </si>
  <si>
    <t>(Total)</t>
  </si>
  <si>
    <t>(Length</t>
  </si>
  <si>
    <t>(Equiv.</t>
  </si>
  <si>
    <t>by rounding to nearest whole number</t>
  </si>
  <si>
    <t>in Miles)</t>
  </si>
  <si>
    <t>Acc./Mile</t>
  </si>
  <si>
    <t>TRAFFIC ACCIDENT RATING</t>
  </si>
  <si>
    <t>ACCIDENT AND TRAFFIC VOLUME RATING TABLE</t>
  </si>
  <si>
    <t xml:space="preserve">AVERAGE                 </t>
  </si>
  <si>
    <t>EQUIVALENT</t>
  </si>
  <si>
    <t>RATING</t>
  </si>
  <si>
    <t>ADT</t>
  </si>
  <si>
    <t>ACC/MILE</t>
  </si>
  <si>
    <t>POINTS</t>
  </si>
  <si>
    <t>&lt;50</t>
  </si>
  <si>
    <t>&lt;4</t>
  </si>
  <si>
    <t>50-100</t>
  </si>
  <si>
    <t>4-6</t>
  </si>
  <si>
    <t>101-250</t>
  </si>
  <si>
    <t>7-9</t>
  </si>
  <si>
    <t>251-500</t>
  </si>
  <si>
    <t>10-12</t>
  </si>
  <si>
    <t>501-750</t>
  </si>
  <si>
    <t>13-15</t>
  </si>
  <si>
    <t>&gt;750</t>
  </si>
  <si>
    <t>&gt;15</t>
  </si>
  <si>
    <t>DEFINITION OF TERMS</t>
  </si>
  <si>
    <t>on light traffic with 20% or less of the area in agriculture, timber, or industrial use.</t>
  </si>
  <si>
    <t>1)</t>
  </si>
  <si>
    <t xml:space="preserve"> </t>
  </si>
  <si>
    <t>2)</t>
  </si>
  <si>
    <t>= 30k in Average Rural Area</t>
  </si>
  <si>
    <t>= 40k in Heavy Rural Area</t>
  </si>
  <si>
    <t>3)</t>
  </si>
  <si>
    <t>4)</t>
  </si>
  <si>
    <t>Determine the SINGLE AXLE LOAD LIMIT for line E, Figure III 1</t>
  </si>
  <si>
    <t>Use 18,000 lbs. for all applications</t>
  </si>
  <si>
    <t>5)</t>
  </si>
  <si>
    <t>6)</t>
  </si>
  <si>
    <t>intersects line A</t>
  </si>
  <si>
    <t>(For Design Rebound Deflections above 0.100 use the min value of 1 for DTN)</t>
  </si>
  <si>
    <t>DRD; Benkleman Beam Design Rebound Deflection</t>
  </si>
  <si>
    <t>ITN; from previous sheet</t>
  </si>
  <si>
    <t>DTN; from graph above</t>
  </si>
  <si>
    <t xml:space="preserve">Point Value for Structural Rating = </t>
  </si>
  <si>
    <t>[1- (DTN / ITN)] x 25 =</t>
  </si>
  <si>
    <t xml:space="preserve">ROADWAY SURFACE CONDITION - ACP AND ACP/PCC </t>
  </si>
  <si>
    <t xml:space="preserve"> ASPHALT (25 Points Max.)</t>
  </si>
  <si>
    <t>ACP/PCC (50 Points Max.)</t>
  </si>
  <si>
    <t xml:space="preserve">   </t>
  </si>
  <si>
    <t>ACP</t>
  </si>
  <si>
    <t>ACP/PCC</t>
  </si>
  <si>
    <t xml:space="preserve">TYPE OF </t>
  </si>
  <si>
    <t>PERCENTAGE OF DISTRESS</t>
  </si>
  <si>
    <t>DISTRESS</t>
  </si>
  <si>
    <t>No Distress</t>
  </si>
  <si>
    <t>&lt;10%</t>
  </si>
  <si>
    <t>10%-30%</t>
  </si>
  <si>
    <t>&gt;30%</t>
  </si>
  <si>
    <t>Rutting</t>
  </si>
  <si>
    <t>Ravelling</t>
  </si>
  <si>
    <t>Corrugations</t>
  </si>
  <si>
    <t>Alligator Cracking</t>
  </si>
  <si>
    <t>Patching</t>
  </si>
  <si>
    <t>Transverse and</t>
  </si>
  <si>
    <t xml:space="preserve">    Longitudinal Cracking</t>
  </si>
  <si>
    <t>ROADWAY SURFACE CONDITION RATING:</t>
  </si>
  <si>
    <t>ASPHALT</t>
  </si>
  <si>
    <t>ACP OVER PCC</t>
  </si>
  <si>
    <t xml:space="preserve">* When the surface of the roadway is Asphalt Concrete Pavement (ACP) over a Portland Cement </t>
  </si>
  <si>
    <t xml:space="preserve">Concrete (PCC), rate the SURFACE CONDITION as ACP then multiply the rating by 2. </t>
  </si>
  <si>
    <t xml:space="preserve"> Insert the resulting value  in the ACP / PCC column.</t>
  </si>
  <si>
    <t>ROADWAY SURFACE CONDITION -  CONCRETE (50 Points Max.)</t>
  </si>
  <si>
    <t>PERCENTAGE OF DISTRESS:</t>
  </si>
  <si>
    <t>DISTRESS:</t>
  </si>
  <si>
    <t>Cracking</t>
  </si>
  <si>
    <t>Joint Spalling</t>
  </si>
  <si>
    <t>Pumping</t>
  </si>
  <si>
    <t>Faulting</t>
  </si>
  <si>
    <t>Pavement Wear</t>
  </si>
  <si>
    <t>ROADWAY SURFACE CONDITION RATING   CONCRETE</t>
  </si>
  <si>
    <t>ADT taken for a continuous one week period at any part of the year, adjusted for seasonal effects.</t>
  </si>
  <si>
    <t xml:space="preserve">Attach supporting data for the traffic counts or estimation. </t>
  </si>
  <si>
    <t>ADT:</t>
  </si>
  <si>
    <t>Gravel Roads only</t>
  </si>
  <si>
    <t>I. WIDTH - FT. (20 Pts. Max.)</t>
  </si>
  <si>
    <t>Existing pavement width</t>
  </si>
  <si>
    <t>PAVEMENT WIDTH (10 Pts Max)</t>
  </si>
  <si>
    <t>ROADBED WIDTH (10 Pts Max</t>
  </si>
  <si>
    <t>(round to nearest 1/4 ft)</t>
  </si>
  <si>
    <t>(round to nearest 1/2 ft)</t>
  </si>
  <si>
    <t>&lt; 400</t>
  </si>
  <si>
    <t>400 - 2000</t>
  </si>
  <si>
    <t>&gt; 2000</t>
  </si>
  <si>
    <r>
      <t>&gt;</t>
    </r>
    <r>
      <rPr>
        <sz val="8"/>
        <rFont val="MS Sans Serif"/>
        <family val="2"/>
      </rPr>
      <t xml:space="preserve"> 20</t>
    </r>
  </si>
  <si>
    <r>
      <t>&gt;</t>
    </r>
    <r>
      <rPr>
        <sz val="8"/>
        <rFont val="MS Sans Serif"/>
        <family val="2"/>
      </rPr>
      <t xml:space="preserve"> 22</t>
    </r>
  </si>
  <si>
    <r>
      <t>&gt;</t>
    </r>
    <r>
      <rPr>
        <sz val="8"/>
        <rFont val="MS Sans Serif"/>
        <family val="2"/>
      </rPr>
      <t xml:space="preserve"> 24</t>
    </r>
  </si>
  <si>
    <r>
      <t>&gt;</t>
    </r>
    <r>
      <rPr>
        <sz val="8"/>
        <rFont val="MS Sans Serif"/>
        <family val="2"/>
      </rPr>
      <t xml:space="preserve"> 28</t>
    </r>
  </si>
  <si>
    <r>
      <t>&gt;</t>
    </r>
    <r>
      <rPr>
        <sz val="8"/>
        <rFont val="MS Sans Serif"/>
        <family val="2"/>
      </rPr>
      <t xml:space="preserve"> 34</t>
    </r>
  </si>
  <si>
    <r>
      <t>&gt;</t>
    </r>
    <r>
      <rPr>
        <sz val="8"/>
        <rFont val="MS Sans Serif"/>
        <family val="2"/>
      </rPr>
      <t xml:space="preserve"> 40</t>
    </r>
  </si>
  <si>
    <t>RANGE</t>
  </si>
  <si>
    <t>&lt;400</t>
  </si>
  <si>
    <t>&gt;2000</t>
  </si>
  <si>
    <t>&lt; 18</t>
  </si>
  <si>
    <t>&lt; 20</t>
  </si>
  <si>
    <t>&lt; 22</t>
  </si>
  <si>
    <t>&lt; 24</t>
  </si>
  <si>
    <t>&lt; 30</t>
  </si>
  <si>
    <t>&lt; 36</t>
  </si>
  <si>
    <t>Points Assigned</t>
  </si>
  <si>
    <t>ROADBED WIDTH FOR GRAVEL ROADS (15 Pts Max.)</t>
  </si>
  <si>
    <t>Existing roadbed width for gravel roads</t>
  </si>
  <si>
    <t>TOTAL WIDTH POINTS</t>
  </si>
  <si>
    <t>II. HORIZONTAL ALIGNMENT (10 Pts. Max.)</t>
  </si>
  <si>
    <t xml:space="preserve">     1)  Determine the minimum design speed - Vd from the Min. Design Speed table shown on sheet 8 of 8.</t>
  </si>
  <si>
    <t xml:space="preserve">     2) Horizontal Curvature Deficiency   Dc</t>
  </si>
  <si>
    <t>Ball Bank</t>
  </si>
  <si>
    <t>a)  Determine "Safe Speed"   Vb from Ball Bank Indicator readings</t>
  </si>
  <si>
    <t>TERRAIN</t>
  </si>
  <si>
    <t>Curve No.</t>
  </si>
  <si>
    <t>Vr:</t>
  </si>
  <si>
    <t>1 - Vr</t>
  </si>
  <si>
    <t>Dc</t>
  </si>
  <si>
    <t>b)  Calculate the ratio Vr = Vb/Vd for all curves where Vb &lt; Vd</t>
  </si>
  <si>
    <t>Flat</t>
  </si>
  <si>
    <t>Vb</t>
  </si>
  <si>
    <t>Projet Length</t>
  </si>
  <si>
    <t>miles</t>
  </si>
  <si>
    <t xml:space="preserve">c)  Calculate the Curvature Deficiency Index, Dc </t>
  </si>
  <si>
    <t xml:space="preserve">    Dc =     (1 -  Vrn)  for curves 1, 2, 3 ... n</t>
  </si>
  <si>
    <t>Rolling</t>
  </si>
  <si>
    <t>Mountainous</t>
  </si>
  <si>
    <t>Hc</t>
  </si>
  <si>
    <t xml:space="preserve">    3)  Horizontal Alignment Deficiency, Hc   </t>
  </si>
  <si>
    <t>Hc = Dc / (3L)   where L = Length of Project in Miles</t>
  </si>
  <si>
    <t>Rough Points</t>
  </si>
  <si>
    <t>Rounded Points</t>
  </si>
  <si>
    <t>Minimum Design Speed</t>
  </si>
  <si>
    <t>0.001 - 0.050</t>
  </si>
  <si>
    <t>0.251 - 0.300</t>
  </si>
  <si>
    <t>Minimum Design Speed Table</t>
  </si>
  <si>
    <t>0.051 - 0.100</t>
  </si>
  <si>
    <t>0.301 - 0.350</t>
  </si>
  <si>
    <t>0.101 - 0.150</t>
  </si>
  <si>
    <t>0.351 - 0.400</t>
  </si>
  <si>
    <t>0.151 - 0.200</t>
  </si>
  <si>
    <t>0.401 - 0.450</t>
  </si>
  <si>
    <t>0.201 - 0.250</t>
  </si>
  <si>
    <t>0.451 - 0.500</t>
  </si>
  <si>
    <t xml:space="preserve">       </t>
  </si>
  <si>
    <t>HORIZONTAL ALIGNMENT RATING</t>
  </si>
  <si>
    <t>III. VERTICAL ALIGNMENT (10 Pts. Max.)</t>
  </si>
  <si>
    <r>
      <t xml:space="preserve">Determine safe speed - </t>
    </r>
    <r>
      <rPr>
        <b/>
        <sz val="10"/>
        <rFont val="MS Sans Serif"/>
        <family val="2"/>
      </rPr>
      <t>Vs</t>
    </r>
  </si>
  <si>
    <t>Minimum Design Speed. Determine Min. Design Speed - Vd from the following table</t>
  </si>
  <si>
    <t>MINIMUM DESIGN SPEED:</t>
  </si>
  <si>
    <t>Exist.</t>
  </si>
  <si>
    <t>Safe</t>
  </si>
  <si>
    <t>Design</t>
  </si>
  <si>
    <t xml:space="preserve">Deficiency </t>
  </si>
  <si>
    <t>Sight</t>
  </si>
  <si>
    <t>Speed</t>
  </si>
  <si>
    <t>Index</t>
  </si>
  <si>
    <t>TERRAIN:</t>
  </si>
  <si>
    <t>ADT -&gt;</t>
  </si>
  <si>
    <t>Distance</t>
  </si>
  <si>
    <t>Vs</t>
  </si>
  <si>
    <t>Vd</t>
  </si>
  <si>
    <t>Vr</t>
  </si>
  <si>
    <t>FLAT</t>
  </si>
  <si>
    <t>ROLLING</t>
  </si>
  <si>
    <t>MOUNTAINOUS</t>
  </si>
  <si>
    <t>Vertical Curvature Deficiency   Dc</t>
  </si>
  <si>
    <t>a)</t>
  </si>
  <si>
    <t>Determine "Safe Speed"   Vs for the vertical curve using the existing Sight Distance</t>
  </si>
  <si>
    <t>(S) available.  Existing sight distance may be field meas. or determined</t>
  </si>
  <si>
    <t xml:space="preserve">by using WSDOT Design manual page 630-5 or 630-6. </t>
  </si>
  <si>
    <t xml:space="preserve">Vertical curve length and Algebraic difference in grades can be </t>
  </si>
  <si>
    <t>determined by field measurement or reviewing existing records.</t>
  </si>
  <si>
    <t xml:space="preserve">Safe speed (Vs) for the existing Sight Distance available can </t>
  </si>
  <si>
    <t>Vc</t>
  </si>
  <si>
    <t>then be read from the following table:</t>
  </si>
  <si>
    <t>Safe Speed</t>
  </si>
  <si>
    <t>Exist. Sight</t>
  </si>
  <si>
    <t>(Vs)</t>
  </si>
  <si>
    <t>Dist.  (S)</t>
  </si>
  <si>
    <t>This Table has been revised</t>
  </si>
  <si>
    <t>~</t>
  </si>
  <si>
    <t>as of:  October 29, 2001</t>
  </si>
  <si>
    <t>in keeping with AASHTO's:</t>
  </si>
  <si>
    <r>
      <t xml:space="preserve">Safe Speed </t>
    </r>
    <r>
      <rPr>
        <b/>
        <u/>
        <sz val="10"/>
        <rFont val="MS Sans Serif"/>
        <family val="2"/>
      </rPr>
      <t>Vs</t>
    </r>
    <r>
      <rPr>
        <u/>
        <sz val="10"/>
        <rFont val="MS Sans Serif"/>
        <family val="2"/>
      </rPr>
      <t xml:space="preserve"> Calculation Table</t>
    </r>
  </si>
  <si>
    <t>"A Policy on Geometric Design</t>
  </si>
  <si>
    <t>of</t>
  </si>
  <si>
    <t>Highways and Streets"</t>
  </si>
  <si>
    <t>* Use straight line interpolation to determine Vs to the nearest M.P.H.</t>
  </si>
  <si>
    <t xml:space="preserve">Note:  Table developed from page 770 AASHTO Geometric Design of Highways and Streets, </t>
  </si>
  <si>
    <t>1990 Edition.</t>
  </si>
  <si>
    <t xml:space="preserve">b) </t>
  </si>
  <si>
    <t xml:space="preserve">Calculate the ratio Vr = Vs/Vd (safe speed divided by design </t>
  </si>
  <si>
    <t>Speed) for all curves where Vs &lt; Vd</t>
  </si>
  <si>
    <t xml:space="preserve">c) </t>
  </si>
  <si>
    <t xml:space="preserve">Calculate the Curvature Deficiency Index   Dc </t>
  </si>
  <si>
    <t>Dc =           (1 - Vrn)for curves 1, 2, 3 ... n</t>
  </si>
  <si>
    <t xml:space="preserve">Vertical Alignment Deficiency - Vc   </t>
  </si>
  <si>
    <t>Vc = Dc/(3L) where L = Length of Project in Miles</t>
  </si>
  <si>
    <t xml:space="preserve"> POINTS</t>
  </si>
  <si>
    <t>0.001 - 0.070</t>
  </si>
  <si>
    <t>0.351 - 0.420</t>
  </si>
  <si>
    <t>0.071 - 0.140</t>
  </si>
  <si>
    <t>0.421 - 0.490</t>
  </si>
  <si>
    <t>0.141 - 0.210</t>
  </si>
  <si>
    <t>0.491 - 0.560</t>
  </si>
  <si>
    <t>0.211 - 0.280</t>
  </si>
  <si>
    <t>0.561 - 0.630</t>
  </si>
  <si>
    <t>0.281 - 0.350</t>
  </si>
  <si>
    <t>0.631 - 0.700</t>
  </si>
  <si>
    <t>VERTICAL ALIGNMENT RATING</t>
  </si>
  <si>
    <t>COMBINED HORIZONTAL AND VERTICAL ALIGNMENT RATING</t>
  </si>
  <si>
    <r>
      <t xml:space="preserve">/250 X </t>
    </r>
    <r>
      <rPr>
        <b/>
        <sz val="10"/>
        <rFont val="MS Sans Serif"/>
        <family val="2"/>
      </rPr>
      <t>50</t>
    </r>
    <r>
      <rPr>
        <sz val="10"/>
        <rFont val="MS Sans Serif"/>
      </rPr>
      <t>= ROADWAY SURFACE CONDITION RATING - GRAVEL</t>
    </r>
  </si>
  <si>
    <t>ROADWAY SURFACE CONDITION - GRAVEL (50 Points Max.)</t>
  </si>
  <si>
    <t>Existing roadbed width, paved roads</t>
  </si>
  <si>
    <t>From Accident section</t>
  </si>
  <si>
    <t>AADT</t>
  </si>
  <si>
    <t>FATAL ACCIDENTS</t>
  </si>
  <si>
    <t>DRD</t>
  </si>
  <si>
    <t>TOTAL SCORE</t>
  </si>
  <si>
    <t>page 426</t>
  </si>
  <si>
    <t>Minimum Des. Speed:</t>
  </si>
  <si>
    <t>Benk. Beam Design Rebound Deflection</t>
  </si>
  <si>
    <t>P.D. ONLY ACCIDENTS</t>
  </si>
  <si>
    <t>INJURY (non fatal) ACCIDENTS</t>
  </si>
  <si>
    <t>Road Rater Structural Rating</t>
  </si>
  <si>
    <t>TRAFFIC</t>
  </si>
  <si>
    <t>STRUCTURE</t>
  </si>
  <si>
    <t>GEOMETRY</t>
  </si>
  <si>
    <t>HORIZ. CURVES:</t>
  </si>
  <si>
    <t>VERT. CURVES:</t>
  </si>
  <si>
    <t>(From CRAB)</t>
  </si>
  <si>
    <t>PCC</t>
  </si>
  <si>
    <t>Standard</t>
  </si>
  <si>
    <t>Functional Class</t>
  </si>
  <si>
    <t>Existing Roadbed Width</t>
  </si>
  <si>
    <t>Proposed Roadbed Width</t>
  </si>
  <si>
    <t xml:space="preserve">     Cannot be greater than:</t>
  </si>
  <si>
    <t>COLLECTORS</t>
  </si>
  <si>
    <t>ARTERIALS</t>
  </si>
  <si>
    <t>400 - 1500</t>
  </si>
  <si>
    <t>1500 - 2000</t>
  </si>
  <si>
    <t>&lt; 1501</t>
  </si>
  <si>
    <t>1501 - 2000</t>
  </si>
  <si>
    <t>ROADBED WIDTH</t>
  </si>
  <si>
    <t>EXIST</t>
  </si>
  <si>
    <t>PROPOSED</t>
  </si>
  <si>
    <t>STANDARD</t>
  </si>
  <si>
    <t>PVMT</t>
  </si>
  <si>
    <t>ROAD</t>
  </si>
  <si>
    <t>Existing Pavement Width</t>
  </si>
  <si>
    <t>Proposed Pavement Width</t>
  </si>
  <si>
    <t>PAVEMENT WIDTH</t>
  </si>
  <si>
    <r>
      <t xml:space="preserve">DESIGN </t>
    </r>
    <r>
      <rPr>
        <b/>
        <sz val="10"/>
        <color indexed="14"/>
        <rFont val="MS Sans Serif"/>
        <family val="2"/>
      </rPr>
      <t>PAVEMENT WIDTH</t>
    </r>
    <r>
      <rPr>
        <sz val="10"/>
        <color indexed="14"/>
        <rFont val="MS Sans Serif"/>
        <family val="2"/>
      </rPr>
      <t xml:space="preserve"> CALCULATION</t>
    </r>
  </si>
  <si>
    <t>DESIGN</t>
  </si>
  <si>
    <t>LANE WIDTHS PER ADT</t>
  </si>
  <si>
    <t>SHOULDER WIDTHS PER ADT</t>
  </si>
  <si>
    <t>SPEED</t>
  </si>
  <si>
    <t>ALL SPEEDS</t>
  </si>
  <si>
    <t>Width Reduction Calcs</t>
  </si>
  <si>
    <t>Collectors</t>
  </si>
  <si>
    <t>Arterials</t>
  </si>
  <si>
    <t>Date</t>
  </si>
  <si>
    <t>Final</t>
  </si>
  <si>
    <t>PVMT WIDTH, Lanes</t>
  </si>
  <si>
    <t>ITN</t>
  </si>
  <si>
    <t>DTN</t>
  </si>
  <si>
    <t>Terrain:</t>
  </si>
  <si>
    <t>Des. Speed Range</t>
  </si>
  <si>
    <t>60 - 75</t>
  </si>
  <si>
    <t>50 - 60</t>
  </si>
  <si>
    <t>40 - 50</t>
  </si>
  <si>
    <t>We Use</t>
  </si>
  <si>
    <t>&lt;24.4</t>
  </si>
  <si>
    <t>&lt;30.4</t>
  </si>
  <si>
    <t>&lt;36.4</t>
  </si>
  <si>
    <t>(Paved
Roads)</t>
  </si>
  <si>
    <t>Mountanous</t>
  </si>
  <si>
    <t>Ranges for Des. Speeds for rural arterials (2001 AASHTO p. 448):</t>
  </si>
  <si>
    <t>Length of</t>
  </si>
  <si>
    <t>Proposed</t>
  </si>
  <si>
    <t>Percent</t>
  </si>
  <si>
    <t>Curve, ft</t>
  </si>
  <si>
    <t>Improved</t>
  </si>
  <si>
    <t>Curve #</t>
  </si>
  <si>
    <t>Avg.</t>
  </si>
  <si>
    <t>For Gravel Road Rating,</t>
  </si>
  <si>
    <t>LIST     ALL     DEFICIENT     CURVES</t>
  </si>
  <si>
    <t>Deficient</t>
  </si>
  <si>
    <t>length</t>
  </si>
  <si>
    <t>SAMPLE</t>
  </si>
  <si>
    <t>DEVIATION ANALYSIS FORMAT</t>
  </si>
  <si>
    <t>Agency:</t>
  </si>
  <si>
    <t>Project Title:</t>
  </si>
  <si>
    <t>Project Number:</t>
  </si>
  <si>
    <t>1. Posted Speed Limit:</t>
  </si>
  <si>
    <t>2. Physical Comparison:</t>
  </si>
  <si>
    <t>a. Standard Geometrics</t>
  </si>
  <si>
    <t>b. Deviation Geometrics</t>
  </si>
  <si>
    <t>c. Discussion</t>
  </si>
  <si>
    <t>3. Cost Comparison:</t>
  </si>
  <si>
    <t>a. Standard</t>
  </si>
  <si>
    <t>b. Deviation</t>
  </si>
  <si>
    <t>4. Reasons Standard Cannot be Achieved:</t>
  </si>
  <si>
    <t>5. Certification:</t>
  </si>
  <si>
    <t>I have examined this deviation request and believe it to be in the best public interest that it be granted.</t>
  </si>
  <si>
    <t>City/County Engineer</t>
  </si>
  <si>
    <t>From Graph, Attach Printout</t>
  </si>
  <si>
    <r>
      <t xml:space="preserve"> NHT = ADT x (</t>
    </r>
    <r>
      <rPr>
        <b/>
        <sz val="10"/>
        <color indexed="10"/>
        <rFont val="MS Sans Serif"/>
        <family val="2"/>
      </rPr>
      <t>A</t>
    </r>
    <r>
      <rPr>
        <b/>
        <sz val="10"/>
        <rFont val="MS Sans Serif"/>
        <family val="2"/>
      </rPr>
      <t xml:space="preserve">/100) x </t>
    </r>
    <r>
      <rPr>
        <b/>
        <sz val="10"/>
        <color indexed="10"/>
        <rFont val="MS Sans Serif"/>
        <family val="2"/>
      </rPr>
      <t>B</t>
    </r>
    <r>
      <rPr>
        <b/>
        <sz val="10"/>
        <rFont val="MS Sans Serif"/>
        <family val="2"/>
      </rPr>
      <t xml:space="preserve">    </t>
    </r>
  </si>
  <si>
    <r>
      <t xml:space="preserve">where </t>
    </r>
    <r>
      <rPr>
        <b/>
        <sz val="10"/>
        <color indexed="10"/>
        <rFont val="MS Sans Serif"/>
        <family val="2"/>
      </rPr>
      <t>A</t>
    </r>
    <r>
      <rPr>
        <sz val="10"/>
        <rFont val="MS Sans Serif"/>
      </rPr>
      <t xml:space="preserve"> = </t>
    </r>
  </si>
  <si>
    <t>Percentage of heavy trucks in design lane</t>
  </si>
  <si>
    <r>
      <t xml:space="preserve"> </t>
    </r>
    <r>
      <rPr>
        <b/>
        <sz val="10"/>
        <color indexed="10"/>
        <rFont val="MS Sans Serif"/>
        <family val="2"/>
      </rPr>
      <t>B</t>
    </r>
    <r>
      <rPr>
        <sz val="10"/>
        <rFont val="MS Sans Serif"/>
      </rPr>
      <t xml:space="preserve"> = </t>
    </r>
  </si>
  <si>
    <t>Percent of heavy trucks in traffic stream</t>
  </si>
  <si>
    <t>(this is the 3rd box from top, right side)</t>
  </si>
  <si>
    <t>(18K, online graph)</t>
  </si>
  <si>
    <t>FUNCTION CLASS</t>
  </si>
  <si>
    <t>LENGTH, (miles)</t>
  </si>
  <si>
    <r>
      <t xml:space="preserve">B = </t>
    </r>
    <r>
      <rPr>
        <b/>
        <sz val="10"/>
        <color indexed="12"/>
        <rFont val="MS Sans Serif"/>
        <family val="2"/>
      </rPr>
      <t>0.08</t>
    </r>
    <r>
      <rPr>
        <sz val="10"/>
        <rFont val="MS Sans Serif"/>
      </rPr>
      <t xml:space="preserve"> in Urbanized Rural Area</t>
    </r>
  </si>
  <si>
    <r>
      <t xml:space="preserve">B = </t>
    </r>
    <r>
      <rPr>
        <b/>
        <sz val="10"/>
        <color indexed="12"/>
        <rFont val="MS Sans Serif"/>
        <family val="2"/>
      </rPr>
      <t>0.14</t>
    </r>
    <r>
      <rPr>
        <sz val="10"/>
        <rFont val="MS Sans Serif"/>
      </rPr>
      <t xml:space="preserve"> in Average Rural Area</t>
    </r>
  </si>
  <si>
    <r>
      <t xml:space="preserve">B = </t>
    </r>
    <r>
      <rPr>
        <b/>
        <sz val="10"/>
        <color indexed="12"/>
        <rFont val="MS Sans Serif"/>
        <family val="2"/>
      </rPr>
      <t>0.16</t>
    </r>
    <r>
      <rPr>
        <sz val="10"/>
        <rFont val="MS Sans Serif"/>
      </rPr>
      <t xml:space="preserve"> in Heavy Rural Area, and</t>
    </r>
  </si>
  <si>
    <r>
      <t xml:space="preserve">A = </t>
    </r>
    <r>
      <rPr>
        <b/>
        <sz val="10"/>
        <color indexed="12"/>
        <rFont val="MS Sans Serif"/>
        <family val="2"/>
      </rPr>
      <t>50</t>
    </r>
    <r>
      <rPr>
        <sz val="10"/>
        <rFont val="MS Sans Serif"/>
      </rPr>
      <t xml:space="preserve"> for a two lane road</t>
    </r>
  </si>
  <si>
    <r>
      <t xml:space="preserve">A = </t>
    </r>
    <r>
      <rPr>
        <b/>
        <sz val="10"/>
        <color indexed="12"/>
        <rFont val="MS Sans Serif"/>
        <family val="2"/>
      </rPr>
      <t>45</t>
    </r>
    <r>
      <rPr>
        <sz val="10"/>
        <rFont val="MS Sans Serif"/>
      </rPr>
      <t xml:space="preserve"> for a four lane road, and</t>
    </r>
  </si>
  <si>
    <t>CUM. Avg</t>
  </si>
  <si>
    <t>Exist. Safe</t>
  </si>
  <si>
    <t>Traffic Vol</t>
  </si>
  <si>
    <t>Accidents</t>
  </si>
  <si>
    <t>Structure</t>
  </si>
  <si>
    <t>Geometry</t>
  </si>
  <si>
    <t>Road Condition</t>
  </si>
  <si>
    <t>This score is a result of Structure and Geometry ratings</t>
  </si>
  <si>
    <t>RC Summary Sheet SW Region</t>
  </si>
  <si>
    <t>Special, M, L, FC</t>
  </si>
  <si>
    <t>Visual</t>
  </si>
  <si>
    <t>14*SW*RC</t>
  </si>
  <si>
    <t>2R,3R, Safety</t>
  </si>
  <si>
    <t>RC RATING SUMMARY:</t>
  </si>
  <si>
    <t>RAP RC project
SW REGION</t>
  </si>
  <si>
    <r>
      <t xml:space="preserve"> ITN and DTN 
GRAPHS
</t>
    </r>
    <r>
      <rPr>
        <b/>
        <sz val="12"/>
        <color indexed="10"/>
        <rFont val="MS Sans Serif"/>
        <family val="2"/>
      </rPr>
      <t>double click
 here</t>
    </r>
  </si>
  <si>
    <t>PROCEDURE:</t>
  </si>
  <si>
    <r>
      <t>Determine the NUMBER OF HEAVY TRUCKS (</t>
    </r>
    <r>
      <rPr>
        <b/>
        <sz val="10"/>
        <rFont val="MS Sans Serif"/>
        <family val="2"/>
      </rPr>
      <t>NHT</t>
    </r>
    <r>
      <rPr>
        <sz val="10"/>
        <rFont val="MS Sans Serif"/>
      </rPr>
      <t>)</t>
    </r>
  </si>
  <si>
    <r>
      <t xml:space="preserve">Type the </t>
    </r>
    <r>
      <rPr>
        <b/>
        <sz val="10"/>
        <color indexed="10"/>
        <rFont val="MS Sans Serif"/>
        <family val="2"/>
      </rPr>
      <t>NHT</t>
    </r>
    <r>
      <rPr>
        <b/>
        <sz val="10"/>
        <rFont val="MS Sans Serif"/>
        <family val="2"/>
      </rPr>
      <t xml:space="preserve"> number in </t>
    </r>
    <r>
      <rPr>
        <b/>
        <sz val="10"/>
        <color indexed="62"/>
        <rFont val="MS Sans Serif"/>
        <family val="2"/>
      </rPr>
      <t>GRAPH</t>
    </r>
    <r>
      <rPr>
        <b/>
        <sz val="10"/>
        <rFont val="MS Sans Serif"/>
        <family val="2"/>
      </rPr>
      <t xml:space="preserve"> above</t>
    </r>
  </si>
  <si>
    <r>
      <t>URBANIZED RURAL AREA</t>
    </r>
    <r>
      <rPr>
        <sz val="10"/>
        <rFont val="MS Sans Serif"/>
        <family val="2"/>
      </rPr>
      <t xml:space="preserve"> is defined as primarily residential with emphasis </t>
    </r>
  </si>
  <si>
    <r>
      <t xml:space="preserve">AVERAGE RURAL AREA </t>
    </r>
    <r>
      <rPr>
        <sz val="10"/>
        <rFont val="MS Sans Serif"/>
        <family val="2"/>
      </rPr>
      <t>is defined as primarily agricultural area with farm to market hauling.</t>
    </r>
  </si>
  <si>
    <r>
      <t>HEAVY RURAL AREA</t>
    </r>
    <r>
      <rPr>
        <sz val="10"/>
        <rFont val="MS Sans Serif"/>
        <family val="2"/>
      </rPr>
      <t xml:space="preserve"> is defined as primarily timbered or industrial use with heavy hauling.</t>
    </r>
  </si>
  <si>
    <r>
      <t>Determine the GROSS MASS OF HEAVY TRUCKS (</t>
    </r>
    <r>
      <rPr>
        <b/>
        <sz val="10"/>
        <rFont val="MS Sans Serif"/>
        <family val="2"/>
      </rPr>
      <t>GMHT</t>
    </r>
    <r>
      <rPr>
        <sz val="10"/>
        <rFont val="MS Sans Serif"/>
      </rPr>
      <t>)</t>
    </r>
  </si>
  <si>
    <r>
      <rPr>
        <b/>
        <sz val="10"/>
        <rFont val="MS Sans Serif"/>
        <family val="2"/>
      </rPr>
      <t>GMHT</t>
    </r>
    <r>
      <rPr>
        <sz val="10"/>
        <rFont val="MS Sans Serif"/>
      </rPr>
      <t xml:space="preserve"> = 25k in Urbanized Rural Area</t>
    </r>
  </si>
  <si>
    <r>
      <t xml:space="preserve">Input </t>
    </r>
    <r>
      <rPr>
        <b/>
        <sz val="10"/>
        <color indexed="10"/>
        <rFont val="MS Sans Serif"/>
        <family val="2"/>
      </rPr>
      <t>GMHT</t>
    </r>
    <r>
      <rPr>
        <b/>
        <sz val="10"/>
        <rFont val="MS Sans Serif"/>
        <family val="2"/>
      </rPr>
      <t xml:space="preserve"> in </t>
    </r>
    <r>
      <rPr>
        <b/>
        <sz val="10"/>
        <color indexed="62"/>
        <rFont val="MS Sans Serif"/>
        <family val="2"/>
      </rPr>
      <t>GRAPH</t>
    </r>
  </si>
  <si>
    <r>
      <t>Click on the CALCULATE Button and read the INITIAL TRAFFIC NUMBER (</t>
    </r>
    <r>
      <rPr>
        <b/>
        <sz val="10"/>
        <color indexed="10"/>
        <rFont val="MS Sans Serif"/>
        <family val="2"/>
      </rPr>
      <t>ITN</t>
    </r>
    <r>
      <rPr>
        <sz val="10"/>
        <rFont val="MS Sans Serif"/>
        <family val="2"/>
      </rPr>
      <t xml:space="preserve">) where extended line E B </t>
    </r>
  </si>
  <si>
    <r>
      <t>To determine the DESIGN TRAFFIC NUMBER (</t>
    </r>
    <r>
      <rPr>
        <b/>
        <sz val="10"/>
        <color indexed="10"/>
        <rFont val="MS Sans Serif"/>
        <family val="2"/>
      </rPr>
      <t>DTN</t>
    </r>
    <r>
      <rPr>
        <sz val="10"/>
        <rFont val="MS Sans Serif"/>
        <family val="2"/>
      </rPr>
      <t xml:space="preserve">) of the existing roadway enter </t>
    </r>
  </si>
  <si>
    <r>
      <t>the DESIGN REBOUND DEFLECTION (</t>
    </r>
    <r>
      <rPr>
        <b/>
        <sz val="10"/>
        <color indexed="10"/>
        <rFont val="MS Sans Serif"/>
        <family val="2"/>
      </rPr>
      <t>DRD</t>
    </r>
    <r>
      <rPr>
        <sz val="10"/>
        <rFont val="MS Sans Serif"/>
        <family val="2"/>
      </rPr>
      <t xml:space="preserve">) from the STRUCTURAL ADEQUACY EVALUATION tests </t>
    </r>
  </si>
  <si>
    <r>
      <t xml:space="preserve">made by the Benkelman Beam or Road Rater in the  </t>
    </r>
    <r>
      <rPr>
        <b/>
        <sz val="10"/>
        <color indexed="62"/>
        <rFont val="MS Sans Serif"/>
        <family val="2"/>
      </rPr>
      <t>DTN GRAPH</t>
    </r>
    <r>
      <rPr>
        <sz val="10"/>
        <rFont val="MS Sans Serif"/>
        <family val="2"/>
      </rPr>
      <t xml:space="preserve"> (2nd page of the PDF file) and click the Calculate button.</t>
    </r>
  </si>
  <si>
    <t>7)</t>
  </si>
  <si>
    <r>
      <t xml:space="preserve">ENTER   </t>
    </r>
    <r>
      <rPr>
        <b/>
        <sz val="10"/>
        <rFont val="MS Sans Serif"/>
      </rPr>
      <t>DRD</t>
    </r>
    <r>
      <rPr>
        <sz val="10"/>
        <rFont val="MS Sans Serif"/>
        <family val="2"/>
      </rPr>
      <t xml:space="preserve">,   </t>
    </r>
    <r>
      <rPr>
        <b/>
        <sz val="10"/>
        <rFont val="MS Sans Serif"/>
      </rPr>
      <t>ITN</t>
    </r>
    <r>
      <rPr>
        <sz val="10"/>
        <rFont val="MS Sans Serif"/>
        <family val="2"/>
      </rPr>
      <t xml:space="preserve">   AND   </t>
    </r>
    <r>
      <rPr>
        <b/>
        <sz val="10"/>
        <rFont val="MS Sans Serif"/>
      </rPr>
      <t>DTN</t>
    </r>
    <r>
      <rPr>
        <sz val="10"/>
        <rFont val="MS Sans Serif"/>
        <family val="2"/>
      </rPr>
      <t xml:space="preserve">   IN BOXES ABOVE</t>
    </r>
  </si>
  <si>
    <t>Follow Instructions 
Below</t>
  </si>
  <si>
    <t>IF USING NON-DESTRUCTIVE TESTING DATA, FOLLOW INSTRUCTIONS 1- BELOW:</t>
  </si>
  <si>
    <t>See Below</t>
  </si>
  <si>
    <t>Surface Rating:</t>
  </si>
  <si>
    <r>
      <rPr>
        <b/>
        <sz val="8"/>
        <rFont val="MS Sans Serif"/>
        <family val="2"/>
      </rPr>
      <t>Right</t>
    </r>
    <r>
      <rPr>
        <sz val="8"/>
        <rFont val="MS Sans Serif"/>
        <family val="2"/>
      </rPr>
      <t xml:space="preserve"> is the</t>
    </r>
    <r>
      <rPr>
        <b/>
        <sz val="8"/>
        <color indexed="62"/>
        <rFont val="MS Sans Serif"/>
        <family val="2"/>
      </rPr>
      <t xml:space="preserve"> ITN DTN GRAPHS</t>
    </r>
    <r>
      <rPr>
        <sz val="8"/>
        <rFont val="MS Sans Serif"/>
        <family val="2"/>
      </rPr>
      <t xml:space="preserve"> for NW and SW structural rating.  To get the ITN and DTN values, follow the </t>
    </r>
    <r>
      <rPr>
        <b/>
        <sz val="8"/>
        <color indexed="62"/>
        <rFont val="MS Sans Serif"/>
        <family val="2"/>
      </rPr>
      <t>PROCEDURE</t>
    </r>
    <r>
      <rPr>
        <sz val="8"/>
        <rFont val="MS Sans Serif"/>
        <family val="2"/>
      </rPr>
      <t xml:space="preserve"> listed below and then input the resulting NHT and GMHT values in the graphs.  Input the results in </t>
    </r>
    <r>
      <rPr>
        <b/>
        <sz val="8"/>
        <color indexed="62"/>
        <rFont val="MS Sans Serif"/>
        <family val="2"/>
      </rPr>
      <t>Step 7</t>
    </r>
  </si>
  <si>
    <r>
      <t>GRAVEL</t>
    </r>
    <r>
      <rPr>
        <sz val="8"/>
        <rFont val="MS Sans Serif"/>
      </rPr>
      <t xml:space="preserve"> ROADBED WIDTH</t>
    </r>
  </si>
  <si>
    <r>
      <rPr>
        <sz val="10"/>
        <rFont val="MS Sans Serif"/>
      </rPr>
      <t xml:space="preserve">     </t>
    </r>
    <r>
      <rPr>
        <u/>
        <sz val="10"/>
        <rFont val="MS Sans Serif"/>
        <family val="2"/>
      </rPr>
      <t>Traffic Volume Rating</t>
    </r>
  </si>
  <si>
    <t>based on the Table below.</t>
  </si>
  <si>
    <r>
      <rPr>
        <b/>
        <sz val="10"/>
        <rFont val="MS Sans Serif"/>
      </rPr>
      <t>TRAFFIC VOLUME</t>
    </r>
    <r>
      <rPr>
        <sz val="8"/>
        <rFont val="MS Sans Serif"/>
        <family val="2"/>
      </rPr>
      <t xml:space="preserve"> Calculation Table</t>
    </r>
  </si>
  <si>
    <r>
      <rPr>
        <b/>
        <sz val="10"/>
        <rFont val="MS Sans Serif"/>
      </rPr>
      <t>TRAFFIC ACCIDENT</t>
    </r>
    <r>
      <rPr>
        <b/>
        <sz val="8"/>
        <rFont val="MS Sans Serif"/>
      </rPr>
      <t xml:space="preserve"> </t>
    </r>
    <r>
      <rPr>
        <sz val="8"/>
        <rFont val="MS Sans Serif"/>
        <family val="2"/>
      </rPr>
      <t>Calculation Table</t>
    </r>
  </si>
  <si>
    <t>Proposals below design standards may require WSDOT deviation approval.</t>
  </si>
  <si>
    <t xml:space="preserve">by CRAB staff. </t>
  </si>
  <si>
    <t>AASHTO REFERRENCE TABLES</t>
  </si>
  <si>
    <t>THE TABLES BELOW CALCULATE POINTS BASED ON THE DEFICIENCY TABLES (LEFT)</t>
  </si>
  <si>
    <t>SW REGION WIDTH DEFICIENCY RATING TABLES:</t>
  </si>
  <si>
    <r>
      <rPr>
        <b/>
        <u/>
        <sz val="10"/>
        <rFont val="MS Sans Serif"/>
      </rPr>
      <t xml:space="preserve">PAVEMENT WIDTH </t>
    </r>
    <r>
      <rPr>
        <u/>
        <sz val="10"/>
        <rFont val="MS Sans Serif"/>
        <family val="2"/>
      </rPr>
      <t>CALCUATION TABLE</t>
    </r>
  </si>
  <si>
    <r>
      <rPr>
        <b/>
        <u/>
        <sz val="10"/>
        <rFont val="MS Sans Serif"/>
      </rPr>
      <t xml:space="preserve">ROADBED WIDTH </t>
    </r>
    <r>
      <rPr>
        <u/>
        <sz val="10"/>
        <rFont val="MS Sans Serif"/>
        <family val="2"/>
      </rPr>
      <t>CALCUATION TABLE</t>
    </r>
  </si>
  <si>
    <r>
      <rPr>
        <b/>
        <u/>
        <sz val="10"/>
        <rFont val="MS Sans Serif"/>
      </rPr>
      <t>ROADBED WIDTH</t>
    </r>
    <r>
      <rPr>
        <u/>
        <sz val="10"/>
        <rFont val="MS Sans Serif"/>
        <family val="2"/>
      </rPr>
      <t xml:space="preserve"> CALCUATION TABLE - </t>
    </r>
    <r>
      <rPr>
        <b/>
        <u/>
        <sz val="10"/>
        <rFont val="MS Sans Serif"/>
      </rPr>
      <t>GRAVEL</t>
    </r>
  </si>
  <si>
    <t>AASHTO DESIGN WIDTHS</t>
  </si>
  <si>
    <t>Used to adjust points by extent of improvement</t>
  </si>
  <si>
    <r>
      <t xml:space="preserve">DESIGN </t>
    </r>
    <r>
      <rPr>
        <b/>
        <sz val="10"/>
        <rFont val="MS Sans Serif"/>
        <family val="2"/>
      </rPr>
      <t>ROADBED WIDTH</t>
    </r>
    <r>
      <rPr>
        <sz val="10"/>
        <rFont val="MS Sans Serif"/>
        <family val="2"/>
      </rPr>
      <t xml:space="preserve"> CALCULATION</t>
    </r>
  </si>
  <si>
    <t>ROADBED WIDTH:</t>
  </si>
  <si>
    <t xml:space="preserve">     Cannot gain points for greater than:</t>
  </si>
  <si>
    <t>See tables at right</t>
  </si>
  <si>
    <t>'Roadbed' is shoulder to shoulder</t>
  </si>
  <si>
    <t>See sheets below</t>
  </si>
  <si>
    <t>STRUCTURE RATING</t>
  </si>
  <si>
    <t>PAVEMENT SURFACE</t>
  </si>
  <si>
    <t>PSC preformed by CRAB</t>
  </si>
  <si>
    <t>PSC provided by CRAB</t>
  </si>
  <si>
    <t>RC Score</t>
  </si>
  <si>
    <t>Pavement distress types and measurements are defined by Northwest Pavement Management Association Pavement Surface Condition Field Rating Manual for Asphalt Concrete and Portland Cement Concrete.</t>
  </si>
  <si>
    <t>PSC</t>
  </si>
  <si>
    <t xml:space="preserve"> (RC)</t>
  </si>
  <si>
    <t>Surfaced Roads</t>
  </si>
  <si>
    <t>Dirt or Gravel Roads</t>
  </si>
  <si>
    <t>STRUCTURE SUBTOTAL</t>
  </si>
  <si>
    <r>
      <t xml:space="preserve">/250 X </t>
    </r>
    <r>
      <rPr>
        <b/>
        <sz val="10"/>
        <rFont val="MS Sans Serif"/>
        <family val="2"/>
      </rPr>
      <t>50</t>
    </r>
    <r>
      <rPr>
        <sz val="10"/>
        <rFont val="MS Sans Serif"/>
        <family val="2"/>
      </rPr>
      <t>= ROADWAY SURFACE CONDITION RATING - GRAVEL</t>
    </r>
  </si>
  <si>
    <t>STRUCTURE AND GEOM. COMBINATION</t>
  </si>
  <si>
    <t>ROADWAY SURFACE CONDITION - GRAVEL (50Points Max.)</t>
  </si>
  <si>
    <r>
      <t xml:space="preserve">Last </t>
    </r>
    <r>
      <rPr>
        <b/>
        <sz val="10"/>
        <color rgb="FFFF0000"/>
        <rFont val="Arial"/>
        <family val="2"/>
      </rPr>
      <t>3</t>
    </r>
    <r>
      <rPr>
        <b/>
        <sz val="10"/>
        <color rgb="FFFF0000"/>
        <rFont val="MS Sans Serif"/>
      </rPr>
      <t xml:space="preserve"> full years:</t>
    </r>
  </si>
  <si>
    <t>ACCIDENTS</t>
  </si>
  <si>
    <t>SW - RC</t>
  </si>
  <si>
    <t>Review Points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</si>
</sst>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#"/>
    <numFmt numFmtId="165" formatCode="0.0"/>
    <numFmt numFmtId="166" formatCode="_(* #,##0_);_(* \(#,##0\);_(* &quot;-&quot;??_);_(@_)"/>
    <numFmt numFmtId="167" formatCode="0#"/>
    <numFmt numFmtId="168" formatCode="yyyy"/>
  </numFmts>
  <fonts count="89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0"/>
      <name val="Arial"/>
      <family val="2"/>
    </font>
    <font>
      <b/>
      <u/>
      <sz val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30"/>
      <name val="MS Sans Serif"/>
      <family val="2"/>
    </font>
    <font>
      <u/>
      <sz val="10"/>
      <name val="MS Sans Serif"/>
      <family val="2"/>
    </font>
    <font>
      <b/>
      <sz val="10"/>
      <color indexed="10"/>
      <name val="MS Sans Serif"/>
      <family val="2"/>
    </font>
    <font>
      <b/>
      <u/>
      <sz val="10"/>
      <name val="MS Sans Serif"/>
      <family val="2"/>
    </font>
    <font>
      <b/>
      <sz val="10"/>
      <name val="MS Sans Serif"/>
      <family val="2"/>
    </font>
    <font>
      <sz val="9.5"/>
      <name val="MS Sans Serif"/>
      <family val="2"/>
    </font>
    <font>
      <b/>
      <sz val="12"/>
      <name val="MS Sans Serif"/>
      <family val="2"/>
    </font>
    <font>
      <u/>
      <sz val="8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2"/>
      <name val="MS Sans Serif"/>
      <family val="2"/>
    </font>
    <font>
      <sz val="10"/>
      <color indexed="14"/>
      <name val="MS Sans Serif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sz val="8"/>
      <name val="MS Sans Serif"/>
      <family val="2"/>
    </font>
    <font>
      <sz val="8.5"/>
      <name val="MS Sans Serif"/>
      <family val="2"/>
    </font>
    <font>
      <sz val="10"/>
      <color indexed="10"/>
      <name val="MS Sans Serif"/>
      <family val="2"/>
    </font>
    <font>
      <b/>
      <sz val="10"/>
      <color indexed="14"/>
      <name val="MS Sans Serif"/>
      <family val="2"/>
    </font>
    <font>
      <b/>
      <sz val="12"/>
      <color indexed="10"/>
      <name val="MS Sans Serif"/>
      <family val="2"/>
    </font>
    <font>
      <b/>
      <sz val="12"/>
      <name val="MS Sans Serif"/>
      <family val="2"/>
    </font>
    <font>
      <b/>
      <sz val="8"/>
      <color indexed="12"/>
      <name val="MS Sans Serif"/>
      <family val="2"/>
    </font>
    <font>
      <b/>
      <u/>
      <sz val="12"/>
      <color indexed="14"/>
      <name val="MS Sans Serif"/>
      <family val="2"/>
    </font>
    <font>
      <sz val="10"/>
      <name val="MS Sans Serif"/>
      <family val="2"/>
    </font>
    <font>
      <sz val="8.5"/>
      <color indexed="10"/>
      <name val="MS Sans Serif"/>
      <family val="2"/>
    </font>
    <font>
      <b/>
      <sz val="10"/>
      <color indexed="14"/>
      <name val="MS Sans Serif"/>
      <family val="2"/>
    </font>
    <font>
      <sz val="12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MS Sans Serif"/>
      <family val="2"/>
    </font>
    <font>
      <u/>
      <sz val="8"/>
      <name val="MS Sans Serif"/>
      <family val="2"/>
    </font>
    <font>
      <sz val="10"/>
      <color indexed="9"/>
      <name val="MS Sans Serif"/>
      <family val="2"/>
    </font>
    <font>
      <b/>
      <sz val="14"/>
      <color indexed="10"/>
      <name val="MS Sans Serif"/>
      <family val="2"/>
    </font>
    <font>
      <sz val="8"/>
      <name val="Arial"/>
      <family val="2"/>
    </font>
    <font>
      <b/>
      <sz val="10"/>
      <color indexed="12"/>
      <name val="MS Sans Serif"/>
      <family val="2"/>
    </font>
    <font>
      <b/>
      <i/>
      <sz val="12"/>
      <name val="Arial"/>
      <family val="2"/>
    </font>
    <font>
      <sz val="12"/>
      <name val="Times New Roman"/>
      <family val="1"/>
    </font>
    <font>
      <sz val="18"/>
      <name val="MS Sans Serif"/>
      <family val="2"/>
    </font>
    <font>
      <b/>
      <sz val="18"/>
      <name val="MS Sans Serif"/>
      <family val="2"/>
    </font>
    <font>
      <sz val="20"/>
      <name val="Calibri"/>
      <family val="2"/>
    </font>
    <font>
      <sz val="8"/>
      <color indexed="9"/>
      <name val="Arial"/>
      <family val="2"/>
    </font>
    <font>
      <b/>
      <i/>
      <sz val="10"/>
      <name val="MS Sans Serif"/>
      <family val="2"/>
    </font>
    <font>
      <i/>
      <sz val="10"/>
      <name val="MS Sans Serif"/>
      <family val="2"/>
    </font>
    <font>
      <sz val="10"/>
      <color theme="0"/>
      <name val="MS Sans Serif"/>
      <family val="2"/>
    </font>
    <font>
      <b/>
      <i/>
      <sz val="10"/>
      <color theme="0" tint="-0.499984740745262"/>
      <name val="MS Sans Serif"/>
      <family val="2"/>
    </font>
    <font>
      <i/>
      <sz val="10"/>
      <color theme="0" tint="-0.499984740745262"/>
      <name val="MS Sans Serif"/>
      <family val="2"/>
    </font>
    <font>
      <sz val="18"/>
      <name val="Arial"/>
      <family val="2"/>
    </font>
    <font>
      <b/>
      <sz val="18"/>
      <color rgb="FF002060"/>
      <name val="Arial"/>
      <family val="2"/>
    </font>
    <font>
      <b/>
      <sz val="10"/>
      <color rgb="FF7030A0"/>
      <name val="MS Sans Serif"/>
      <family val="2"/>
    </font>
    <font>
      <b/>
      <sz val="10"/>
      <color indexed="62"/>
      <name val="MS Sans Serif"/>
      <family val="2"/>
    </font>
    <font>
      <b/>
      <sz val="14"/>
      <color rgb="FF7030A0"/>
      <name val="MS Sans Serif"/>
      <family val="2"/>
    </font>
    <font>
      <b/>
      <sz val="12"/>
      <color rgb="FF7030A0"/>
      <name val="MS Sans Serif"/>
      <family val="2"/>
    </font>
    <font>
      <b/>
      <sz val="10"/>
      <name val="MS Sans Serif"/>
    </font>
    <font>
      <b/>
      <sz val="8"/>
      <name val="Arial"/>
      <family val="2"/>
    </font>
    <font>
      <sz val="10"/>
      <color theme="0" tint="-0.14999847407452621"/>
      <name val="MS Sans Serif"/>
      <family val="2"/>
    </font>
    <font>
      <sz val="10"/>
      <color theme="0" tint="-0.14999847407452621"/>
      <name val="MS Sans Serif"/>
    </font>
    <font>
      <b/>
      <sz val="10"/>
      <color theme="0" tint="-0.14999847407452621"/>
      <name val="MS Sans Serif"/>
    </font>
    <font>
      <sz val="8"/>
      <name val="MS Sans Serif"/>
    </font>
    <font>
      <b/>
      <sz val="10"/>
      <color rgb="FFC00000"/>
      <name val="MS Sans Serif"/>
    </font>
    <font>
      <b/>
      <sz val="8"/>
      <color indexed="62"/>
      <name val="MS Sans Serif"/>
      <family val="2"/>
    </font>
    <font>
      <b/>
      <sz val="8"/>
      <name val="MS Sans Serif"/>
    </font>
    <font>
      <b/>
      <u/>
      <sz val="8"/>
      <name val="MS Sans Serif"/>
    </font>
    <font>
      <u/>
      <sz val="10"/>
      <name val="MS Sans Serif"/>
    </font>
    <font>
      <b/>
      <u/>
      <sz val="10"/>
      <name val="MS Sans Serif"/>
    </font>
    <font>
      <b/>
      <sz val="10"/>
      <color theme="9" tint="-0.499984740745262"/>
      <name val="MS Sans Serif"/>
    </font>
    <font>
      <b/>
      <u/>
      <sz val="14"/>
      <name val="MS Sans Serif"/>
      <family val="2"/>
    </font>
    <font>
      <b/>
      <sz val="14"/>
      <color rgb="FF7030A0"/>
      <name val="MS Sans Serif"/>
    </font>
    <font>
      <b/>
      <sz val="10"/>
      <color rgb="FF7030A0"/>
      <name val="MS Sans Serif"/>
    </font>
    <font>
      <b/>
      <sz val="12"/>
      <color rgb="FF7030A0"/>
      <name val="MS Sans Serif"/>
    </font>
    <font>
      <b/>
      <u/>
      <sz val="12"/>
      <color indexed="12"/>
      <name val="MS Sans Serif"/>
      <family val="2"/>
    </font>
    <font>
      <b/>
      <u/>
      <sz val="18"/>
      <color indexed="12"/>
      <name val="Arial"/>
      <family val="2"/>
    </font>
    <font>
      <b/>
      <sz val="7"/>
      <color indexed="10"/>
      <name val="MS Sans Serif"/>
      <family val="2"/>
    </font>
    <font>
      <sz val="12"/>
      <color indexed="14"/>
      <name val="Arial"/>
      <family val="2"/>
    </font>
    <font>
      <b/>
      <sz val="12"/>
      <color indexed="14"/>
      <name val="Arial"/>
      <family val="2"/>
    </font>
    <font>
      <b/>
      <u/>
      <sz val="10"/>
      <color indexed="12"/>
      <name val="MS Sans Serif"/>
      <family val="2"/>
    </font>
    <font>
      <b/>
      <sz val="10"/>
      <color rgb="FFFF0000"/>
      <name val="Arial"/>
      <family val="2"/>
    </font>
    <font>
      <b/>
      <sz val="10"/>
      <color rgb="FFFF0000"/>
      <name val="MS Sans Serif"/>
    </font>
    <font>
      <b/>
      <sz val="18"/>
      <color indexed="12"/>
      <name val="Arial"/>
      <family val="2"/>
    </font>
    <font>
      <b/>
      <sz val="16"/>
      <color rgb="FFFF0000"/>
      <name val="MS Sans Serif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/>
      <diagonal/>
    </border>
    <border>
      <left/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/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48"/>
      </left>
      <right/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 style="medium">
        <color indexed="48"/>
      </right>
      <top/>
      <bottom style="medium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/>
      <right style="medium">
        <color indexed="50"/>
      </right>
      <top/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medium">
        <color rgb="FF7030A0"/>
      </right>
      <top/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indexed="45"/>
      </left>
      <right/>
      <top style="medium">
        <color indexed="45"/>
      </top>
      <bottom/>
      <diagonal/>
    </border>
    <border>
      <left/>
      <right style="medium">
        <color indexed="45"/>
      </right>
      <top style="medium">
        <color indexed="45"/>
      </top>
      <bottom/>
      <diagonal/>
    </border>
    <border>
      <left style="medium">
        <color indexed="45"/>
      </left>
      <right/>
      <top/>
      <bottom style="medium">
        <color indexed="45"/>
      </bottom>
      <diagonal/>
    </border>
    <border>
      <left/>
      <right style="medium">
        <color indexed="45"/>
      </right>
      <top/>
      <bottom style="medium">
        <color indexed="45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medium">
        <color indexed="17"/>
      </top>
      <bottom/>
      <diagonal/>
    </border>
    <border>
      <left style="medium">
        <color indexed="50"/>
      </left>
      <right/>
      <top style="thick">
        <color indexed="50"/>
      </top>
      <bottom/>
      <diagonal/>
    </border>
    <border>
      <left/>
      <right/>
      <top style="thick">
        <color indexed="50"/>
      </top>
      <bottom/>
      <diagonal/>
    </border>
    <border>
      <left/>
      <right style="medium">
        <color indexed="50"/>
      </right>
      <top style="thick">
        <color indexed="50"/>
      </top>
      <bottom/>
      <diagonal/>
    </border>
    <border>
      <left style="medium">
        <color rgb="FF0066FF"/>
      </left>
      <right/>
      <top style="medium">
        <color rgb="FF0066FF"/>
      </top>
      <bottom/>
      <diagonal/>
    </border>
    <border>
      <left/>
      <right/>
      <top style="medium">
        <color rgb="FF0066FF"/>
      </top>
      <bottom/>
      <diagonal/>
    </border>
    <border>
      <left/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/>
      <top/>
      <bottom/>
      <diagonal/>
    </border>
    <border>
      <left/>
      <right style="medium">
        <color rgb="FF0066FF"/>
      </right>
      <top/>
      <bottom/>
      <diagonal/>
    </border>
    <border>
      <left style="medium">
        <color rgb="FF0066FF"/>
      </left>
      <right/>
      <top/>
      <bottom style="medium">
        <color rgb="FF0066FF"/>
      </bottom>
      <diagonal/>
    </border>
    <border>
      <left/>
      <right/>
      <top/>
      <bottom style="medium">
        <color rgb="FF0066FF"/>
      </bottom>
      <diagonal/>
    </border>
    <border>
      <left/>
      <right style="medium">
        <color rgb="FF0066FF"/>
      </right>
      <top/>
      <bottom style="medium">
        <color rgb="FF0066FF"/>
      </bottom>
      <diagonal/>
    </border>
  </borders>
  <cellStyleXfs count="10">
    <xf numFmtId="0" fontId="0" fillId="0" borderId="0"/>
    <xf numFmtId="43" fontId="3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2" fillId="0" borderId="0"/>
    <xf numFmtId="0" fontId="1" fillId="0" borderId="0"/>
    <xf numFmtId="9" fontId="2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68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/>
    </xf>
    <xf numFmtId="2" fontId="9" fillId="0" borderId="0" xfId="0" applyNumberFormat="1" applyFont="1" applyAlignment="1">
      <alignment horizontal="center"/>
    </xf>
    <xf numFmtId="0" fontId="0" fillId="0" borderId="11" xfId="0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24" xfId="0" applyFill="1" applyBorder="1" applyAlignment="1">
      <alignment horizontal="center"/>
    </xf>
    <xf numFmtId="0" fontId="25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0" fillId="0" borderId="11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9" xfId="0" applyBorder="1"/>
    <xf numFmtId="0" fontId="24" fillId="0" borderId="5" xfId="0" applyFont="1" applyBorder="1" applyAlignment="1">
      <alignment horizontal="left"/>
    </xf>
    <xf numFmtId="0" fontId="0" fillId="0" borderId="0" xfId="0" applyProtection="1"/>
    <xf numFmtId="9" fontId="6" fillId="0" borderId="0" xfId="6" applyFont="1" applyBorder="1" applyAlignment="1" applyProtection="1">
      <alignment horizontal="right"/>
    </xf>
    <xf numFmtId="2" fontId="0" fillId="0" borderId="11" xfId="0" applyNumberFormat="1" applyBorder="1" applyAlignment="1">
      <alignment horizontal="center"/>
    </xf>
    <xf numFmtId="0" fontId="24" fillId="0" borderId="5" xfId="0" applyFont="1" applyBorder="1"/>
    <xf numFmtId="0" fontId="45" fillId="0" borderId="0" xfId="3" applyFont="1" applyAlignment="1">
      <alignment horizontal="left"/>
    </xf>
    <xf numFmtId="0" fontId="36" fillId="0" borderId="0" xfId="3" applyFont="1"/>
    <xf numFmtId="0" fontId="46" fillId="0" borderId="0" xfId="3" applyFont="1" applyAlignment="1">
      <alignment horizontal="center"/>
    </xf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 indent="1"/>
    </xf>
    <xf numFmtId="0" fontId="46" fillId="0" borderId="0" xfId="3" applyFont="1"/>
    <xf numFmtId="0" fontId="46" fillId="0" borderId="0" xfId="3" applyFont="1" applyAlignment="1">
      <alignment horizontal="left" indent="2"/>
    </xf>
    <xf numFmtId="0" fontId="46" fillId="0" borderId="0" xfId="3" applyFont="1" applyAlignment="1">
      <alignment horizontal="left"/>
    </xf>
    <xf numFmtId="0" fontId="46" fillId="0" borderId="0" xfId="3" applyFont="1" applyAlignment="1">
      <alignment horizontal="left" indent="4"/>
    </xf>
    <xf numFmtId="0" fontId="46" fillId="0" borderId="0" xfId="3" applyFont="1" applyAlignment="1">
      <alignment horizontal="left" indent="6"/>
    </xf>
    <xf numFmtId="0" fontId="38" fillId="0" borderId="0" xfId="3" applyFont="1"/>
    <xf numFmtId="0" fontId="0" fillId="0" borderId="26" xfId="0" applyBorder="1"/>
    <xf numFmtId="0" fontId="31" fillId="0" borderId="27" xfId="0" applyFont="1" applyFill="1" applyBorder="1" applyAlignment="1">
      <alignment horizontal="left"/>
    </xf>
    <xf numFmtId="0" fontId="0" fillId="0" borderId="27" xfId="0" applyBorder="1"/>
    <xf numFmtId="0" fontId="35" fillId="0" borderId="27" xfId="0" applyFont="1" applyFill="1" applyBorder="1" applyAlignment="1" applyProtection="1">
      <alignment horizontal="center" vertical="center" wrapText="1"/>
    </xf>
    <xf numFmtId="0" fontId="0" fillId="0" borderId="28" xfId="0" applyBorder="1"/>
    <xf numFmtId="0" fontId="12" fillId="0" borderId="29" xfId="0" applyFont="1" applyBorder="1"/>
    <xf numFmtId="0" fontId="0" fillId="0" borderId="30" xfId="0" applyBorder="1"/>
    <xf numFmtId="0" fontId="0" fillId="0" borderId="29" xfId="0" applyBorder="1"/>
    <xf numFmtId="0" fontId="3" fillId="0" borderId="0" xfId="2" applyBorder="1" applyAlignment="1" applyProtection="1">
      <protection locked="0"/>
    </xf>
    <xf numFmtId="0" fontId="12" fillId="0" borderId="0" xfId="0" applyFont="1" applyBorder="1"/>
    <xf numFmtId="0" fontId="24" fillId="0" borderId="0" xfId="0" applyFont="1" applyBorder="1"/>
    <xf numFmtId="0" fontId="0" fillId="0" borderId="30" xfId="0" applyBorder="1" applyProtection="1"/>
    <xf numFmtId="0" fontId="43" fillId="0" borderId="0" xfId="0" applyFont="1" applyBorder="1" applyProtection="1"/>
    <xf numFmtId="0" fontId="0" fillId="0" borderId="30" xfId="0" applyBorder="1" applyAlignment="1" applyProtection="1">
      <alignment vertical="top"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vertical="top" wrapText="1"/>
    </xf>
    <xf numFmtId="0" fontId="0" fillId="0" borderId="31" xfId="0" applyBorder="1"/>
    <xf numFmtId="0" fontId="0" fillId="0" borderId="32" xfId="0" applyBorder="1"/>
    <xf numFmtId="168" fontId="26" fillId="0" borderId="32" xfId="0" applyNumberFormat="1" applyFont="1" applyBorder="1" applyAlignment="1" applyProtection="1">
      <alignment horizontal="center"/>
    </xf>
    <xf numFmtId="0" fontId="8" fillId="0" borderId="32" xfId="0" applyFont="1" applyBorder="1" applyAlignment="1">
      <alignment horizontal="center" vertical="center"/>
    </xf>
    <xf numFmtId="0" fontId="0" fillId="0" borderId="32" xfId="0" applyFill="1" applyBorder="1" applyAlignment="1" applyProtection="1">
      <alignment horizontal="center" vertical="top" wrapText="1"/>
    </xf>
    <xf numFmtId="0" fontId="0" fillId="0" borderId="32" xfId="0" applyBorder="1" applyProtection="1"/>
    <xf numFmtId="0" fontId="0" fillId="0" borderId="33" xfId="0" applyBorder="1" applyAlignment="1" applyProtection="1">
      <alignment vertical="top" wrapText="1"/>
    </xf>
    <xf numFmtId="0" fontId="0" fillId="0" borderId="27" xfId="0" applyFill="1" applyBorder="1" applyAlignment="1" applyProtection="1">
      <alignment horizontal="center"/>
    </xf>
    <xf numFmtId="0" fontId="0" fillId="0" borderId="27" xfId="0" applyBorder="1" applyAlignment="1" applyProtection="1">
      <alignment horizontal="center" vertical="top" wrapText="1"/>
    </xf>
    <xf numFmtId="0" fontId="0" fillId="0" borderId="27" xfId="0" applyBorder="1" applyAlignment="1" applyProtection="1">
      <alignment horizontal="center"/>
    </xf>
    <xf numFmtId="0" fontId="0" fillId="0" borderId="27" xfId="0" applyBorder="1" applyProtection="1"/>
    <xf numFmtId="0" fontId="0" fillId="0" borderId="28" xfId="0" applyBorder="1" applyProtection="1"/>
    <xf numFmtId="0" fontId="0" fillId="0" borderId="0" xfId="0" applyBorder="1" applyProtection="1"/>
    <xf numFmtId="0" fontId="3" fillId="0" borderId="0" xfId="2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19" fillId="0" borderId="0" xfId="0" applyFont="1" applyBorder="1" applyAlignment="1">
      <alignment vertical="center"/>
    </xf>
    <xf numFmtId="0" fontId="26" fillId="0" borderId="0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0" xfId="0" applyBorder="1" applyAlignment="1" applyProtection="1">
      <alignment horizontal="right"/>
    </xf>
    <xf numFmtId="0" fontId="0" fillId="0" borderId="32" xfId="0" applyBorder="1" applyAlignment="1">
      <alignment horizontal="left"/>
    </xf>
    <xf numFmtId="0" fontId="0" fillId="0" borderId="32" xfId="0" applyFill="1" applyBorder="1" applyAlignment="1" applyProtection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19" fillId="0" borderId="32" xfId="0" applyFont="1" applyBorder="1" applyAlignment="1">
      <alignment vertical="center"/>
    </xf>
    <xf numFmtId="0" fontId="0" fillId="0" borderId="32" xfId="0" applyBorder="1" applyAlignment="1" applyProtection="1">
      <alignment horizontal="right"/>
    </xf>
    <xf numFmtId="0" fontId="3" fillId="0" borderId="32" xfId="2" applyBorder="1" applyAlignment="1" applyProtection="1"/>
    <xf numFmtId="0" fontId="0" fillId="0" borderId="33" xfId="0" applyBorder="1"/>
    <xf numFmtId="0" fontId="0" fillId="0" borderId="27" xfId="0" applyBorder="1" applyAlignment="1">
      <alignment horizontal="left"/>
    </xf>
    <xf numFmtId="0" fontId="11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vertical="center"/>
    </xf>
    <xf numFmtId="0" fontId="12" fillId="0" borderId="29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33" fillId="0" borderId="0" xfId="0" quotePrefix="1" applyFont="1" applyBorder="1"/>
    <xf numFmtId="0" fontId="39" fillId="0" borderId="0" xfId="0" applyFont="1" applyBorder="1" applyAlignment="1">
      <alignment horizontal="center"/>
    </xf>
    <xf numFmtId="0" fontId="24" fillId="0" borderId="0" xfId="0" applyFont="1" applyBorder="1" applyAlignment="1">
      <alignment vertical="center" wrapText="1"/>
    </xf>
    <xf numFmtId="0" fontId="0" fillId="0" borderId="0" xfId="0" applyBorder="1" applyAlignment="1"/>
    <xf numFmtId="0" fontId="6" fillId="0" borderId="0" xfId="0" applyFont="1" applyBorder="1"/>
    <xf numFmtId="0" fontId="6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 applyProtection="1">
      <alignment horizontal="center"/>
    </xf>
    <xf numFmtId="0" fontId="24" fillId="0" borderId="0" xfId="0" applyFont="1" applyBorder="1" applyProtection="1"/>
    <xf numFmtId="0" fontId="40" fillId="0" borderId="0" xfId="0" applyFont="1" applyBorder="1" applyAlignment="1" applyProtection="1">
      <alignment horizontal="center"/>
    </xf>
    <xf numFmtId="0" fontId="16" fillId="0" borderId="0" xfId="0" applyFont="1" applyBorder="1" applyAlignment="1">
      <alignment horizontal="center"/>
    </xf>
    <xf numFmtId="0" fontId="42" fillId="0" borderId="29" xfId="0" applyFont="1" applyBorder="1" applyAlignment="1">
      <alignment horizontal="center" vertical="top"/>
    </xf>
    <xf numFmtId="9" fontId="0" fillId="0" borderId="0" xfId="6" applyFont="1" applyBorder="1" applyAlignment="1" applyProtection="1">
      <alignment horizontal="center"/>
    </xf>
    <xf numFmtId="9" fontId="41" fillId="0" borderId="0" xfId="6" applyFont="1" applyBorder="1" applyAlignment="1" applyProtection="1">
      <alignment horizontal="center"/>
    </xf>
    <xf numFmtId="0" fontId="42" fillId="0" borderId="0" xfId="0" applyFont="1" applyBorder="1" applyAlignment="1">
      <alignment horizontal="center" vertical="top"/>
    </xf>
    <xf numFmtId="0" fontId="42" fillId="0" borderId="29" xfId="0" applyFont="1" applyBorder="1" applyAlignment="1" applyProtection="1">
      <alignment horizontal="right" vertical="top"/>
    </xf>
    <xf numFmtId="9" fontId="26" fillId="0" borderId="0" xfId="6" applyFont="1" applyBorder="1" applyAlignment="1" applyProtection="1"/>
    <xf numFmtId="0" fontId="42" fillId="0" borderId="0" xfId="0" applyFont="1" applyBorder="1" applyAlignment="1" applyProtection="1">
      <alignment horizontal="right" vertical="top"/>
    </xf>
    <xf numFmtId="0" fontId="11" fillId="0" borderId="32" xfId="0" applyFont="1" applyBorder="1" applyAlignment="1">
      <alignment vertical="top" wrapText="1"/>
    </xf>
    <xf numFmtId="0" fontId="53" fillId="0" borderId="5" xfId="0" applyFont="1" applyBorder="1" applyAlignment="1">
      <alignment horizontal="center"/>
    </xf>
    <xf numFmtId="0" fontId="53" fillId="0" borderId="5" xfId="0" applyFont="1" applyBorder="1"/>
    <xf numFmtId="0" fontId="2" fillId="0" borderId="0" xfId="0" applyFont="1" applyAlignment="1" applyProtection="1">
      <alignment horizontal="center"/>
    </xf>
    <xf numFmtId="0" fontId="50" fillId="0" borderId="0" xfId="0" applyFont="1" applyAlignment="1" applyProtection="1">
      <alignment horizontal="left" vertical="top"/>
    </xf>
    <xf numFmtId="0" fontId="37" fillId="0" borderId="0" xfId="0" applyFont="1" applyAlignment="1" applyProtection="1">
      <alignment horizontal="right" vertical="top"/>
    </xf>
    <xf numFmtId="0" fontId="22" fillId="0" borderId="0" xfId="0" applyFont="1" applyAlignment="1" applyProtection="1">
      <alignment horizontal="left"/>
    </xf>
    <xf numFmtId="0" fontId="36" fillId="0" borderId="0" xfId="0" applyFont="1" applyAlignment="1" applyProtection="1">
      <alignment horizontal="left" vertical="top"/>
    </xf>
    <xf numFmtId="0" fontId="37" fillId="0" borderId="0" xfId="0" quotePrefix="1" applyFont="1" applyAlignment="1" applyProtection="1">
      <alignment horizontal="center" vertical="top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49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right"/>
    </xf>
    <xf numFmtId="4" fontId="0" fillId="0" borderId="11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51" fillId="3" borderId="0" xfId="0" applyFont="1" applyFill="1" applyAlignment="1" applyProtection="1">
      <alignment horizontal="right"/>
    </xf>
    <xf numFmtId="0" fontId="52" fillId="0" borderId="0" xfId="0" applyFont="1" applyAlignment="1" applyProtection="1">
      <alignment horizontal="right"/>
    </xf>
    <xf numFmtId="0" fontId="52" fillId="3" borderId="0" xfId="0" applyFont="1" applyFill="1" applyAlignment="1" applyProtection="1">
      <alignment horizontal="right"/>
    </xf>
    <xf numFmtId="0" fontId="54" fillId="3" borderId="0" xfId="0" applyFont="1" applyFill="1" applyAlignment="1" applyProtection="1">
      <alignment horizontal="right"/>
    </xf>
    <xf numFmtId="0" fontId="55" fillId="0" borderId="0" xfId="0" applyFont="1" applyAlignment="1" applyProtection="1">
      <alignment horizontal="right"/>
    </xf>
    <xf numFmtId="0" fontId="54" fillId="0" borderId="0" xfId="0" applyFont="1" applyFill="1" applyAlignment="1" applyProtection="1">
      <alignment horizontal="right"/>
    </xf>
    <xf numFmtId="4" fontId="0" fillId="3" borderId="0" xfId="0" applyNumberFormat="1" applyFill="1" applyBorder="1" applyAlignment="1" applyProtection="1">
      <alignment horizontal="center"/>
    </xf>
    <xf numFmtId="168" fontId="11" fillId="0" borderId="0" xfId="0" quotePrefix="1" applyNumberFormat="1" applyFont="1" applyBorder="1" applyAlignment="1" applyProtection="1">
      <alignment horizontal="center"/>
    </xf>
    <xf numFmtId="168" fontId="11" fillId="0" borderId="0" xfId="0" applyNumberFormat="1" applyFont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7" fillId="3" borderId="0" xfId="0" applyFont="1" applyFill="1" applyAlignment="1" applyProtection="1">
      <alignment horizontal="right"/>
    </xf>
    <xf numFmtId="4" fontId="0" fillId="3" borderId="11" xfId="0" applyNumberFormat="1" applyFill="1" applyBorder="1" applyAlignment="1" applyProtection="1">
      <alignment horizontal="center"/>
    </xf>
    <xf numFmtId="0" fontId="5" fillId="0" borderId="2" xfId="5" applyFont="1" applyFill="1" applyBorder="1" applyAlignment="1" applyProtection="1">
      <alignment horizontal="center"/>
    </xf>
    <xf numFmtId="0" fontId="7" fillId="0" borderId="2" xfId="0" applyFont="1" applyFill="1" applyBorder="1"/>
    <xf numFmtId="0" fontId="7" fillId="0" borderId="0" xfId="0" applyFont="1" applyFill="1" applyBorder="1"/>
    <xf numFmtId="0" fontId="5" fillId="0" borderId="0" xfId="5" applyFont="1" applyFill="1" applyBorder="1" applyAlignment="1" applyProtection="1">
      <alignment horizontal="center"/>
    </xf>
    <xf numFmtId="0" fontId="56" fillId="0" borderId="0" xfId="0" applyFont="1" applyAlignment="1">
      <alignment horizontal="center" wrapText="1"/>
    </xf>
    <xf numFmtId="0" fontId="0" fillId="4" borderId="11" xfId="0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>
      <alignment horizontal="left"/>
    </xf>
    <xf numFmtId="0" fontId="20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horizontal="right"/>
    </xf>
    <xf numFmtId="0" fontId="6" fillId="3" borderId="0" xfId="0" applyFont="1" applyFill="1" applyAlignment="1">
      <alignment horizontal="right"/>
    </xf>
    <xf numFmtId="164" fontId="0" fillId="3" borderId="6" xfId="0" applyNumberForma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quotePrefix="1" applyFill="1" applyAlignment="1">
      <alignment horizontal="center"/>
    </xf>
    <xf numFmtId="164" fontId="12" fillId="3" borderId="6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1" fontId="13" fillId="3" borderId="0" xfId="0" applyNumberFormat="1" applyFont="1" applyFill="1" applyAlignment="1"/>
    <xf numFmtId="0" fontId="0" fillId="3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5" borderId="1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31" fillId="3" borderId="0" xfId="0" applyFont="1" applyFill="1" applyAlignment="1">
      <alignment horizontal="left"/>
    </xf>
    <xf numFmtId="0" fontId="35" fillId="3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3" borderId="0" xfId="0" applyFill="1" applyAlignment="1" applyProtection="1">
      <alignment vertical="top" wrapText="1"/>
    </xf>
    <xf numFmtId="0" fontId="3" fillId="0" borderId="0" xfId="2" applyFill="1" applyBorder="1" applyAlignment="1" applyProtection="1">
      <alignment vertical="center" wrapText="1"/>
      <protection locked="0"/>
    </xf>
    <xf numFmtId="0" fontId="29" fillId="3" borderId="0" xfId="0" applyFont="1" applyFill="1" applyBorder="1" applyAlignment="1"/>
    <xf numFmtId="0" fontId="0" fillId="3" borderId="0" xfId="0" applyFill="1" applyBorder="1"/>
    <xf numFmtId="0" fontId="0" fillId="2" borderId="11" xfId="0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6" borderId="37" xfId="7" applyFill="1" applyBorder="1" applyProtection="1"/>
    <xf numFmtId="0" fontId="8" fillId="6" borderId="38" xfId="7" applyFill="1" applyBorder="1" applyProtection="1"/>
    <xf numFmtId="0" fontId="8" fillId="6" borderId="38" xfId="7" applyFill="1" applyBorder="1" applyProtection="1">
      <protection locked="0"/>
    </xf>
    <xf numFmtId="0" fontId="8" fillId="6" borderId="39" xfId="7" applyFill="1" applyBorder="1" applyProtection="1"/>
    <xf numFmtId="0" fontId="8" fillId="6" borderId="40" xfId="7" applyFill="1" applyBorder="1" applyAlignment="1" applyProtection="1"/>
    <xf numFmtId="0" fontId="8" fillId="6" borderId="0" xfId="7" applyFill="1" applyBorder="1" applyProtection="1"/>
    <xf numFmtId="0" fontId="8" fillId="6" borderId="44" xfId="7" applyFill="1" applyBorder="1" applyProtection="1"/>
    <xf numFmtId="0" fontId="8" fillId="6" borderId="40" xfId="7" applyFill="1" applyBorder="1" applyProtection="1"/>
    <xf numFmtId="0" fontId="8" fillId="6" borderId="0" xfId="8" applyFont="1" applyFill="1" applyBorder="1" applyAlignment="1" applyProtection="1">
      <alignment horizontal="left"/>
    </xf>
    <xf numFmtId="0" fontId="61" fillId="6" borderId="40" xfId="8" applyFont="1" applyFill="1" applyBorder="1" applyAlignment="1" applyProtection="1">
      <alignment horizontal="left"/>
    </xf>
    <xf numFmtId="0" fontId="8" fillId="6" borderId="0" xfId="7" applyFont="1" applyFill="1" applyBorder="1" applyAlignment="1" applyProtection="1">
      <alignment horizontal="left"/>
    </xf>
    <xf numFmtId="0" fontId="8" fillId="6" borderId="0" xfId="7" applyFill="1" applyBorder="1" applyAlignment="1" applyProtection="1">
      <alignment horizontal="left"/>
    </xf>
    <xf numFmtId="0" fontId="8" fillId="6" borderId="40" xfId="7" applyFill="1" applyBorder="1" applyAlignment="1" applyProtection="1">
      <alignment horizontal="left"/>
    </xf>
    <xf numFmtId="0" fontId="7" fillId="6" borderId="0" xfId="7" applyFont="1" applyFill="1" applyBorder="1" applyAlignment="1" applyProtection="1">
      <alignment horizontal="left"/>
    </xf>
    <xf numFmtId="0" fontId="8" fillId="6" borderId="0" xfId="8" applyFont="1" applyFill="1" applyBorder="1" applyAlignment="1" applyProtection="1">
      <alignment vertical="top" wrapText="1"/>
    </xf>
    <xf numFmtId="0" fontId="8" fillId="6" borderId="0" xfId="7" applyFill="1" applyBorder="1" applyAlignment="1" applyProtection="1">
      <alignment horizontal="right"/>
    </xf>
    <xf numFmtId="0" fontId="8" fillId="6" borderId="0" xfId="8" applyFont="1" applyFill="1" applyBorder="1" applyAlignment="1" applyProtection="1"/>
    <xf numFmtId="0" fontId="20" fillId="6" borderId="0" xfId="7" applyFont="1" applyFill="1" applyBorder="1" applyAlignment="1" applyProtection="1">
      <alignment vertical="center" wrapText="1"/>
    </xf>
    <xf numFmtId="0" fontId="20" fillId="6" borderId="44" xfId="7" applyFont="1" applyFill="1" applyBorder="1" applyAlignment="1" applyProtection="1">
      <alignment vertical="center" wrapText="1"/>
    </xf>
    <xf numFmtId="0" fontId="7" fillId="6" borderId="0" xfId="8" applyFont="1" applyFill="1" applyBorder="1" applyAlignment="1" applyProtection="1">
      <alignment horizontal="left"/>
    </xf>
    <xf numFmtId="0" fontId="8" fillId="6" borderId="40" xfId="8" applyFont="1" applyFill="1" applyBorder="1" applyAlignment="1" applyProtection="1">
      <alignment horizontal="left"/>
    </xf>
    <xf numFmtId="0" fontId="8" fillId="6" borderId="0" xfId="7" applyFont="1" applyFill="1" applyBorder="1" applyAlignment="1" applyProtection="1">
      <alignment horizontal="center"/>
    </xf>
    <xf numFmtId="0" fontId="18" fillId="6" borderId="0" xfId="8" applyFont="1" applyFill="1" applyBorder="1" applyAlignment="1" applyProtection="1">
      <alignment horizontal="right"/>
    </xf>
    <xf numFmtId="0" fontId="1" fillId="6" borderId="0" xfId="9" applyFill="1" applyBorder="1" applyAlignment="1" applyProtection="1">
      <alignment horizontal="left"/>
    </xf>
    <xf numFmtId="0" fontId="63" fillId="6" borderId="0" xfId="8" applyFont="1" applyFill="1" applyBorder="1" applyAlignment="1" applyProtection="1">
      <alignment horizontal="center"/>
    </xf>
    <xf numFmtId="0" fontId="8" fillId="6" borderId="0" xfId="8" applyFill="1" applyBorder="1" applyAlignment="1"/>
    <xf numFmtId="0" fontId="8" fillId="6" borderId="0" xfId="8" applyFill="1" applyBorder="1" applyAlignment="1">
      <alignment horizontal="left"/>
    </xf>
    <xf numFmtId="0" fontId="8" fillId="6" borderId="0" xfId="8" applyFill="1" applyBorder="1" applyAlignment="1">
      <alignment horizontal="right"/>
    </xf>
    <xf numFmtId="0" fontId="7" fillId="6" borderId="0" xfId="8" applyFont="1" applyFill="1" applyBorder="1" applyAlignment="1">
      <alignment horizontal="left"/>
    </xf>
    <xf numFmtId="0" fontId="7" fillId="6" borderId="0" xfId="8" applyFont="1" applyFill="1" applyBorder="1" applyAlignment="1">
      <alignment horizontal="center"/>
    </xf>
    <xf numFmtId="0" fontId="8" fillId="6" borderId="50" xfId="7" applyFill="1" applyBorder="1" applyProtection="1"/>
    <xf numFmtId="0" fontId="8" fillId="6" borderId="51" xfId="7" applyFill="1" applyBorder="1" applyProtection="1"/>
    <xf numFmtId="0" fontId="8" fillId="6" borderId="52" xfId="7" applyFill="1" applyBorder="1" applyProtection="1"/>
    <xf numFmtId="0" fontId="8" fillId="6" borderId="0" xfId="7" applyFont="1" applyFill="1" applyBorder="1" applyAlignment="1" applyProtection="1">
      <alignment vertical="top" wrapText="1"/>
    </xf>
    <xf numFmtId="0" fontId="0" fillId="6" borderId="0" xfId="0" applyFill="1"/>
    <xf numFmtId="0" fontId="0" fillId="3" borderId="0" xfId="0" applyFill="1" applyAlignment="1">
      <alignment vertical="top" wrapText="1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protection locked="0"/>
    </xf>
    <xf numFmtId="0" fontId="44" fillId="6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6" borderId="0" xfId="0" applyFill="1" applyAlignment="1"/>
    <xf numFmtId="0" fontId="0" fillId="6" borderId="0" xfId="0" applyFill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0" fillId="6" borderId="20" xfId="0" applyFill="1" applyBorder="1" applyAlignment="1">
      <alignment horizontal="left"/>
    </xf>
    <xf numFmtId="3" fontId="7" fillId="6" borderId="6" xfId="0" applyNumberFormat="1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left"/>
    </xf>
    <xf numFmtId="0" fontId="0" fillId="6" borderId="15" xfId="0" applyFill="1" applyBorder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0" xfId="0" applyFont="1" applyFill="1" applyAlignment="1">
      <alignment horizontal="center"/>
    </xf>
    <xf numFmtId="0" fontId="0" fillId="6" borderId="16" xfId="0" applyFill="1" applyBorder="1" applyAlignment="1">
      <alignment horizontal="left"/>
    </xf>
    <xf numFmtId="0" fontId="0" fillId="6" borderId="0" xfId="0" applyFill="1" applyAlignment="1">
      <alignment horizontal="right"/>
    </xf>
    <xf numFmtId="0" fontId="4" fillId="6" borderId="11" xfId="0" applyFont="1" applyFill="1" applyBorder="1" applyAlignment="1">
      <alignment horizontal="left"/>
    </xf>
    <xf numFmtId="0" fontId="4" fillId="6" borderId="23" xfId="0" applyFont="1" applyFill="1" applyBorder="1" applyAlignment="1">
      <alignment horizontal="left"/>
    </xf>
    <xf numFmtId="0" fontId="4" fillId="6" borderId="25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7" fillId="6" borderId="0" xfId="0" applyFont="1" applyFill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8" xfId="0" applyFill="1" applyBorder="1" applyAlignment="1">
      <alignment horizontal="right"/>
    </xf>
    <xf numFmtId="0" fontId="7" fillId="6" borderId="18" xfId="0" applyFont="1" applyFill="1" applyBorder="1" applyAlignment="1">
      <alignment horizontal="center"/>
    </xf>
    <xf numFmtId="3" fontId="7" fillId="6" borderId="18" xfId="0" applyNumberFormat="1" applyFont="1" applyFill="1" applyBorder="1" applyAlignment="1">
      <alignment horizontal="center"/>
    </xf>
    <xf numFmtId="0" fontId="0" fillId="6" borderId="19" xfId="0" applyFill="1" applyBorder="1" applyAlignment="1">
      <alignment horizontal="left"/>
    </xf>
    <xf numFmtId="3" fontId="0" fillId="6" borderId="0" xfId="0" applyNumberFormat="1" applyFill="1" applyAlignment="1">
      <alignment horizontal="right"/>
    </xf>
    <xf numFmtId="0" fontId="0" fillId="6" borderId="13" xfId="0" applyFill="1" applyBorder="1" applyAlignment="1"/>
    <xf numFmtId="3" fontId="7" fillId="2" borderId="11" xfId="0" applyNumberFormat="1" applyFont="1" applyFill="1" applyBorder="1" applyAlignment="1">
      <alignment horizontal="center"/>
    </xf>
    <xf numFmtId="0" fontId="19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/>
    <xf numFmtId="0" fontId="8" fillId="0" borderId="0" xfId="2" applyFont="1" applyBorder="1" applyAlignment="1" applyProtection="1">
      <alignment horizontal="right"/>
    </xf>
    <xf numFmtId="0" fontId="24" fillId="3" borderId="0" xfId="0" applyFont="1" applyFill="1" applyAlignment="1">
      <alignment horizontal="center" vertical="center" wrapText="1"/>
    </xf>
    <xf numFmtId="9" fontId="41" fillId="3" borderId="0" xfId="6" applyFont="1" applyFill="1" applyBorder="1" applyAlignment="1" applyProtection="1">
      <alignment horizontal="center"/>
    </xf>
    <xf numFmtId="0" fontId="65" fillId="3" borderId="0" xfId="0" applyFont="1" applyFill="1"/>
    <xf numFmtId="0" fontId="66" fillId="3" borderId="0" xfId="0" applyFont="1" applyFill="1" applyAlignment="1">
      <alignment wrapText="1"/>
    </xf>
    <xf numFmtId="0" fontId="66" fillId="3" borderId="0" xfId="0" applyFont="1" applyFill="1" applyAlignment="1">
      <alignment vertical="top" wrapText="1"/>
    </xf>
    <xf numFmtId="9" fontId="64" fillId="3" borderId="29" xfId="6" applyFont="1" applyFill="1" applyBorder="1" applyAlignment="1" applyProtection="1">
      <alignment horizontal="center"/>
    </xf>
    <xf numFmtId="0" fontId="7" fillId="6" borderId="0" xfId="0" applyFont="1" applyFill="1" applyAlignment="1">
      <alignment horizontal="left"/>
    </xf>
    <xf numFmtId="2" fontId="0" fillId="6" borderId="11" xfId="0" applyNumberFormat="1" applyFill="1" applyBorder="1" applyAlignment="1">
      <alignment horizontal="left"/>
    </xf>
    <xf numFmtId="0" fontId="60" fillId="6" borderId="40" xfId="7" applyFont="1" applyFill="1" applyBorder="1" applyAlignment="1" applyProtection="1">
      <alignment horizontal="center" vertical="center"/>
    </xf>
    <xf numFmtId="2" fontId="7" fillId="6" borderId="0" xfId="8" quotePrefix="1" applyNumberFormat="1" applyFont="1" applyFill="1" applyBorder="1" applyAlignment="1" applyProtection="1">
      <alignment horizontal="center"/>
    </xf>
    <xf numFmtId="2" fontId="7" fillId="6" borderId="0" xfId="8" quotePrefix="1" applyNumberFormat="1" applyFont="1" applyFill="1" applyBorder="1" applyAlignment="1">
      <alignment horizontal="center"/>
    </xf>
    <xf numFmtId="0" fontId="0" fillId="6" borderId="0" xfId="0" applyFill="1" applyBorder="1"/>
    <xf numFmtId="2" fontId="4" fillId="6" borderId="11" xfId="0" applyNumberFormat="1" applyFont="1" applyFill="1" applyBorder="1" applyAlignment="1">
      <alignment horizontal="left"/>
    </xf>
    <xf numFmtId="2" fontId="4" fillId="6" borderId="25" xfId="0" applyNumberFormat="1" applyFont="1" applyFill="1" applyBorder="1" applyAlignment="1">
      <alignment horizontal="left"/>
    </xf>
    <xf numFmtId="0" fontId="0" fillId="0" borderId="0" xfId="0" applyFill="1"/>
    <xf numFmtId="0" fontId="31" fillId="3" borderId="0" xfId="0" applyFont="1" applyFill="1" applyBorder="1" applyAlignment="1">
      <alignment horizontal="left"/>
    </xf>
    <xf numFmtId="0" fontId="32" fillId="3" borderId="0" xfId="0" applyFont="1" applyFill="1" applyBorder="1" applyAlignment="1">
      <alignment horizontal="left"/>
    </xf>
    <xf numFmtId="4" fontId="34" fillId="3" borderId="0" xfId="0" applyNumberFormat="1" applyFont="1" applyFill="1" applyBorder="1" applyAlignment="1" applyProtection="1">
      <alignment horizontal="center"/>
    </xf>
    <xf numFmtId="2" fontId="0" fillId="3" borderId="0" xfId="0" applyNumberFormat="1" applyFill="1"/>
    <xf numFmtId="0" fontId="67" fillId="0" borderId="0" xfId="0" applyFont="1"/>
    <xf numFmtId="0" fontId="67" fillId="0" borderId="0" xfId="0" applyFont="1" applyBorder="1" applyAlignment="1">
      <alignment horizontal="center"/>
    </xf>
    <xf numFmtId="0" fontId="67" fillId="0" borderId="0" xfId="0" applyFont="1" applyBorder="1" applyAlignment="1" applyProtection="1">
      <alignment horizontal="right"/>
    </xf>
    <xf numFmtId="0" fontId="67" fillId="0" borderId="0" xfId="0" applyFont="1" applyBorder="1" applyAlignment="1">
      <alignment horizontal="right"/>
    </xf>
    <xf numFmtId="0" fontId="67" fillId="0" borderId="0" xfId="0" applyFont="1" applyBorder="1" applyAlignment="1">
      <alignment horizontal="left"/>
    </xf>
    <xf numFmtId="0" fontId="67" fillId="0" borderId="0" xfId="0" applyFont="1" applyBorder="1"/>
    <xf numFmtId="0" fontId="71" fillId="0" borderId="0" xfId="0" applyFont="1" applyBorder="1" applyAlignment="1">
      <alignment horizontal="left"/>
    </xf>
    <xf numFmtId="0" fontId="17" fillId="0" borderId="0" xfId="0" applyFont="1" applyBorder="1" applyAlignment="1" applyProtection="1">
      <alignment horizontal="center"/>
    </xf>
    <xf numFmtId="0" fontId="43" fillId="0" borderId="30" xfId="5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30" xfId="0" applyFont="1" applyBorder="1" applyAlignment="1">
      <alignment horizontal="center"/>
    </xf>
    <xf numFmtId="0" fontId="43" fillId="0" borderId="30" xfId="0" applyFont="1" applyBorder="1" applyAlignment="1" applyProtection="1">
      <alignment horizontal="left"/>
    </xf>
    <xf numFmtId="0" fontId="67" fillId="0" borderId="30" xfId="0" applyFont="1" applyBorder="1"/>
    <xf numFmtId="0" fontId="67" fillId="0" borderId="33" xfId="0" applyFont="1" applyBorder="1"/>
    <xf numFmtId="1" fontId="0" fillId="4" borderId="11" xfId="0" applyNumberForma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>
      <alignment horizontal="center"/>
    </xf>
    <xf numFmtId="0" fontId="72" fillId="3" borderId="0" xfId="0" applyFont="1" applyFill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14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16" fontId="0" fillId="3" borderId="0" xfId="0" quotePrefix="1" applyNumberFormat="1" applyFill="1" applyBorder="1" applyAlignment="1">
      <alignment horizontal="center"/>
    </xf>
    <xf numFmtId="0" fontId="0" fillId="3" borderId="0" xfId="0" applyFill="1" applyBorder="1" applyAlignment="1"/>
    <xf numFmtId="0" fontId="0" fillId="3" borderId="1" xfId="0" applyFill="1" applyBorder="1" applyAlignment="1"/>
    <xf numFmtId="0" fontId="0" fillId="3" borderId="7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32" fillId="3" borderId="0" xfId="4" applyFill="1" applyAlignment="1"/>
    <xf numFmtId="0" fontId="44" fillId="3" borderId="0" xfId="0" applyFont="1" applyFill="1" applyAlignment="1">
      <alignment horizontal="left"/>
    </xf>
    <xf numFmtId="0" fontId="62" fillId="3" borderId="0" xfId="0" applyFont="1" applyFill="1" applyAlignment="1">
      <alignment horizontal="center"/>
    </xf>
    <xf numFmtId="167" fontId="4" fillId="3" borderId="11" xfId="4" applyNumberFormat="1" applyFont="1" applyFill="1" applyBorder="1" applyAlignment="1">
      <alignment horizontal="center"/>
    </xf>
    <xf numFmtId="0" fontId="32" fillId="3" borderId="0" xfId="4" applyFont="1" applyFill="1" applyBorder="1" applyAlignment="1">
      <alignment horizontal="left"/>
    </xf>
    <xf numFmtId="0" fontId="32" fillId="3" borderId="0" xfId="4" applyFill="1" applyBorder="1" applyAlignment="1">
      <alignment horizontal="left"/>
    </xf>
    <xf numFmtId="0" fontId="4" fillId="3" borderId="11" xfId="4" applyFont="1" applyFill="1" applyBorder="1" applyAlignment="1">
      <alignment horizontal="center"/>
    </xf>
    <xf numFmtId="0" fontId="7" fillId="3" borderId="0" xfId="4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2" fillId="3" borderId="0" xfId="4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16" fillId="3" borderId="4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165" fontId="16" fillId="3" borderId="4" xfId="0" applyNumberFormat="1" applyFont="1" applyFill="1" applyBorder="1" applyAlignment="1">
      <alignment horizontal="center"/>
    </xf>
    <xf numFmtId="2" fontId="17" fillId="3" borderId="4" xfId="0" applyNumberFormat="1" applyFont="1" applyFill="1" applyBorder="1" applyAlignment="1">
      <alignment horizontal="center"/>
    </xf>
    <xf numFmtId="165" fontId="17" fillId="3" borderId="4" xfId="0" applyNumberFormat="1" applyFont="1" applyFill="1" applyBorder="1" applyAlignment="1">
      <alignment horizontal="center"/>
    </xf>
    <xf numFmtId="0" fontId="74" fillId="3" borderId="1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67" fillId="3" borderId="7" xfId="0" applyFont="1" applyFill="1" applyBorder="1" applyAlignment="1">
      <alignment horizontal="center"/>
    </xf>
    <xf numFmtId="0" fontId="67" fillId="3" borderId="8" xfId="0" applyFont="1" applyFill="1" applyBorder="1" applyAlignment="1">
      <alignment horizontal="center"/>
    </xf>
    <xf numFmtId="0" fontId="67" fillId="3" borderId="0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2" fontId="17" fillId="3" borderId="7" xfId="0" applyNumberFormat="1" applyFont="1" applyFill="1" applyBorder="1" applyAlignment="1">
      <alignment horizontal="center"/>
    </xf>
    <xf numFmtId="2" fontId="17" fillId="3" borderId="8" xfId="0" applyNumberFormat="1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165" fontId="17" fillId="3" borderId="7" xfId="0" applyNumberFormat="1" applyFont="1" applyFill="1" applyBorder="1" applyAlignment="1">
      <alignment horizontal="center"/>
    </xf>
    <xf numFmtId="165" fontId="17" fillId="3" borderId="8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21" xfId="0" applyFill="1" applyBorder="1" applyAlignment="1">
      <alignment horizontal="left"/>
    </xf>
    <xf numFmtId="0" fontId="0" fillId="3" borderId="21" xfId="0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24" xfId="0" applyFill="1" applyBorder="1"/>
    <xf numFmtId="0" fontId="0" fillId="0" borderId="0" xfId="0" quotePrefix="1" applyBorder="1"/>
    <xf numFmtId="0" fontId="7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center"/>
    </xf>
    <xf numFmtId="0" fontId="65" fillId="3" borderId="0" xfId="0" applyFont="1" applyFill="1" applyBorder="1"/>
    <xf numFmtId="0" fontId="19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/>
    </xf>
    <xf numFmtId="0" fontId="10" fillId="3" borderId="0" xfId="0" quotePrefix="1" applyFont="1" applyFill="1" applyBorder="1" applyAlignment="1">
      <alignment horizontal="center"/>
    </xf>
    <xf numFmtId="0" fontId="12" fillId="3" borderId="4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left"/>
    </xf>
    <xf numFmtId="0" fontId="0" fillId="3" borderId="25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5" fillId="3" borderId="3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5" fillId="3" borderId="5" xfId="0" applyFont="1" applyFill="1" applyBorder="1"/>
    <xf numFmtId="0" fontId="17" fillId="3" borderId="4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65" fillId="3" borderId="9" xfId="0" applyFont="1" applyFill="1" applyBorder="1"/>
    <xf numFmtId="0" fontId="7" fillId="3" borderId="0" xfId="0" applyFont="1" applyFill="1" applyBorder="1" applyAlignment="1">
      <alignment horizontal="left"/>
    </xf>
    <xf numFmtId="0" fontId="0" fillId="3" borderId="4" xfId="0" applyFill="1" applyBorder="1" applyAlignment="1"/>
    <xf numFmtId="0" fontId="0" fillId="3" borderId="5" xfId="0" applyFill="1" applyBorder="1" applyAlignment="1"/>
    <xf numFmtId="0" fontId="44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0" fillId="3" borderId="7" xfId="0" applyFill="1" applyBorder="1" applyAlignment="1"/>
    <xf numFmtId="0" fontId="0" fillId="3" borderId="8" xfId="0" applyFill="1" applyBorder="1" applyAlignment="1"/>
    <xf numFmtId="0" fontId="4" fillId="3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76" fillId="3" borderId="0" xfId="0" applyFont="1" applyFill="1" applyAlignment="1">
      <alignment horizontal="center" vertical="center"/>
    </xf>
    <xf numFmtId="3" fontId="8" fillId="3" borderId="0" xfId="0" applyNumberFormat="1" applyFont="1" applyFill="1" applyBorder="1" applyAlignment="1">
      <alignment horizontal="center"/>
    </xf>
    <xf numFmtId="0" fontId="0" fillId="3" borderId="59" xfId="0" applyFill="1" applyBorder="1" applyAlignment="1"/>
    <xf numFmtId="0" fontId="7" fillId="3" borderId="0" xfId="0" applyFont="1" applyFill="1" applyBorder="1" applyAlignment="1">
      <alignment horizontal="centerContinuous"/>
    </xf>
    <xf numFmtId="0" fontId="0" fillId="3" borderId="60" xfId="0" applyFill="1" applyBorder="1" applyAlignment="1">
      <alignment horizontal="left"/>
    </xf>
    <xf numFmtId="2" fontId="16" fillId="3" borderId="0" xfId="0" applyNumberFormat="1" applyFont="1" applyFill="1" applyBorder="1" applyAlignment="1">
      <alignment horizontal="center"/>
    </xf>
    <xf numFmtId="165" fontId="16" fillId="3" borderId="0" xfId="0" applyNumberFormat="1" applyFont="1" applyFill="1" applyBorder="1" applyAlignment="1">
      <alignment horizontal="center"/>
    </xf>
    <xf numFmtId="2" fontId="17" fillId="3" borderId="0" xfId="0" applyNumberFormat="1" applyFont="1" applyFill="1" applyBorder="1" applyAlignment="1">
      <alignment horizontal="center"/>
    </xf>
    <xf numFmtId="165" fontId="17" fillId="3" borderId="0" xfId="0" applyNumberFormat="1" applyFont="1" applyFill="1" applyBorder="1" applyAlignment="1">
      <alignment horizontal="center"/>
    </xf>
    <xf numFmtId="0" fontId="26" fillId="3" borderId="59" xfId="0" applyFont="1" applyFill="1" applyBorder="1" applyAlignment="1"/>
    <xf numFmtId="0" fontId="26" fillId="3" borderId="0" xfId="0" applyFont="1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62" xfId="0" applyFill="1" applyBorder="1" applyAlignment="1">
      <alignment horizontal="left"/>
    </xf>
    <xf numFmtId="0" fontId="0" fillId="3" borderId="63" xfId="0" applyFill="1" applyBorder="1" applyAlignment="1">
      <alignment horizontal="left"/>
    </xf>
    <xf numFmtId="0" fontId="0" fillId="3" borderId="57" xfId="0" applyFill="1" applyBorder="1" applyAlignment="1"/>
    <xf numFmtId="0" fontId="0" fillId="3" borderId="22" xfId="0" applyFill="1" applyBorder="1" applyAlignment="1">
      <alignment horizontal="left"/>
    </xf>
    <xf numFmtId="0" fontId="0" fillId="3" borderId="22" xfId="0" applyFill="1" applyBorder="1" applyAlignment="1">
      <alignment horizontal="right"/>
    </xf>
    <xf numFmtId="0" fontId="4" fillId="3" borderId="64" xfId="0" applyFont="1" applyFill="1" applyBorder="1" applyAlignment="1">
      <alignment horizontal="center"/>
    </xf>
    <xf numFmtId="0" fontId="0" fillId="3" borderId="22" xfId="0" applyFill="1" applyBorder="1" applyAlignment="1"/>
    <xf numFmtId="0" fontId="0" fillId="3" borderId="58" xfId="0" applyFill="1" applyBorder="1" applyAlignment="1">
      <alignment horizontal="left"/>
    </xf>
    <xf numFmtId="0" fontId="0" fillId="3" borderId="59" xfId="0" applyFill="1" applyBorder="1" applyAlignment="1">
      <alignment horizontal="left"/>
    </xf>
    <xf numFmtId="0" fontId="65" fillId="3" borderId="60" xfId="0" applyFont="1" applyFill="1" applyBorder="1"/>
    <xf numFmtId="0" fontId="65" fillId="3" borderId="59" xfId="0" applyFont="1" applyFill="1" applyBorder="1"/>
    <xf numFmtId="0" fontId="65" fillId="3" borderId="62" xfId="0" applyFont="1" applyFill="1" applyBorder="1"/>
    <xf numFmtId="0" fontId="65" fillId="3" borderId="21" xfId="0" applyFont="1" applyFill="1" applyBorder="1"/>
    <xf numFmtId="0" fontId="65" fillId="3" borderId="63" xfId="0" applyFont="1" applyFill="1" applyBorder="1"/>
    <xf numFmtId="0" fontId="32" fillId="3" borderId="57" xfId="4" applyFill="1" applyBorder="1" applyAlignment="1"/>
    <xf numFmtId="0" fontId="0" fillId="3" borderId="22" xfId="0" applyFill="1" applyBorder="1"/>
    <xf numFmtId="0" fontId="0" fillId="3" borderId="58" xfId="0" applyFill="1" applyBorder="1"/>
    <xf numFmtId="0" fontId="32" fillId="3" borderId="59" xfId="4" applyFill="1" applyBorder="1" applyAlignment="1"/>
    <xf numFmtId="0" fontId="5" fillId="3" borderId="0" xfId="4" applyFont="1" applyFill="1" applyBorder="1" applyAlignment="1">
      <alignment horizontal="left"/>
    </xf>
    <xf numFmtId="0" fontId="7" fillId="3" borderId="0" xfId="4" applyFont="1" applyFill="1" applyBorder="1" applyAlignment="1">
      <alignment horizontal="left"/>
    </xf>
    <xf numFmtId="0" fontId="75" fillId="3" borderId="0" xfId="0" applyFont="1" applyFill="1" applyBorder="1" applyAlignment="1">
      <alignment horizontal="center" vertical="center"/>
    </xf>
    <xf numFmtId="0" fontId="32" fillId="3" borderId="59" xfId="4" applyFill="1" applyBorder="1" applyAlignment="1">
      <alignment horizontal="center"/>
    </xf>
    <xf numFmtId="0" fontId="8" fillId="3" borderId="0" xfId="4" applyFont="1" applyFill="1" applyBorder="1" applyAlignment="1">
      <alignment horizontal="left"/>
    </xf>
    <xf numFmtId="0" fontId="0" fillId="3" borderId="21" xfId="0" applyFill="1" applyBorder="1" applyAlignment="1">
      <alignment horizontal="right"/>
    </xf>
    <xf numFmtId="0" fontId="13" fillId="3" borderId="21" xfId="0" applyFont="1" applyFill="1" applyBorder="1" applyAlignment="1"/>
    <xf numFmtId="0" fontId="77" fillId="3" borderId="22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left"/>
    </xf>
    <xf numFmtId="0" fontId="0" fillId="3" borderId="57" xfId="0" applyFill="1" applyBorder="1" applyAlignment="1">
      <alignment horizontal="left"/>
    </xf>
    <xf numFmtId="0" fontId="0" fillId="3" borderId="59" xfId="0" applyFill="1" applyBorder="1" applyAlignment="1">
      <alignment horizontal="right"/>
    </xf>
    <xf numFmtId="0" fontId="11" fillId="3" borderId="0" xfId="0" applyFont="1" applyFill="1" applyAlignment="1">
      <alignment horizontal="right"/>
    </xf>
    <xf numFmtId="0" fontId="6" fillId="3" borderId="1" xfId="0" applyFont="1" applyFill="1" applyBorder="1" applyAlignment="1"/>
    <xf numFmtId="0" fontId="0" fillId="3" borderId="2" xfId="0" applyFill="1" applyBorder="1" applyAlignment="1">
      <alignment horizontal="right"/>
    </xf>
    <xf numFmtId="0" fontId="6" fillId="3" borderId="3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0" fillId="3" borderId="23" xfId="0" applyFill="1" applyBorder="1" applyAlignment="1">
      <alignment horizontal="center"/>
    </xf>
    <xf numFmtId="0" fontId="27" fillId="3" borderId="5" xfId="0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30" fillId="3" borderId="0" xfId="0" applyFont="1" applyFill="1" applyAlignment="1">
      <alignment horizontal="left"/>
    </xf>
    <xf numFmtId="0" fontId="8" fillId="3" borderId="11" xfId="0" applyFont="1" applyFill="1" applyBorder="1" applyAlignment="1">
      <alignment horizontal="center"/>
    </xf>
    <xf numFmtId="0" fontId="30" fillId="3" borderId="0" xfId="0" applyFont="1" applyFill="1" applyAlignment="1">
      <alignment horizontal="center"/>
    </xf>
    <xf numFmtId="166" fontId="22" fillId="3" borderId="0" xfId="1" applyNumberFormat="1" applyFont="1" applyFill="1" applyAlignment="1">
      <alignment horizontal="center"/>
    </xf>
    <xf numFmtId="166" fontId="23" fillId="3" borderId="0" xfId="1" applyNumberFormat="1" applyFont="1" applyFill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6" fontId="0" fillId="3" borderId="0" xfId="1" applyNumberFormat="1" applyFont="1" applyFill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30" fillId="3" borderId="0" xfId="0" applyFont="1" applyFill="1" applyBorder="1" applyAlignment="1">
      <alignment horizontal="left"/>
    </xf>
    <xf numFmtId="0" fontId="30" fillId="3" borderId="5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0" fontId="3" fillId="0" borderId="0" xfId="2" applyFill="1" applyBorder="1" applyAlignment="1" applyProtection="1">
      <alignment vertical="center" wrapText="1"/>
    </xf>
    <xf numFmtId="0" fontId="0" fillId="3" borderId="0" xfId="0" applyFill="1" applyAlignment="1" applyProtection="1"/>
    <xf numFmtId="1" fontId="0" fillId="0" borderId="0" xfId="0" applyNumberFormat="1" applyFill="1" applyBorder="1" applyAlignment="1" applyProtection="1">
      <alignment horizontal="center"/>
    </xf>
    <xf numFmtId="0" fontId="3" fillId="0" borderId="0" xfId="2" applyBorder="1" applyAlignment="1" applyProtection="1"/>
    <xf numFmtId="0" fontId="47" fillId="0" borderId="0" xfId="0" applyFont="1" applyFill="1" applyBorder="1" applyAlignment="1"/>
    <xf numFmtId="0" fontId="47" fillId="0" borderId="8" xfId="0" applyFont="1" applyFill="1" applyBorder="1" applyAlignment="1"/>
    <xf numFmtId="0" fontId="0" fillId="0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47" fillId="0" borderId="0" xfId="0" applyFont="1" applyFill="1" applyBorder="1" applyAlignment="1" applyProtection="1"/>
    <xf numFmtId="0" fontId="47" fillId="0" borderId="8" xfId="0" applyFont="1" applyFill="1" applyBorder="1" applyAlignment="1" applyProtection="1"/>
    <xf numFmtId="0" fontId="3" fillId="0" borderId="4" xfId="2" applyBorder="1" applyAlignment="1" applyProtection="1">
      <alignment horizontal="left"/>
      <protection locked="0"/>
    </xf>
    <xf numFmtId="0" fontId="3" fillId="0" borderId="0" xfId="2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</xf>
    <xf numFmtId="0" fontId="0" fillId="7" borderId="0" xfId="0" applyFill="1" applyProtection="1"/>
    <xf numFmtId="0" fontId="0" fillId="0" borderId="26" xfId="0" applyFill="1" applyBorder="1" applyAlignment="1" applyProtection="1">
      <alignment horizontal="left"/>
    </xf>
    <xf numFmtId="0" fontId="0" fillId="0" borderId="65" xfId="0" applyFill="1" applyBorder="1" applyProtection="1"/>
    <xf numFmtId="0" fontId="79" fillId="0" borderId="27" xfId="0" applyFont="1" applyFill="1" applyBorder="1" applyAlignment="1" applyProtection="1">
      <alignment vertical="center"/>
    </xf>
    <xf numFmtId="0" fontId="0" fillId="0" borderId="29" xfId="0" applyFill="1" applyBorder="1" applyAlignment="1" applyProtection="1">
      <alignment horizontal="left"/>
    </xf>
    <xf numFmtId="0" fontId="79" fillId="0" borderId="0" xfId="0" applyFont="1" applyFill="1" applyBorder="1" applyAlignment="1" applyProtection="1">
      <alignment vertical="center"/>
    </xf>
    <xf numFmtId="0" fontId="0" fillId="0" borderId="30" xfId="0" applyFill="1" applyBorder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18" fillId="0" borderId="0" xfId="0" applyFont="1" applyFill="1" applyBorder="1" applyAlignment="1" applyProtection="1"/>
    <xf numFmtId="0" fontId="1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3" fillId="0" borderId="0" xfId="2" applyFill="1" applyBorder="1" applyAlignment="1" applyProtection="1">
      <alignment horizontal="center"/>
    </xf>
    <xf numFmtId="0" fontId="81" fillId="0" borderId="0" xfId="0" applyFont="1" applyFill="1" applyBorder="1" applyAlignment="1" applyProtection="1">
      <alignment wrapText="1"/>
    </xf>
    <xf numFmtId="0" fontId="0" fillId="8" borderId="0" xfId="0" applyFill="1" applyProtection="1"/>
    <xf numFmtId="0" fontId="11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0" fillId="0" borderId="29" xfId="0" applyFill="1" applyBorder="1" applyProtection="1"/>
    <xf numFmtId="0" fontId="4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41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8" fillId="0" borderId="0" xfId="0" applyFont="1" applyFill="1" applyBorder="1" applyAlignment="1" applyProtection="1">
      <alignment horizontal="right"/>
    </xf>
    <xf numFmtId="0" fontId="1" fillId="9" borderId="11" xfId="0" applyFont="1" applyFill="1" applyBorder="1" applyAlignment="1" applyProtection="1">
      <alignment horizontal="center"/>
      <protection locked="0"/>
    </xf>
    <xf numFmtId="1" fontId="37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right"/>
    </xf>
    <xf numFmtId="1" fontId="7" fillId="10" borderId="11" xfId="0" applyNumberFormat="1" applyFont="1" applyFill="1" applyBorder="1" applyAlignment="1" applyProtection="1">
      <alignment horizontal="center"/>
    </xf>
    <xf numFmtId="0" fontId="0" fillId="0" borderId="30" xfId="0" applyFill="1" applyBorder="1" applyAlignment="1" applyProtection="1">
      <alignment horizontal="left"/>
    </xf>
    <xf numFmtId="0" fontId="0" fillId="0" borderId="66" xfId="0" applyFill="1" applyBorder="1" applyAlignment="1" applyProtection="1">
      <alignment horizontal="left"/>
    </xf>
    <xf numFmtId="0" fontId="41" fillId="0" borderId="67" xfId="0" applyFont="1" applyFill="1" applyBorder="1" applyAlignment="1" applyProtection="1">
      <alignment horizontal="left"/>
    </xf>
    <xf numFmtId="0" fontId="11" fillId="0" borderId="67" xfId="0" applyFont="1" applyFill="1" applyBorder="1" applyAlignment="1" applyProtection="1">
      <alignment horizontal="center"/>
    </xf>
    <xf numFmtId="0" fontId="1" fillId="0" borderId="67" xfId="0" applyFont="1" applyFill="1" applyBorder="1" applyAlignment="1" applyProtection="1">
      <alignment horizontal="center"/>
    </xf>
    <xf numFmtId="0" fontId="0" fillId="0" borderId="67" xfId="0" applyFill="1" applyBorder="1" applyProtection="1"/>
    <xf numFmtId="0" fontId="0" fillId="0" borderId="67" xfId="0" applyFill="1" applyBorder="1" applyAlignment="1" applyProtection="1">
      <alignment horizontal="left"/>
    </xf>
    <xf numFmtId="0" fontId="0" fillId="0" borderId="68" xfId="0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wrapText="1"/>
    </xf>
    <xf numFmtId="1" fontId="7" fillId="0" borderId="0" xfId="0" applyNumberFormat="1" applyFont="1" applyFill="1" applyBorder="1" applyAlignment="1" applyProtection="1">
      <alignment horizontal="center"/>
    </xf>
    <xf numFmtId="0" fontId="62" fillId="0" borderId="0" xfId="0" applyFont="1" applyFill="1" applyAlignment="1" applyProtection="1"/>
    <xf numFmtId="0" fontId="73" fillId="0" borderId="0" xfId="0" applyFont="1" applyFill="1" applyBorder="1" applyAlignment="1" applyProtection="1">
      <alignment horizontal="center"/>
    </xf>
    <xf numFmtId="0" fontId="73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1" fontId="62" fillId="0" borderId="0" xfId="0" applyNumberFormat="1" applyFont="1" applyFill="1" applyBorder="1" applyAlignment="1" applyProtection="1">
      <alignment horizontal="center"/>
    </xf>
    <xf numFmtId="0" fontId="0" fillId="0" borderId="31" xfId="0" applyFill="1" applyBorder="1" applyAlignment="1" applyProtection="1">
      <alignment horizontal="left"/>
    </xf>
    <xf numFmtId="0" fontId="41" fillId="0" borderId="32" xfId="0" applyFont="1" applyFill="1" applyBorder="1" applyAlignment="1" applyProtection="1">
      <alignment horizontal="left"/>
    </xf>
    <xf numFmtId="0" fontId="11" fillId="0" borderId="32" xfId="0" applyFont="1" applyFill="1" applyBorder="1" applyAlignment="1" applyProtection="1">
      <alignment horizontal="center"/>
    </xf>
    <xf numFmtId="0" fontId="1" fillId="0" borderId="32" xfId="0" applyFont="1" applyFill="1" applyBorder="1" applyAlignment="1" applyProtection="1">
      <alignment horizontal="center"/>
    </xf>
    <xf numFmtId="0" fontId="0" fillId="0" borderId="32" xfId="0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left"/>
    </xf>
    <xf numFmtId="1" fontId="22" fillId="0" borderId="0" xfId="0" quotePrefix="1" applyNumberFormat="1" applyFont="1" applyFill="1" applyBorder="1" applyAlignment="1" applyProtection="1">
      <alignment horizontal="center"/>
    </xf>
    <xf numFmtId="0" fontId="1" fillId="0" borderId="0" xfId="5" applyBorder="1" applyAlignment="1" applyProtection="1">
      <alignment wrapText="1"/>
    </xf>
    <xf numFmtId="0" fontId="1" fillId="0" borderId="0" xfId="5" applyBorder="1" applyAlignment="1" applyProtection="1">
      <alignment horizontal="center"/>
    </xf>
    <xf numFmtId="0" fontId="82" fillId="0" borderId="0" xfId="5" applyFont="1" applyBorder="1" applyAlignment="1" applyProtection="1">
      <alignment horizontal="center"/>
    </xf>
    <xf numFmtId="2" fontId="1" fillId="0" borderId="0" xfId="5" applyNumberFormat="1" applyBorder="1" applyAlignment="1" applyProtection="1">
      <alignment horizontal="center"/>
    </xf>
    <xf numFmtId="2" fontId="0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2" fontId="0" fillId="0" borderId="8" xfId="0" quotePrefix="1" applyNumberFormat="1" applyFont="1" applyBorder="1" applyAlignment="1">
      <alignment horizontal="center"/>
    </xf>
    <xf numFmtId="2" fontId="0" fillId="0" borderId="0" xfId="0" quotePrefix="1" applyNumberFormat="1" applyFont="1" applyBorder="1" applyAlignment="1">
      <alignment horizontal="center"/>
    </xf>
    <xf numFmtId="0" fontId="22" fillId="0" borderId="0" xfId="5" applyFont="1" applyBorder="1" applyAlignment="1" applyProtection="1">
      <alignment horizontal="right"/>
    </xf>
    <xf numFmtId="0" fontId="22" fillId="0" borderId="0" xfId="5" applyFont="1" applyBorder="1" applyAlignment="1" applyProtection="1">
      <alignment horizontal="center"/>
    </xf>
    <xf numFmtId="0" fontId="83" fillId="0" borderId="0" xfId="5" applyFont="1" applyBorder="1" applyAlignment="1" applyProtection="1">
      <alignment horizontal="center"/>
    </xf>
    <xf numFmtId="2" fontId="7" fillId="0" borderId="0" xfId="5" applyNumberFormat="1" applyFont="1" applyBorder="1" applyAlignment="1" applyProtection="1">
      <alignment horizontal="center"/>
    </xf>
    <xf numFmtId="2" fontId="8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26" fillId="0" borderId="8" xfId="0" applyNumberFormat="1" applyFont="1" applyBorder="1" applyAlignment="1">
      <alignment horizontal="center"/>
    </xf>
    <xf numFmtId="0" fontId="8" fillId="6" borderId="69" xfId="7" applyFill="1" applyBorder="1" applyProtection="1"/>
    <xf numFmtId="0" fontId="8" fillId="6" borderId="70" xfId="7" applyFill="1" applyBorder="1" applyProtection="1"/>
    <xf numFmtId="0" fontId="8" fillId="6" borderId="71" xfId="7" applyFill="1" applyBorder="1" applyProtection="1"/>
    <xf numFmtId="0" fontId="8" fillId="6" borderId="72" xfId="7" applyFill="1" applyBorder="1" applyProtection="1"/>
    <xf numFmtId="0" fontId="84" fillId="6" borderId="0" xfId="8" applyFont="1" applyFill="1" applyBorder="1" applyAlignment="1">
      <alignment horizontal="left"/>
    </xf>
    <xf numFmtId="0" fontId="5" fillId="6" borderId="0" xfId="8" applyFont="1" applyFill="1" applyBorder="1" applyAlignment="1">
      <alignment horizontal="left"/>
    </xf>
    <xf numFmtId="0" fontId="8" fillId="6" borderId="73" xfId="7" applyFill="1" applyBorder="1" applyProtection="1"/>
    <xf numFmtId="0" fontId="8" fillId="6" borderId="0" xfId="8" applyFill="1" applyBorder="1" applyAlignment="1">
      <alignment horizontal="center"/>
    </xf>
    <xf numFmtId="0" fontId="22" fillId="6" borderId="11" xfId="8" applyFont="1" applyFill="1" applyBorder="1" applyAlignment="1">
      <alignment horizontal="center"/>
    </xf>
    <xf numFmtId="0" fontId="8" fillId="6" borderId="0" xfId="8" applyFont="1" applyFill="1" applyBorder="1" applyAlignment="1"/>
    <xf numFmtId="0" fontId="8" fillId="6" borderId="20" xfId="8" applyFill="1" applyBorder="1" applyAlignment="1">
      <alignment horizontal="left"/>
    </xf>
    <xf numFmtId="0" fontId="8" fillId="6" borderId="0" xfId="7" applyFill="1" applyProtection="1"/>
    <xf numFmtId="3" fontId="7" fillId="6" borderId="6" xfId="8" applyNumberFormat="1" applyFont="1" applyFill="1" applyBorder="1" applyAlignment="1">
      <alignment horizontal="center"/>
    </xf>
    <xf numFmtId="0" fontId="8" fillId="6" borderId="74" xfId="7" applyFill="1" applyBorder="1" applyProtection="1"/>
    <xf numFmtId="0" fontId="8" fillId="6" borderId="75" xfId="7" applyFill="1" applyBorder="1" applyProtection="1"/>
    <xf numFmtId="0" fontId="8" fillId="6" borderId="76" xfId="7" applyFill="1" applyBorder="1" applyProtection="1"/>
    <xf numFmtId="0" fontId="1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0" xfId="5" applyFont="1" applyBorder="1" applyAlignment="1" applyProtection="1">
      <alignment horizontal="right"/>
    </xf>
    <xf numFmtId="0" fontId="1" fillId="0" borderId="0" xfId="5" applyBorder="1" applyAlignment="1" applyProtection="1">
      <alignment horizontal="left" wrapText="1"/>
    </xf>
    <xf numFmtId="0" fontId="62" fillId="0" borderId="0" xfId="0" applyFont="1" applyBorder="1"/>
    <xf numFmtId="0" fontId="62" fillId="0" borderId="4" xfId="5" applyFont="1" applyBorder="1" applyAlignment="1" applyProtection="1">
      <alignment horizontal="right"/>
    </xf>
    <xf numFmtId="0" fontId="62" fillId="0" borderId="0" xfId="0" applyFont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Border="1"/>
    <xf numFmtId="2" fontId="0" fillId="0" borderId="0" xfId="0" applyNumberFormat="1" applyFont="1" applyFill="1" applyBorder="1" applyAlignment="1">
      <alignment horizontal="center"/>
    </xf>
    <xf numFmtId="0" fontId="1" fillId="0" borderId="0" xfId="5" applyFill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0" fontId="0" fillId="4" borderId="8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2" fontId="0" fillId="0" borderId="8" xfId="0" applyNumberFormat="1" applyBorder="1" applyAlignment="1">
      <alignment horizontal="center"/>
    </xf>
    <xf numFmtId="0" fontId="1" fillId="4" borderId="11" xfId="5" applyFill="1" applyBorder="1" applyAlignment="1" applyProtection="1">
      <alignment horizontal="center"/>
      <protection locked="0"/>
    </xf>
    <xf numFmtId="2" fontId="1" fillId="4" borderId="11" xfId="5" applyNumberFormat="1" applyFill="1" applyBorder="1" applyAlignment="1" applyProtection="1">
      <alignment horizontal="center"/>
      <protection locked="0"/>
    </xf>
    <xf numFmtId="167" fontId="1" fillId="4" borderId="11" xfId="5" applyNumberFormat="1" applyFill="1" applyBorder="1" applyAlignment="1" applyProtection="1">
      <alignment horizontal="center"/>
      <protection locked="0"/>
    </xf>
    <xf numFmtId="0" fontId="1" fillId="4" borderId="11" xfId="5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86" fillId="0" borderId="0" xfId="0" applyFont="1" applyBorder="1" applyAlignment="1" applyProtection="1">
      <alignment horizontal="right" vertical="center"/>
    </xf>
    <xf numFmtId="0" fontId="5" fillId="0" borderId="0" xfId="5" applyFont="1" applyFill="1" applyBorder="1" applyProtection="1"/>
    <xf numFmtId="0" fontId="0" fillId="0" borderId="0" xfId="0" applyFill="1" applyBorder="1" applyAlignment="1" applyProtection="1">
      <alignment horizontal="left"/>
    </xf>
    <xf numFmtId="0" fontId="0" fillId="11" borderId="59" xfId="0" applyFill="1" applyBorder="1" applyAlignment="1"/>
    <xf numFmtId="0" fontId="44" fillId="11" borderId="0" xfId="0" applyFont="1" applyFill="1" applyBorder="1" applyAlignment="1">
      <alignment horizontal="left"/>
    </xf>
    <xf numFmtId="0" fontId="7" fillId="11" borderId="0" xfId="0" applyFont="1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11" borderId="60" xfId="0" applyFill="1" applyBorder="1" applyAlignment="1">
      <alignment horizontal="left"/>
    </xf>
    <xf numFmtId="0" fontId="0" fillId="11" borderId="1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2" xfId="0" applyFill="1" applyBorder="1" applyAlignment="1">
      <alignment horizontal="left"/>
    </xf>
    <xf numFmtId="0" fontId="0" fillId="11" borderId="3" xfId="0" applyFill="1" applyBorder="1" applyAlignment="1">
      <alignment horizontal="left"/>
    </xf>
    <xf numFmtId="0" fontId="6" fillId="11" borderId="4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165" fontId="16" fillId="11" borderId="4" xfId="0" applyNumberFormat="1" applyFont="1" applyFill="1" applyBorder="1" applyAlignment="1">
      <alignment horizontal="center"/>
    </xf>
    <xf numFmtId="165" fontId="16" fillId="11" borderId="0" xfId="0" applyNumberFormat="1" applyFont="1" applyFill="1" applyBorder="1" applyAlignment="1">
      <alignment horizontal="center"/>
    </xf>
    <xf numFmtId="3" fontId="18" fillId="11" borderId="5" xfId="0" applyNumberFormat="1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165" fontId="17" fillId="11" borderId="4" xfId="0" applyNumberFormat="1" applyFont="1" applyFill="1" applyBorder="1" applyAlignment="1">
      <alignment horizontal="center"/>
    </xf>
    <xf numFmtId="165" fontId="17" fillId="11" borderId="0" xfId="0" applyNumberFormat="1" applyFont="1" applyFill="1" applyBorder="1" applyAlignment="1">
      <alignment horizontal="center"/>
    </xf>
    <xf numFmtId="0" fontId="0" fillId="11" borderId="0" xfId="0" applyFill="1" applyBorder="1" applyAlignment="1"/>
    <xf numFmtId="165" fontId="17" fillId="11" borderId="7" xfId="0" applyNumberFormat="1" applyFont="1" applyFill="1" applyBorder="1" applyAlignment="1">
      <alignment horizontal="center"/>
    </xf>
    <xf numFmtId="165" fontId="17" fillId="11" borderId="8" xfId="0" applyNumberFormat="1" applyFont="1" applyFill="1" applyBorder="1" applyAlignment="1">
      <alignment horizontal="center"/>
    </xf>
    <xf numFmtId="3" fontId="18" fillId="11" borderId="9" xfId="0" applyNumberFormat="1" applyFont="1" applyFill="1" applyBorder="1" applyAlignment="1">
      <alignment horizontal="center"/>
    </xf>
    <xf numFmtId="0" fontId="26" fillId="11" borderId="59" xfId="0" applyFont="1" applyFill="1" applyBorder="1" applyAlignment="1"/>
    <xf numFmtId="0" fontId="26" fillId="11" borderId="0" xfId="0" applyFont="1" applyFill="1" applyBorder="1" applyAlignment="1">
      <alignment horizontal="center"/>
    </xf>
    <xf numFmtId="3" fontId="8" fillId="11" borderId="61" xfId="0" applyNumberFormat="1" applyFont="1" applyFill="1" applyBorder="1" applyAlignment="1">
      <alignment horizontal="center"/>
    </xf>
    <xf numFmtId="0" fontId="49" fillId="0" borderId="0" xfId="0" applyFont="1" applyAlignment="1" applyProtection="1">
      <alignment horizontal="center"/>
    </xf>
    <xf numFmtId="2" fontId="37" fillId="0" borderId="34" xfId="0" applyNumberFormat="1" applyFont="1" applyBorder="1" applyAlignment="1" applyProtection="1">
      <alignment horizontal="center" vertical="center"/>
    </xf>
    <xf numFmtId="0" fontId="8" fillId="0" borderId="35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3" fillId="0" borderId="4" xfId="2" applyBorder="1" applyAlignment="1" applyProtection="1">
      <alignment horizontal="left"/>
      <protection locked="0"/>
    </xf>
    <xf numFmtId="0" fontId="3" fillId="0" borderId="0" xfId="2" applyBorder="1" applyAlignment="1" applyProtection="1">
      <alignment horizontal="left"/>
      <protection locked="0"/>
    </xf>
    <xf numFmtId="0" fontId="48" fillId="3" borderId="0" xfId="0" applyFont="1" applyFill="1" applyBorder="1" applyAlignment="1" applyProtection="1">
      <alignment horizontal="center" vertical="center" wrapText="1"/>
    </xf>
    <xf numFmtId="0" fontId="29" fillId="3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</xf>
    <xf numFmtId="0" fontId="57" fillId="0" borderId="0" xfId="0" applyFont="1" applyAlignment="1">
      <alignment horizontal="center" vertical="center" wrapText="1"/>
    </xf>
    <xf numFmtId="0" fontId="1" fillId="0" borderId="0" xfId="5" applyFill="1" applyBorder="1" applyAlignment="1" applyProtection="1">
      <alignment horizontal="left" wrapText="1"/>
    </xf>
    <xf numFmtId="0" fontId="67" fillId="5" borderId="0" xfId="0" applyFont="1" applyFill="1" applyBorder="1" applyAlignment="1">
      <alignment horizontal="center" wrapText="1"/>
    </xf>
    <xf numFmtId="0" fontId="67" fillId="5" borderId="8" xfId="0" applyFont="1" applyFill="1" applyBorder="1" applyAlignment="1">
      <alignment horizontal="center" wrapText="1"/>
    </xf>
    <xf numFmtId="0" fontId="17" fillId="5" borderId="0" xfId="0" applyFont="1" applyFill="1" applyBorder="1" applyAlignment="1">
      <alignment horizontal="center" wrapText="1"/>
    </xf>
    <xf numFmtId="0" fontId="17" fillId="5" borderId="8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/>
      <protection locked="0"/>
    </xf>
    <xf numFmtId="0" fontId="60" fillId="6" borderId="40" xfId="7" applyFont="1" applyFill="1" applyBorder="1" applyAlignment="1" applyProtection="1">
      <alignment horizontal="center" vertical="center"/>
    </xf>
    <xf numFmtId="0" fontId="68" fillId="0" borderId="0" xfId="0" applyFont="1" applyFill="1" applyAlignment="1">
      <alignment horizontal="center" vertical="center"/>
    </xf>
    <xf numFmtId="0" fontId="60" fillId="6" borderId="40" xfId="8" applyFont="1" applyFill="1" applyBorder="1" applyAlignment="1" applyProtection="1">
      <alignment horizontal="center" vertical="center"/>
    </xf>
    <xf numFmtId="0" fontId="8" fillId="6" borderId="0" xfId="8" applyFont="1" applyFill="1" applyBorder="1" applyAlignment="1" applyProtection="1">
      <alignment horizontal="left" vertical="top" wrapText="1"/>
    </xf>
    <xf numFmtId="0" fontId="8" fillId="6" borderId="44" xfId="8" applyFont="1" applyFill="1" applyBorder="1" applyAlignment="1" applyProtection="1">
      <alignment horizontal="left" vertical="top" wrapText="1"/>
    </xf>
    <xf numFmtId="0" fontId="28" fillId="0" borderId="0" xfId="0" applyFont="1" applyBorder="1" applyAlignment="1">
      <alignment horizontal="left" vertical="center" wrapText="1"/>
    </xf>
    <xf numFmtId="0" fontId="3" fillId="0" borderId="53" xfId="2" applyFill="1" applyBorder="1" applyAlignment="1" applyProtection="1">
      <alignment horizontal="center" vertical="center" wrapText="1"/>
      <protection locked="0"/>
    </xf>
    <xf numFmtId="0" fontId="3" fillId="0" borderId="54" xfId="2" applyFill="1" applyBorder="1" applyAlignment="1" applyProtection="1">
      <alignment horizontal="center" vertical="center"/>
      <protection locked="0"/>
    </xf>
    <xf numFmtId="0" fontId="3" fillId="0" borderId="55" xfId="2" applyFill="1" applyBorder="1" applyAlignment="1" applyProtection="1">
      <alignment horizontal="center" vertical="center"/>
      <protection locked="0"/>
    </xf>
    <xf numFmtId="0" fontId="3" fillId="0" borderId="56" xfId="2" applyFill="1" applyBorder="1" applyAlignment="1" applyProtection="1">
      <alignment horizontal="center" vertical="center"/>
      <protection locked="0"/>
    </xf>
    <xf numFmtId="2" fontId="0" fillId="0" borderId="34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3" fillId="0" borderId="0" xfId="2" applyBorder="1" applyAlignment="1" applyProtection="1">
      <alignment horizontal="center"/>
      <protection locked="0"/>
    </xf>
    <xf numFmtId="0" fontId="17" fillId="6" borderId="41" xfId="7" applyFont="1" applyFill="1" applyBorder="1" applyAlignment="1" applyProtection="1">
      <alignment horizontal="center" vertical="center" wrapText="1"/>
      <protection locked="0"/>
    </xf>
    <xf numFmtId="0" fontId="17" fillId="6" borderId="42" xfId="7" applyFont="1" applyFill="1" applyBorder="1" applyAlignment="1" applyProtection="1">
      <alignment horizontal="center" vertical="center" wrapText="1"/>
      <protection locked="0"/>
    </xf>
    <xf numFmtId="0" fontId="17" fillId="6" borderId="43" xfId="7" applyFont="1" applyFill="1" applyBorder="1" applyAlignment="1" applyProtection="1">
      <alignment horizontal="center" vertical="center" wrapText="1"/>
      <protection locked="0"/>
    </xf>
    <xf numFmtId="0" fontId="17" fillId="6" borderId="45" xfId="7" applyFont="1" applyFill="1" applyBorder="1" applyAlignment="1" applyProtection="1">
      <alignment horizontal="center" vertical="center" wrapText="1"/>
      <protection locked="0"/>
    </xf>
    <xf numFmtId="0" fontId="17" fillId="6" borderId="0" xfId="7" applyFont="1" applyFill="1" applyBorder="1" applyAlignment="1" applyProtection="1">
      <alignment horizontal="center" vertical="center" wrapText="1"/>
      <protection locked="0"/>
    </xf>
    <xf numFmtId="0" fontId="17" fillId="6" borderId="46" xfId="7" applyFont="1" applyFill="1" applyBorder="1" applyAlignment="1" applyProtection="1">
      <alignment horizontal="center" vertical="center" wrapText="1"/>
      <protection locked="0"/>
    </xf>
    <xf numFmtId="0" fontId="17" fillId="6" borderId="47" xfId="7" applyFont="1" applyFill="1" applyBorder="1" applyAlignment="1" applyProtection="1">
      <alignment horizontal="center" vertical="center" wrapText="1"/>
      <protection locked="0"/>
    </xf>
    <xf numFmtId="0" fontId="17" fillId="6" borderId="48" xfId="7" applyFont="1" applyFill="1" applyBorder="1" applyAlignment="1" applyProtection="1">
      <alignment horizontal="center" vertical="center" wrapText="1"/>
      <protection locked="0"/>
    </xf>
    <xf numFmtId="0" fontId="17" fillId="6" borderId="49" xfId="7" applyFont="1" applyFill="1" applyBorder="1" applyAlignment="1" applyProtection="1">
      <alignment horizontal="center" vertical="center" wrapText="1"/>
      <protection locked="0"/>
    </xf>
    <xf numFmtId="0" fontId="60" fillId="6" borderId="0" xfId="7" applyFont="1" applyFill="1" applyBorder="1" applyAlignment="1" applyProtection="1">
      <alignment horizontal="center" vertical="center"/>
    </xf>
    <xf numFmtId="0" fontId="58" fillId="6" borderId="0" xfId="7" applyFont="1" applyFill="1" applyBorder="1" applyAlignment="1" applyProtection="1">
      <alignment horizontal="center" vertical="center" wrapText="1"/>
      <protection locked="0"/>
    </xf>
    <xf numFmtId="0" fontId="80" fillId="0" borderId="27" xfId="0" applyFont="1" applyFill="1" applyBorder="1" applyAlignment="1" applyProtection="1">
      <alignment horizontal="center" vertical="center"/>
    </xf>
    <xf numFmtId="0" fontId="80" fillId="0" borderId="0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top" wrapText="1"/>
    </xf>
    <xf numFmtId="0" fontId="62" fillId="0" borderId="8" xfId="0" applyFont="1" applyFill="1" applyBorder="1" applyAlignment="1" applyProtection="1">
      <alignment horizontal="center"/>
    </xf>
    <xf numFmtId="0" fontId="87" fillId="0" borderId="27" xfId="0" applyFont="1" applyFill="1" applyBorder="1" applyAlignment="1" applyProtection="1">
      <alignment horizontal="center" vertical="center" wrapText="1"/>
    </xf>
    <xf numFmtId="0" fontId="87" fillId="0" borderId="28" xfId="0" applyFont="1" applyFill="1" applyBorder="1" applyAlignment="1" applyProtection="1">
      <alignment horizontal="center" vertical="center" wrapText="1"/>
    </xf>
    <xf numFmtId="0" fontId="87" fillId="0" borderId="0" xfId="0" applyFont="1" applyFill="1" applyBorder="1" applyAlignment="1" applyProtection="1">
      <alignment horizontal="center" vertical="center" wrapText="1"/>
    </xf>
    <xf numFmtId="0" fontId="87" fillId="0" borderId="30" xfId="0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</xf>
    <xf numFmtId="0" fontId="3" fillId="0" borderId="0" xfId="2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textRotation="90"/>
    </xf>
    <xf numFmtId="0" fontId="8" fillId="0" borderId="0" xfId="0" applyFont="1" applyBorder="1" applyAlignment="1">
      <alignment horizontal="center" textRotation="90"/>
    </xf>
    <xf numFmtId="0" fontId="8" fillId="0" borderId="0" xfId="0" applyFont="1" applyBorder="1" applyAlignment="1">
      <alignment horizontal="left" textRotation="90"/>
    </xf>
    <xf numFmtId="0" fontId="26" fillId="0" borderId="0" xfId="0" applyFont="1" applyBorder="1" applyAlignment="1" applyProtection="1">
      <alignment horizontal="center"/>
    </xf>
    <xf numFmtId="0" fontId="6" fillId="0" borderId="0" xfId="0" applyFont="1" applyBorder="1" applyAlignment="1">
      <alignment horizontal="center"/>
    </xf>
    <xf numFmtId="0" fontId="70" fillId="0" borderId="5" xfId="0" applyFont="1" applyBorder="1" applyAlignment="1">
      <alignment horizontal="left" wrapText="1"/>
    </xf>
    <xf numFmtId="0" fontId="70" fillId="0" borderId="5" xfId="0" applyFont="1" applyBorder="1" applyAlignment="1">
      <alignment horizontal="left"/>
    </xf>
    <xf numFmtId="0" fontId="78" fillId="3" borderId="0" xfId="0" applyFont="1" applyFill="1" applyBorder="1" applyAlignment="1">
      <alignment horizontal="left" vertical="center"/>
    </xf>
    <xf numFmtId="0" fontId="78" fillId="3" borderId="6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76" fillId="3" borderId="59" xfId="0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center" vertical="center"/>
    </xf>
    <xf numFmtId="0" fontId="76" fillId="3" borderId="60" xfId="0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88" fillId="11" borderId="0" xfId="0" applyFont="1" applyFill="1" applyBorder="1" applyAlignment="1">
      <alignment horizontal="center" wrapText="1"/>
    </xf>
    <xf numFmtId="0" fontId="88" fillId="11" borderId="60" xfId="0" applyFont="1" applyFill="1" applyBorder="1" applyAlignment="1">
      <alignment horizontal="center" wrapText="1"/>
    </xf>
    <xf numFmtId="0" fontId="46" fillId="0" borderId="2" xfId="3" applyFont="1" applyBorder="1" applyAlignment="1">
      <alignment horizontal="center"/>
    </xf>
    <xf numFmtId="0" fontId="46" fillId="0" borderId="8" xfId="3" applyFont="1" applyBorder="1" applyAlignment="1">
      <alignment horizontal="left"/>
    </xf>
    <xf numFmtId="0" fontId="46" fillId="0" borderId="24" xfId="3" applyFont="1" applyBorder="1" applyAlignment="1">
      <alignment horizontal="left"/>
    </xf>
    <xf numFmtId="0" fontId="36" fillId="0" borderId="8" xfId="3" applyFont="1" applyBorder="1" applyAlignment="1">
      <alignment horizontal="center"/>
    </xf>
  </cellXfs>
  <cellStyles count="10">
    <cellStyle name="Comma" xfId="1" builtinId="3"/>
    <cellStyle name="Hyperlink" xfId="2" builtinId="8"/>
    <cellStyle name="Normal" xfId="0" builtinId="0"/>
    <cellStyle name="Normal 2" xfId="7" xr:uid="{00000000-0005-0000-0000-000003000000}"/>
    <cellStyle name="Normal_DEVIATIONFORM" xfId="3" xr:uid="{00000000-0005-0000-0000-000004000000}"/>
    <cellStyle name="Normal_SWRWKSHT" xfId="4" xr:uid="{00000000-0005-0000-0000-000005000000}"/>
    <cellStyle name="Normal_SWRWKSHT - 3R" xfId="5" xr:uid="{00000000-0005-0000-0000-000006000000}"/>
    <cellStyle name="Normal_SWRWKSHT - 3R 2" xfId="9" xr:uid="{00000000-0005-0000-0000-000007000000}"/>
    <cellStyle name="Normal_SWRWKSHT 2" xfId="8" xr:uid="{00000000-0005-0000-0000-000008000000}"/>
    <cellStyle name="Percent" xfId="6" builtinId="5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25</xdr:row>
      <xdr:rowOff>104775</xdr:rowOff>
    </xdr:from>
    <xdr:to>
      <xdr:col>15</xdr:col>
      <xdr:colOff>304800</xdr:colOff>
      <xdr:row>30</xdr:row>
      <xdr:rowOff>0</xdr:rowOff>
    </xdr:to>
    <xdr:sp macro="" textlink="">
      <xdr:nvSpPr>
        <xdr:cNvPr id="2483" name="Rectangle 13">
          <a:extLst>
            <a:ext uri="{FF2B5EF4-FFF2-40B4-BE49-F238E27FC236}">
              <a16:creationId xmlns:a16="http://schemas.microsoft.com/office/drawing/2014/main" id="{00000000-0008-0000-0100-0000B3090000}"/>
            </a:ext>
          </a:extLst>
        </xdr:cNvPr>
        <xdr:cNvSpPr>
          <a:spLocks noChangeArrowheads="1"/>
        </xdr:cNvSpPr>
      </xdr:nvSpPr>
      <xdr:spPr bwMode="auto">
        <a:xfrm>
          <a:off x="13525500" y="5448300"/>
          <a:ext cx="1419225" cy="704850"/>
        </a:xfrm>
        <a:prstGeom prst="rect">
          <a:avLst/>
        </a:prstGeom>
        <a:noFill/>
        <a:ln w="9525">
          <a:solidFill>
            <a:srgbClr val="00FF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37</xdr:row>
      <xdr:rowOff>152400</xdr:rowOff>
    </xdr:from>
    <xdr:to>
      <xdr:col>3</xdr:col>
      <xdr:colOff>304800</xdr:colOff>
      <xdr:row>38</xdr:row>
      <xdr:rowOff>142875</xdr:rowOff>
    </xdr:to>
    <xdr:sp macro="" textlink="">
      <xdr:nvSpPr>
        <xdr:cNvPr id="4" name="Line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1600200" y="43624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304800</xdr:colOff>
      <xdr:row>38</xdr:row>
      <xdr:rowOff>9525</xdr:rowOff>
    </xdr:from>
    <xdr:to>
      <xdr:col>5</xdr:col>
      <xdr:colOff>304800</xdr:colOff>
      <xdr:row>39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2819400" y="43815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37</xdr:row>
      <xdr:rowOff>152400</xdr:rowOff>
    </xdr:from>
    <xdr:to>
      <xdr:col>7</xdr:col>
      <xdr:colOff>304800</xdr:colOff>
      <xdr:row>38</xdr:row>
      <xdr:rowOff>142875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4038600" y="43624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485775</xdr:colOff>
      <xdr:row>53</xdr:row>
      <xdr:rowOff>38100</xdr:rowOff>
    </xdr:from>
    <xdr:to>
      <xdr:col>11</xdr:col>
      <xdr:colOff>266700</xdr:colOff>
      <xdr:row>59</xdr:row>
      <xdr:rowOff>66675</xdr:rowOff>
    </xdr:to>
    <xdr:sp macro="" textlink="">
      <xdr:nvSpPr>
        <xdr:cNvPr id="10" name="Arc 2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/>
        </xdr:cNvSpPr>
      </xdr:nvSpPr>
      <xdr:spPr bwMode="auto">
        <a:xfrm flipV="1">
          <a:off x="4219575" y="6838950"/>
          <a:ext cx="2219325" cy="1000125"/>
        </a:xfrm>
        <a:custGeom>
          <a:avLst/>
          <a:gdLst>
            <a:gd name="T0" fmla="*/ 0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0 60000 65536"/>
            <a:gd name="T7" fmla="*/ 0 60000 65536"/>
            <a:gd name="T8" fmla="*/ 0 60000 65536"/>
            <a:gd name="T9" fmla="*/ 0 w 21600"/>
            <a:gd name="T10" fmla="*/ 0 h 21600"/>
            <a:gd name="T11" fmla="*/ 21600 w 216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266700</xdr:colOff>
      <xdr:row>50</xdr:row>
      <xdr:rowOff>9525</xdr:rowOff>
    </xdr:from>
    <xdr:to>
      <xdr:col>11</xdr:col>
      <xdr:colOff>266700</xdr:colOff>
      <xdr:row>53</xdr:row>
      <xdr:rowOff>28575</xdr:rowOff>
    </xdr:to>
    <xdr:sp macro="" textlink="">
      <xdr:nvSpPr>
        <xdr:cNvPr id="11" name="Line 2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6438900" y="6324600"/>
          <a:ext cx="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28</xdr:row>
      <xdr:rowOff>95250</xdr:rowOff>
    </xdr:from>
    <xdr:to>
      <xdr:col>11</xdr:col>
      <xdr:colOff>304800</xdr:colOff>
      <xdr:row>40</xdr:row>
      <xdr:rowOff>142875</xdr:rowOff>
    </xdr:to>
    <xdr:sp macro="" textlink="">
      <xdr:nvSpPr>
        <xdr:cNvPr id="12" name="Rectangle 2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542925" y="4724400"/>
          <a:ext cx="5419725" cy="1990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466724</xdr:colOff>
      <xdr:row>44</xdr:row>
      <xdr:rowOff>85724</xdr:rowOff>
    </xdr:from>
    <xdr:to>
      <xdr:col>7</xdr:col>
      <xdr:colOff>380999</xdr:colOff>
      <xdr:row>46</xdr:row>
      <xdr:rowOff>76199</xdr:rowOff>
    </xdr:to>
    <xdr:sp macro="" textlink="">
      <xdr:nvSpPr>
        <xdr:cNvPr id="13" name="Drawing 3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/>
        </xdr:cNvSpPr>
      </xdr:nvSpPr>
      <xdr:spPr bwMode="auto">
        <a:xfrm>
          <a:off x="4124324" y="7305674"/>
          <a:ext cx="523875" cy="314325"/>
        </a:xfrm>
        <a:custGeom>
          <a:avLst/>
          <a:gdLst>
            <a:gd name="T0" fmla="*/ 0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760" y="52"/>
              </a:lnTo>
              <a:lnTo>
                <a:pt x="1520" y="184"/>
              </a:lnTo>
              <a:lnTo>
                <a:pt x="2281" y="393"/>
              </a:lnTo>
              <a:lnTo>
                <a:pt x="3014" y="708"/>
              </a:lnTo>
              <a:lnTo>
                <a:pt x="3723" y="1075"/>
              </a:lnTo>
              <a:lnTo>
                <a:pt x="4378" y="1520"/>
              </a:lnTo>
              <a:lnTo>
                <a:pt x="5034" y="2018"/>
              </a:lnTo>
              <a:lnTo>
                <a:pt x="5636" y="2569"/>
              </a:lnTo>
              <a:lnTo>
                <a:pt x="6186" y="3146"/>
              </a:lnTo>
              <a:lnTo>
                <a:pt x="6658" y="3801"/>
              </a:lnTo>
              <a:lnTo>
                <a:pt x="7104" y="4483"/>
              </a:lnTo>
              <a:lnTo>
                <a:pt x="7471" y="5164"/>
              </a:lnTo>
              <a:lnTo>
                <a:pt x="7785" y="5898"/>
              </a:lnTo>
              <a:lnTo>
                <a:pt x="7996" y="6658"/>
              </a:lnTo>
              <a:lnTo>
                <a:pt x="8127" y="7418"/>
              </a:lnTo>
              <a:lnTo>
                <a:pt x="8179" y="8179"/>
              </a:lnTo>
              <a:lnTo>
                <a:pt x="8231" y="8939"/>
              </a:lnTo>
              <a:lnTo>
                <a:pt x="8363" y="9726"/>
              </a:lnTo>
              <a:lnTo>
                <a:pt x="8599" y="10459"/>
              </a:lnTo>
              <a:lnTo>
                <a:pt x="8887" y="11193"/>
              </a:lnTo>
              <a:lnTo>
                <a:pt x="9254" y="11901"/>
              </a:lnTo>
              <a:lnTo>
                <a:pt x="9699" y="12583"/>
              </a:lnTo>
              <a:lnTo>
                <a:pt x="10198" y="13238"/>
              </a:lnTo>
              <a:lnTo>
                <a:pt x="10748" y="13815"/>
              </a:lnTo>
              <a:lnTo>
                <a:pt x="11350" y="14366"/>
              </a:lnTo>
              <a:lnTo>
                <a:pt x="11980" y="14864"/>
              </a:lnTo>
              <a:lnTo>
                <a:pt x="12661" y="15309"/>
              </a:lnTo>
              <a:lnTo>
                <a:pt x="13370" y="15676"/>
              </a:lnTo>
              <a:lnTo>
                <a:pt x="14103" y="15991"/>
              </a:lnTo>
              <a:lnTo>
                <a:pt x="14864" y="16200"/>
              </a:lnTo>
              <a:lnTo>
                <a:pt x="15624" y="1633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333375</xdr:colOff>
      <xdr:row>46</xdr:row>
      <xdr:rowOff>66675</xdr:rowOff>
    </xdr:from>
    <xdr:to>
      <xdr:col>9</xdr:col>
      <xdr:colOff>381000</xdr:colOff>
      <xdr:row>46</xdr:row>
      <xdr:rowOff>66675</xdr:rowOff>
    </xdr:to>
    <xdr:sp macro="" textlink="">
      <xdr:nvSpPr>
        <xdr:cNvPr id="14" name="Line 3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 flipV="1">
          <a:off x="4067175" y="5734050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44</xdr:row>
          <xdr:rowOff>38100</xdr:rowOff>
        </xdr:from>
        <xdr:to>
          <xdr:col>2</xdr:col>
          <xdr:colOff>285750</xdr:colOff>
          <xdr:row>45</xdr:row>
          <xdr:rowOff>0</xdr:rowOff>
        </xdr:to>
        <xdr:sp macro="" textlink="">
          <xdr:nvSpPr>
            <xdr:cNvPr id="11265" name="Picture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44</xdr:row>
          <xdr:rowOff>38100</xdr:rowOff>
        </xdr:from>
        <xdr:to>
          <xdr:col>3</xdr:col>
          <xdr:colOff>304800</xdr:colOff>
          <xdr:row>45</xdr:row>
          <xdr:rowOff>0</xdr:rowOff>
        </xdr:to>
        <xdr:sp macro="" textlink="">
          <xdr:nvSpPr>
            <xdr:cNvPr id="11266" name="Picture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7</xdr:row>
      <xdr:rowOff>104775</xdr:rowOff>
    </xdr:from>
    <xdr:to>
      <xdr:col>10</xdr:col>
      <xdr:colOff>533400</xdr:colOff>
      <xdr:row>8</xdr:row>
      <xdr:rowOff>142875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15268575" y="2857500"/>
          <a:ext cx="323850" cy="200025"/>
        </a:xfrm>
        <a:prstGeom prst="rightBrace">
          <a:avLst>
            <a:gd name="adj1" fmla="val 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7</xdr:row>
      <xdr:rowOff>9525</xdr:rowOff>
    </xdr:from>
    <xdr:to>
      <xdr:col>5</xdr:col>
      <xdr:colOff>209550</xdr:colOff>
      <xdr:row>8</xdr:row>
      <xdr:rowOff>142875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 bwMode="auto">
        <a:xfrm rot="10800000">
          <a:off x="12420600" y="2762250"/>
          <a:ext cx="200025" cy="295275"/>
        </a:xfrm>
        <a:prstGeom prst="rightBrace">
          <a:avLst>
            <a:gd name="adj1" fmla="val 23687"/>
            <a:gd name="adj2" fmla="val 473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21</xdr:row>
          <xdr:rowOff>28575</xdr:rowOff>
        </xdr:from>
        <xdr:to>
          <xdr:col>13</xdr:col>
          <xdr:colOff>438150</xdr:colOff>
          <xdr:row>28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00" mc:Ignorable="a14" a14:legacySpreadsheetColorIndex="11">
                <a:alpha val="32001"/>
              </a:srgbClr>
            </a:solidFill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19</xdr:col>
      <xdr:colOff>238125</xdr:colOff>
      <xdr:row>72</xdr:row>
      <xdr:rowOff>47625</xdr:rowOff>
    </xdr:from>
    <xdr:to>
      <xdr:col>19</xdr:col>
      <xdr:colOff>238125</xdr:colOff>
      <xdr:row>73</xdr:row>
      <xdr:rowOff>76200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314325" y="429672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6</xdr:row>
      <xdr:rowOff>0</xdr:rowOff>
    </xdr:from>
    <xdr:to>
      <xdr:col>6</xdr:col>
      <xdr:colOff>133350</xdr:colOff>
      <xdr:row>7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13716000" y="4533900"/>
          <a:ext cx="114300" cy="314325"/>
        </a:xfrm>
        <a:prstGeom prst="rightBrace">
          <a:avLst>
            <a:gd name="adj1" fmla="val 2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81936</xdr:colOff>
      <xdr:row>6</xdr:row>
      <xdr:rowOff>143386</xdr:rowOff>
    </xdr:from>
    <xdr:to>
      <xdr:col>6</xdr:col>
      <xdr:colOff>235565</xdr:colOff>
      <xdr:row>7</xdr:row>
      <xdr:rowOff>102418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3666613" y="1126612"/>
          <a:ext cx="153629" cy="1229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51209</xdr:colOff>
      <xdr:row>8</xdr:row>
      <xdr:rowOff>81935</xdr:rowOff>
    </xdr:from>
    <xdr:to>
      <xdr:col>6</xdr:col>
      <xdr:colOff>204838</xdr:colOff>
      <xdr:row>9</xdr:row>
      <xdr:rowOff>20484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3635886" y="1392903"/>
          <a:ext cx="153629" cy="1024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438150</xdr:colOff>
      <xdr:row>58</xdr:row>
      <xdr:rowOff>19050</xdr:rowOff>
    </xdr:from>
    <xdr:to>
      <xdr:col>7</xdr:col>
      <xdr:colOff>542925</xdr:colOff>
      <xdr:row>58</xdr:row>
      <xdr:rowOff>19050</xdr:rowOff>
    </xdr:to>
    <xdr:sp macro="" textlink="">
      <xdr:nvSpPr>
        <xdr:cNvPr id="11" name="Line 26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 flipH="1">
          <a:off x="4171950" y="504539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438150</xdr:colOff>
      <xdr:row>58</xdr:row>
      <xdr:rowOff>19050</xdr:rowOff>
    </xdr:from>
    <xdr:to>
      <xdr:col>7</xdr:col>
      <xdr:colOff>542925</xdr:colOff>
      <xdr:row>58</xdr:row>
      <xdr:rowOff>66675</xdr:rowOff>
    </xdr:to>
    <xdr:sp macro="" textlink="">
      <xdr:nvSpPr>
        <xdr:cNvPr id="12" name="Line 27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4171950" y="50453925"/>
          <a:ext cx="104775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438150</xdr:colOff>
      <xdr:row>58</xdr:row>
      <xdr:rowOff>66675</xdr:rowOff>
    </xdr:from>
    <xdr:to>
      <xdr:col>7</xdr:col>
      <xdr:colOff>542925</xdr:colOff>
      <xdr:row>58</xdr:row>
      <xdr:rowOff>104775</xdr:rowOff>
    </xdr:to>
    <xdr:sp macro="" textlink="">
      <xdr:nvSpPr>
        <xdr:cNvPr id="13" name="Line 28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flipH="1">
          <a:off x="4171950" y="50501550"/>
          <a:ext cx="10477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438150</xdr:colOff>
      <xdr:row>58</xdr:row>
      <xdr:rowOff>104775</xdr:rowOff>
    </xdr:from>
    <xdr:to>
      <xdr:col>7</xdr:col>
      <xdr:colOff>542925</xdr:colOff>
      <xdr:row>58</xdr:row>
      <xdr:rowOff>104775</xdr:rowOff>
    </xdr:to>
    <xdr:sp macro="" textlink="">
      <xdr:nvSpPr>
        <xdr:cNvPr id="14" name="Line 29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>
          <a:off x="4171950" y="505396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581025</xdr:colOff>
      <xdr:row>56</xdr:row>
      <xdr:rowOff>76200</xdr:rowOff>
    </xdr:from>
    <xdr:to>
      <xdr:col>39</xdr:col>
      <xdr:colOff>266700</xdr:colOff>
      <xdr:row>56</xdr:row>
      <xdr:rowOff>76200</xdr:rowOff>
    </xdr:to>
    <xdr:sp macro="" textlink="">
      <xdr:nvSpPr>
        <xdr:cNvPr id="15" name="Line 166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 flipH="1">
          <a:off x="16973550" y="528351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121</xdr:row>
      <xdr:rowOff>0</xdr:rowOff>
    </xdr:from>
    <xdr:to>
      <xdr:col>8</xdr:col>
      <xdr:colOff>257175</xdr:colOff>
      <xdr:row>127</xdr:row>
      <xdr:rowOff>76200</xdr:rowOff>
    </xdr:to>
    <xdr:sp macro="" textlink="">
      <xdr:nvSpPr>
        <xdr:cNvPr id="10" name="Rectangle 7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1295400" y="59397900"/>
          <a:ext cx="3305175" cy="1047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581025</xdr:colOff>
      <xdr:row>101</xdr:row>
      <xdr:rowOff>142875</xdr:rowOff>
    </xdr:from>
    <xdr:to>
      <xdr:col>8</xdr:col>
      <xdr:colOff>47625</xdr:colOff>
      <xdr:row>110</xdr:row>
      <xdr:rowOff>9525</xdr:rowOff>
    </xdr:to>
    <xdr:sp macro="" textlink="">
      <xdr:nvSpPr>
        <xdr:cNvPr id="16" name="Rectangle 8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1266825" y="56302275"/>
          <a:ext cx="3124200" cy="1323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409575</xdr:colOff>
      <xdr:row>117</xdr:row>
      <xdr:rowOff>28575</xdr:rowOff>
    </xdr:from>
    <xdr:to>
      <xdr:col>4</xdr:col>
      <xdr:colOff>514350</xdr:colOff>
      <xdr:row>117</xdr:row>
      <xdr:rowOff>28575</xdr:rowOff>
    </xdr:to>
    <xdr:sp macro="" textlink="">
      <xdr:nvSpPr>
        <xdr:cNvPr id="17" name="Line 30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2314575" y="587787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409575</xdr:colOff>
      <xdr:row>117</xdr:row>
      <xdr:rowOff>38100</xdr:rowOff>
    </xdr:from>
    <xdr:to>
      <xdr:col>4</xdr:col>
      <xdr:colOff>504825</xdr:colOff>
      <xdr:row>117</xdr:row>
      <xdr:rowOff>76200</xdr:rowOff>
    </xdr:to>
    <xdr:sp macro="" textlink="">
      <xdr:nvSpPr>
        <xdr:cNvPr id="18" name="Line 3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ShapeType="1"/>
        </xdr:cNvSpPr>
      </xdr:nvSpPr>
      <xdr:spPr bwMode="auto">
        <a:xfrm>
          <a:off x="2314575" y="58788300"/>
          <a:ext cx="9525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409575</xdr:colOff>
      <xdr:row>117</xdr:row>
      <xdr:rowOff>85725</xdr:rowOff>
    </xdr:from>
    <xdr:to>
      <xdr:col>4</xdr:col>
      <xdr:colOff>495300</xdr:colOff>
      <xdr:row>117</xdr:row>
      <xdr:rowOff>123825</xdr:rowOff>
    </xdr:to>
    <xdr:sp macro="" textlink="">
      <xdr:nvSpPr>
        <xdr:cNvPr id="19" name="Line 3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 flipH="1">
          <a:off x="2314575" y="58835925"/>
          <a:ext cx="8572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428625</xdr:colOff>
      <xdr:row>117</xdr:row>
      <xdr:rowOff>123825</xdr:rowOff>
    </xdr:from>
    <xdr:to>
      <xdr:col>4</xdr:col>
      <xdr:colOff>514350</xdr:colOff>
      <xdr:row>117</xdr:row>
      <xdr:rowOff>123825</xdr:rowOff>
    </xdr:to>
    <xdr:sp macro="" textlink="">
      <xdr:nvSpPr>
        <xdr:cNvPr id="20" name="Line 33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ShapeType="1"/>
        </xdr:cNvSpPr>
      </xdr:nvSpPr>
      <xdr:spPr bwMode="auto">
        <a:xfrm>
          <a:off x="2333625" y="58874025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180975</xdr:colOff>
      <xdr:row>99</xdr:row>
      <xdr:rowOff>104775</xdr:rowOff>
    </xdr:from>
    <xdr:to>
      <xdr:col>24</xdr:col>
      <xdr:colOff>9525</xdr:colOff>
      <xdr:row>99</xdr:row>
      <xdr:rowOff>104775</xdr:rowOff>
    </xdr:to>
    <xdr:sp macro="" textlink="">
      <xdr:nvSpPr>
        <xdr:cNvPr id="21" name="Line 67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ShapeType="1"/>
        </xdr:cNvSpPr>
      </xdr:nvSpPr>
      <xdr:spPr bwMode="auto">
        <a:xfrm flipH="1">
          <a:off x="10325100" y="559403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123825</xdr:colOff>
      <xdr:row>105</xdr:row>
      <xdr:rowOff>104775</xdr:rowOff>
    </xdr:from>
    <xdr:to>
      <xdr:col>8</xdr:col>
      <xdr:colOff>561975</xdr:colOff>
      <xdr:row>105</xdr:row>
      <xdr:rowOff>104775</xdr:rowOff>
    </xdr:to>
    <xdr:sp macro="" textlink="">
      <xdr:nvSpPr>
        <xdr:cNvPr id="22" name="Line 69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ShapeType="1"/>
        </xdr:cNvSpPr>
      </xdr:nvSpPr>
      <xdr:spPr bwMode="auto">
        <a:xfrm flipH="1">
          <a:off x="4467225" y="56911875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rab.wa.gov/grants/OnLineForms/crab_calcgraph.pdf" TargetMode="External"/><Relationship Id="rId6" Type="http://schemas.openxmlformats.org/officeDocument/2006/relationships/image" Target="../media/image3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2"/>
  <sheetViews>
    <sheetView workbookViewId="0">
      <selection activeCell="I14" sqref="I14"/>
    </sheetView>
  </sheetViews>
  <sheetFormatPr defaultRowHeight="12.75" customHeight="1" x14ac:dyDescent="0.2"/>
  <cols>
    <col min="1" max="16384" width="9.140625" style="26"/>
  </cols>
  <sheetData>
    <row r="1" spans="1:9" ht="12.75" customHeight="1" x14ac:dyDescent="0.2">
      <c r="A1" s="117"/>
      <c r="B1" s="611" t="s">
        <v>385</v>
      </c>
      <c r="C1" s="611"/>
      <c r="D1" s="611"/>
      <c r="E1" s="611"/>
      <c r="F1" s="611"/>
      <c r="G1" s="611"/>
      <c r="H1" s="611"/>
      <c r="I1" s="611"/>
    </row>
    <row r="2" spans="1:9" ht="12.75" customHeight="1" x14ac:dyDescent="0.2">
      <c r="A2" s="117"/>
      <c r="B2" s="611"/>
      <c r="C2" s="611"/>
      <c r="D2" s="611"/>
      <c r="E2" s="611"/>
      <c r="F2" s="611"/>
      <c r="G2" s="611"/>
      <c r="H2" s="611"/>
      <c r="I2" s="611"/>
    </row>
    <row r="3" spans="1:9" ht="12.75" customHeight="1" x14ac:dyDescent="0.4">
      <c r="A3" s="117"/>
      <c r="B3" s="117"/>
      <c r="C3" s="118"/>
      <c r="D3" s="118"/>
      <c r="E3" s="118"/>
      <c r="F3" s="118"/>
      <c r="G3" s="118"/>
      <c r="H3" s="118"/>
      <c r="I3" s="118"/>
    </row>
    <row r="4" spans="1:9" ht="12.75" customHeight="1" x14ac:dyDescent="0.2">
      <c r="A4" s="117"/>
      <c r="B4" s="117"/>
      <c r="C4" s="117"/>
      <c r="D4" s="119"/>
      <c r="E4" s="119"/>
      <c r="F4" s="117"/>
      <c r="G4" s="117"/>
      <c r="H4" s="117"/>
      <c r="I4" s="117"/>
    </row>
    <row r="5" spans="1:9" ht="12.75" customHeight="1" x14ac:dyDescent="0.2">
      <c r="A5" s="117"/>
      <c r="B5" s="117"/>
      <c r="C5" s="117"/>
      <c r="D5" s="120" t="s">
        <v>379</v>
      </c>
      <c r="E5" s="120"/>
      <c r="F5" s="121">
        <f>'RC INPUT'!K16</f>
        <v>0</v>
      </c>
      <c r="G5" s="117"/>
      <c r="H5" s="117"/>
      <c r="I5" s="6"/>
    </row>
    <row r="6" spans="1:9" ht="12.75" customHeight="1" x14ac:dyDescent="0.2">
      <c r="A6" s="117"/>
      <c r="B6" s="117"/>
      <c r="C6" s="117"/>
      <c r="D6" s="120"/>
      <c r="E6" s="120"/>
      <c r="F6" s="117"/>
      <c r="G6" s="117"/>
      <c r="H6" s="117"/>
      <c r="I6" s="6"/>
    </row>
    <row r="7" spans="1:9" ht="12.75" customHeight="1" x14ac:dyDescent="0.2">
      <c r="A7" s="117"/>
      <c r="B7" s="117"/>
      <c r="C7" s="117"/>
      <c r="D7" s="120" t="s">
        <v>380</v>
      </c>
      <c r="E7" s="120"/>
      <c r="F7" s="121">
        <f>'RC INPUT'!K17</f>
        <v>0</v>
      </c>
      <c r="G7" s="117"/>
      <c r="H7" s="117"/>
      <c r="I7" s="6"/>
    </row>
    <row r="8" spans="1:9" ht="12.75" customHeight="1" x14ac:dyDescent="0.2">
      <c r="A8" s="117"/>
      <c r="B8" s="117"/>
      <c r="C8" s="117"/>
      <c r="D8" s="120"/>
      <c r="E8" s="120"/>
      <c r="F8" s="122"/>
      <c r="G8" s="117"/>
      <c r="H8" s="117"/>
      <c r="I8" s="6"/>
    </row>
    <row r="9" spans="1:9" ht="12.75" customHeight="1" x14ac:dyDescent="0.2">
      <c r="A9" s="117"/>
      <c r="B9" s="117"/>
      <c r="C9" s="135"/>
      <c r="D9" s="136" t="s">
        <v>387</v>
      </c>
      <c r="E9" s="136"/>
      <c r="F9" s="137">
        <f>SUM('Old Structure'!G11:G13)</f>
        <v>0</v>
      </c>
      <c r="G9" s="117"/>
      <c r="H9" s="117"/>
      <c r="I9" s="6"/>
    </row>
    <row r="10" spans="1:9" ht="12.75" customHeight="1" x14ac:dyDescent="0.2">
      <c r="A10" s="117"/>
      <c r="B10" s="117"/>
      <c r="C10" s="117"/>
      <c r="D10" s="120"/>
      <c r="E10" s="120"/>
      <c r="F10" s="117"/>
      <c r="G10" s="117"/>
      <c r="H10" s="117"/>
      <c r="I10" s="6"/>
    </row>
    <row r="11" spans="1:9" ht="12.75" customHeight="1" x14ac:dyDescent="0.2">
      <c r="A11" s="117"/>
      <c r="B11" s="117"/>
      <c r="C11" s="117"/>
      <c r="D11" s="120" t="s">
        <v>381</v>
      </c>
      <c r="E11" s="120"/>
      <c r="F11" s="121">
        <f>'RC INPUT'!K26</f>
        <v>0</v>
      </c>
      <c r="G11" s="117"/>
      <c r="H11" s="117"/>
      <c r="I11" s="6"/>
    </row>
    <row r="12" spans="1:9" ht="12.75" customHeight="1" x14ac:dyDescent="0.2">
      <c r="A12" s="117"/>
      <c r="B12" s="117"/>
      <c r="C12" s="117"/>
      <c r="D12" s="120"/>
      <c r="E12" s="120"/>
      <c r="F12" s="117"/>
      <c r="G12" s="117"/>
      <c r="H12" s="117"/>
      <c r="I12" s="6"/>
    </row>
    <row r="13" spans="1:9" ht="12.75" customHeight="1" x14ac:dyDescent="0.2">
      <c r="A13" s="117"/>
      <c r="B13" s="117"/>
      <c r="C13" s="117"/>
      <c r="D13" s="120" t="s">
        <v>382</v>
      </c>
      <c r="E13" s="120"/>
      <c r="F13" s="121" t="e">
        <f>'RC INPUT'!K34</f>
        <v>#DIV/0!</v>
      </c>
      <c r="G13" s="117"/>
      <c r="H13" s="117"/>
      <c r="I13" s="6"/>
    </row>
    <row r="14" spans="1:9" ht="12.75" customHeight="1" x14ac:dyDescent="0.2">
      <c r="A14" s="117"/>
      <c r="B14" s="117"/>
      <c r="C14" s="117"/>
      <c r="D14" s="120"/>
      <c r="E14" s="120"/>
      <c r="F14" s="122"/>
      <c r="G14" s="117"/>
      <c r="H14" s="117"/>
      <c r="I14" s="6"/>
    </row>
    <row r="15" spans="1:9" ht="12.75" customHeight="1" x14ac:dyDescent="0.2">
      <c r="A15" s="117"/>
      <c r="B15" s="117"/>
      <c r="C15" s="135"/>
      <c r="D15" s="129" t="s">
        <v>386</v>
      </c>
      <c r="E15" s="126"/>
      <c r="F15" s="132"/>
      <c r="G15" s="117"/>
      <c r="H15" s="117"/>
      <c r="I15" s="6"/>
    </row>
    <row r="16" spans="1:9" ht="12.75" customHeight="1" x14ac:dyDescent="0.2">
      <c r="A16" s="117"/>
      <c r="B16" s="117"/>
      <c r="C16" s="117"/>
      <c r="D16" s="130"/>
      <c r="E16" s="127"/>
      <c r="F16" s="72"/>
      <c r="G16" s="117"/>
      <c r="H16" s="117"/>
      <c r="I16" s="130"/>
    </row>
    <row r="17" spans="1:9" ht="12.75" customHeight="1" x14ac:dyDescent="0.2">
      <c r="A17" s="117"/>
      <c r="B17" s="117"/>
      <c r="C17" s="135"/>
      <c r="D17" s="129" t="s">
        <v>389</v>
      </c>
      <c r="E17" s="128"/>
      <c r="F17" s="132"/>
      <c r="G17" s="117"/>
      <c r="H17" s="117"/>
      <c r="I17" s="131"/>
    </row>
    <row r="18" spans="1:9" ht="12.75" customHeight="1" x14ac:dyDescent="0.2">
      <c r="A18" s="117"/>
      <c r="B18" s="117"/>
      <c r="C18" s="117"/>
      <c r="D18" s="119"/>
      <c r="E18" s="119"/>
      <c r="F18" s="117"/>
      <c r="G18" s="117"/>
      <c r="H18" s="117"/>
      <c r="I18" s="119"/>
    </row>
    <row r="19" spans="1:9" ht="12.75" customHeight="1" x14ac:dyDescent="0.2">
      <c r="A19" s="117"/>
      <c r="B19" s="117"/>
      <c r="C19" s="117"/>
      <c r="D19" s="120" t="s">
        <v>383</v>
      </c>
      <c r="E19" s="120"/>
      <c r="F19" s="121" t="e">
        <f>'RC INPUT'!K37</f>
        <v>#DIV/0!</v>
      </c>
      <c r="G19" s="125" t="s">
        <v>384</v>
      </c>
      <c r="H19" s="123"/>
      <c r="I19" s="120"/>
    </row>
    <row r="20" spans="1:9" ht="12.75" customHeight="1" x14ac:dyDescent="0.2">
      <c r="A20" s="117"/>
      <c r="B20" s="117"/>
      <c r="C20" s="117"/>
      <c r="D20" s="120"/>
      <c r="E20" s="120"/>
      <c r="F20" s="117"/>
      <c r="G20" s="117"/>
      <c r="H20" s="117"/>
      <c r="I20" s="117"/>
    </row>
    <row r="21" spans="1:9" ht="12.75" hidden="1" customHeight="1" x14ac:dyDescent="0.2">
      <c r="A21" s="117"/>
      <c r="B21" s="117"/>
      <c r="C21" s="117"/>
      <c r="D21" s="119"/>
      <c r="E21" s="119"/>
      <c r="F21" s="123" t="e">
        <f>SUM(F19,F7,F5)</f>
        <v>#DIV/0!</v>
      </c>
      <c r="G21" s="117"/>
      <c r="H21" s="117"/>
      <c r="I21" s="117"/>
    </row>
    <row r="22" spans="1:9" ht="12.75" customHeight="1" x14ac:dyDescent="0.2">
      <c r="A22" s="117"/>
      <c r="B22" s="117"/>
      <c r="C22" s="117"/>
      <c r="D22" s="119"/>
      <c r="E22" s="119"/>
      <c r="F22" s="117"/>
      <c r="G22" s="117"/>
      <c r="H22" s="117"/>
      <c r="I22" s="117"/>
    </row>
    <row r="23" spans="1:9" ht="12.75" customHeight="1" x14ac:dyDescent="0.2">
      <c r="A23" s="117"/>
      <c r="B23" s="117"/>
      <c r="C23" s="117"/>
      <c r="D23" s="119"/>
      <c r="E23" s="119"/>
      <c r="F23" s="117"/>
      <c r="G23" s="117"/>
      <c r="H23" s="117"/>
      <c r="I23" s="117"/>
    </row>
    <row r="24" spans="1:9" ht="12.75" customHeight="1" thickBot="1" x14ac:dyDescent="0.25">
      <c r="A24" s="117"/>
      <c r="B24" s="117"/>
      <c r="C24" s="117"/>
      <c r="D24" s="119"/>
      <c r="E24" s="119"/>
      <c r="F24" s="117"/>
      <c r="G24" s="117"/>
      <c r="H24" s="117"/>
      <c r="I24" s="117"/>
    </row>
    <row r="25" spans="1:9" ht="12.75" customHeight="1" thickTop="1" x14ac:dyDescent="0.2">
      <c r="A25" s="110"/>
      <c r="B25" s="110"/>
      <c r="C25" s="111"/>
      <c r="D25" s="110"/>
      <c r="E25" s="110"/>
      <c r="F25" s="612" t="e">
        <f>'RC INPUT'!K41</f>
        <v>#DIV/0!</v>
      </c>
      <c r="G25" s="117"/>
      <c r="H25" s="117"/>
      <c r="I25" s="117"/>
    </row>
    <row r="26" spans="1:9" ht="12.75" customHeight="1" x14ac:dyDescent="0.2">
      <c r="A26" s="112"/>
      <c r="B26" s="117"/>
      <c r="C26" s="113" t="s">
        <v>274</v>
      </c>
      <c r="D26" s="114"/>
      <c r="E26" s="115" t="s">
        <v>10</v>
      </c>
      <c r="F26" s="613" t="b">
        <f>IF($A$6&lt;&gt;"",'RC INPUT'!#REF!,IF($B$6&lt;&gt;"",#REF!))</f>
        <v>0</v>
      </c>
      <c r="G26" s="117"/>
      <c r="H26" s="117"/>
      <c r="I26" s="117"/>
    </row>
    <row r="27" spans="1:9" ht="12.75" customHeight="1" thickBot="1" x14ac:dyDescent="0.25">
      <c r="A27" s="110"/>
      <c r="B27" s="110"/>
      <c r="C27" s="116"/>
      <c r="D27" s="110"/>
      <c r="E27" s="110"/>
      <c r="F27" s="614" t="b">
        <f>IF($A$6&lt;&gt;"",'RC INPUT'!#REF!,IF($B$6&lt;&gt;"",#REF!))</f>
        <v>0</v>
      </c>
      <c r="G27" s="117"/>
      <c r="H27" s="117"/>
      <c r="I27" s="117"/>
    </row>
    <row r="28" spans="1:9" ht="12.75" customHeight="1" thickTop="1" x14ac:dyDescent="0.2"/>
    <row r="32" spans="1:9" ht="12.75" hidden="1" customHeight="1" x14ac:dyDescent="0.2">
      <c r="A32" s="124" t="s">
        <v>388</v>
      </c>
    </row>
  </sheetData>
  <sheetProtection password="EC65" sheet="1" selectLockedCells="1"/>
  <mergeCells count="2">
    <mergeCell ref="B1:I2"/>
    <mergeCell ref="F25:F27"/>
  </mergeCells>
  <conditionalFormatting sqref="F25:F27">
    <cfRule type="expression" dxfId="12" priority="2" stopIfTrue="1">
      <formula>ISERROR($N$4)</formula>
    </cfRule>
  </conditionalFormatting>
  <conditionalFormatting sqref="F17">
    <cfRule type="expression" dxfId="11" priority="1" stopIfTrue="1">
      <formula>$A$6&lt;&gt;""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A1:AH51"/>
  <sheetViews>
    <sheetView showGridLines="0" tabSelected="1" zoomScaleNormal="100" workbookViewId="0">
      <selection activeCell="D5" sqref="D5"/>
    </sheetView>
  </sheetViews>
  <sheetFormatPr defaultRowHeight="12.75" customHeight="1" x14ac:dyDescent="0.2"/>
  <cols>
    <col min="1" max="1" width="6" style="144" customWidth="1"/>
    <col min="2" max="2" width="5" style="144" customWidth="1"/>
    <col min="3" max="3" width="6.28515625" style="144" customWidth="1"/>
    <col min="4" max="4" width="5.5703125" style="144" customWidth="1"/>
    <col min="5" max="7" width="9.140625" style="144"/>
    <col min="8" max="8" width="5.7109375" style="144" customWidth="1"/>
    <col min="9" max="10" width="9.140625" style="144"/>
    <col min="11" max="11" width="9" style="144" customWidth="1"/>
    <col min="12" max="12" width="9.140625" style="144"/>
    <col min="13" max="13" width="5.140625" style="144" customWidth="1"/>
    <col min="14" max="19" width="9.140625" style="144"/>
    <col min="20" max="20" width="8.5703125" style="144" customWidth="1"/>
    <col min="21" max="21" width="3.28515625" style="144" customWidth="1"/>
    <col min="22" max="23" width="9.140625" style="144"/>
    <col min="24" max="24" width="10.140625" style="144" customWidth="1"/>
    <col min="25" max="26" width="9.140625" style="144"/>
    <col min="27" max="27" width="2.5703125" style="144" customWidth="1"/>
    <col min="28" max="30" width="8.7109375" style="144" customWidth="1"/>
    <col min="31" max="31" width="10" style="144" customWidth="1"/>
    <col min="32" max="32" width="8.7109375" style="144" customWidth="1"/>
    <col min="33" max="33" width="5.85546875" style="144" customWidth="1"/>
    <col min="34" max="34" width="3.28515625" style="144" customWidth="1"/>
    <col min="35" max="16384" width="9.140625" style="144"/>
  </cols>
  <sheetData>
    <row r="1" spans="1:34" ht="12.75" customHeight="1" x14ac:dyDescent="0.2"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</row>
    <row r="2" spans="1:34" ht="12.75" customHeight="1" x14ac:dyDescent="0.2"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</row>
    <row r="3" spans="1:34" ht="12.75" customHeight="1" x14ac:dyDescent="0.25">
      <c r="A3"/>
      <c r="B3" s="1"/>
      <c r="C3" s="1"/>
      <c r="D3" s="1"/>
      <c r="E3" s="619"/>
      <c r="F3" s="619"/>
      <c r="G3" s="466"/>
      <c r="H3" s="1"/>
      <c r="I3" s="2"/>
      <c r="J3" s="1"/>
      <c r="K3"/>
      <c r="L3"/>
      <c r="M3"/>
      <c r="U3" s="185"/>
      <c r="V3" s="277"/>
      <c r="W3" s="185"/>
      <c r="X3" s="185"/>
      <c r="Y3" s="185"/>
      <c r="Z3" s="617"/>
      <c r="AA3" s="618"/>
      <c r="AB3" s="618"/>
      <c r="AC3" s="618"/>
      <c r="AD3" s="618"/>
      <c r="AE3" s="278"/>
      <c r="AF3" s="185"/>
      <c r="AG3" s="185"/>
      <c r="AH3" s="185"/>
    </row>
    <row r="4" spans="1:34" ht="12.75" customHeight="1" x14ac:dyDescent="0.25">
      <c r="A4" s="1" t="s">
        <v>0</v>
      </c>
      <c r="B4" s="276"/>
      <c r="C4" s="276"/>
      <c r="D4" s="570"/>
      <c r="E4" s="570"/>
      <c r="F4" s="570"/>
      <c r="G4" s="571"/>
      <c r="H4" s="569"/>
      <c r="I4" s="569"/>
      <c r="J4" s="621" t="s">
        <v>391</v>
      </c>
      <c r="K4" s="621"/>
      <c r="L4" s="621"/>
      <c r="M4"/>
      <c r="U4" s="185"/>
      <c r="V4" s="277"/>
      <c r="W4" s="185"/>
      <c r="X4" s="185"/>
      <c r="Y4" s="185"/>
      <c r="Z4" s="618"/>
      <c r="AA4" s="618"/>
      <c r="AB4" s="618"/>
      <c r="AC4" s="618"/>
      <c r="AD4" s="618"/>
      <c r="AE4" s="279"/>
      <c r="AF4" s="185"/>
      <c r="AG4" s="185"/>
      <c r="AH4" s="185"/>
    </row>
    <row r="5" spans="1:34" ht="12.75" customHeight="1" x14ac:dyDescent="0.2">
      <c r="A5" s="1" t="s">
        <v>1</v>
      </c>
      <c r="B5" s="276"/>
      <c r="C5" s="276"/>
      <c r="D5" s="570"/>
      <c r="E5" s="570"/>
      <c r="F5" s="570"/>
      <c r="G5" s="570"/>
      <c r="H5" s="570"/>
      <c r="I5" s="572"/>
      <c r="J5" s="621"/>
      <c r="K5" s="621"/>
      <c r="L5" s="621"/>
      <c r="M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</row>
    <row r="6" spans="1:34" ht="12.75" customHeight="1" x14ac:dyDescent="0.2">
      <c r="A6"/>
      <c r="B6" s="459"/>
      <c r="C6" s="459"/>
      <c r="D6" s="459"/>
      <c r="E6" s="620"/>
      <c r="F6" s="620"/>
      <c r="G6" s="466"/>
      <c r="H6" s="26"/>
      <c r="I6" s="460"/>
      <c r="J6" s="621"/>
      <c r="K6" s="621"/>
      <c r="L6" s="621"/>
      <c r="M6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</row>
    <row r="7" spans="1:34" ht="12.75" customHeight="1" x14ac:dyDescent="0.2">
      <c r="A7"/>
      <c r="B7" s="459"/>
      <c r="C7" s="459"/>
      <c r="D7" s="459"/>
      <c r="E7" s="466"/>
      <c r="F7" s="466"/>
      <c r="G7" s="466"/>
      <c r="H7" s="26"/>
      <c r="I7" s="460"/>
      <c r="J7" s="621"/>
      <c r="K7" s="621"/>
      <c r="L7" s="621"/>
      <c r="M7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</row>
    <row r="8" spans="1:34" ht="12.75" customHeight="1" x14ac:dyDescent="0.35">
      <c r="A8"/>
      <c r="B8" s="459"/>
      <c r="C8" s="459"/>
      <c r="D8" s="459"/>
      <c r="E8" s="466"/>
      <c r="F8" s="466"/>
      <c r="G8" s="466"/>
      <c r="H8" s="26"/>
      <c r="I8" s="460"/>
      <c r="J8" s="142"/>
      <c r="K8" s="142"/>
      <c r="L8" s="142"/>
      <c r="M8"/>
    </row>
    <row r="9" spans="1:34" ht="12.75" customHeight="1" x14ac:dyDescent="0.35">
      <c r="A9"/>
      <c r="B9" s="460"/>
      <c r="C9" s="460"/>
      <c r="D9" s="460"/>
      <c r="E9" s="466"/>
      <c r="F9" s="462"/>
      <c r="G9" s="462"/>
      <c r="H9" s="462"/>
      <c r="I9" s="462"/>
      <c r="J9" s="457"/>
      <c r="K9"/>
      <c r="L9"/>
      <c r="M9"/>
    </row>
    <row r="10" spans="1:34" ht="12.75" customHeight="1" x14ac:dyDescent="0.35">
      <c r="A10"/>
      <c r="B10" s="460"/>
      <c r="C10" s="460"/>
      <c r="D10" s="460"/>
      <c r="E10" s="466"/>
      <c r="F10" s="463"/>
      <c r="G10" s="463"/>
      <c r="H10" s="463"/>
      <c r="I10" s="463"/>
      <c r="J10" s="458"/>
      <c r="K10"/>
      <c r="L10"/>
      <c r="M10"/>
    </row>
    <row r="11" spans="1:34" ht="12.75" customHeight="1" x14ac:dyDescent="0.2">
      <c r="A11"/>
      <c r="B11" s="8"/>
      <c r="C11" s="9"/>
      <c r="D11" s="9"/>
      <c r="E11" s="139"/>
      <c r="F11" s="139"/>
      <c r="G11" s="139"/>
      <c r="H11" s="138" t="s">
        <v>390</v>
      </c>
      <c r="I11" s="139"/>
      <c r="J11" s="139"/>
      <c r="K11" s="9"/>
      <c r="L11" s="10"/>
      <c r="M11"/>
    </row>
    <row r="12" spans="1:34" ht="12.75" customHeight="1" x14ac:dyDescent="0.2">
      <c r="A12"/>
      <c r="B12" s="11"/>
      <c r="C12" s="7"/>
      <c r="D12" s="7"/>
      <c r="E12" s="140"/>
      <c r="F12" s="140"/>
      <c r="G12" s="140"/>
      <c r="H12" s="141"/>
      <c r="I12" s="140"/>
      <c r="J12" s="140"/>
      <c r="K12" s="7"/>
      <c r="L12" s="12"/>
      <c r="M12"/>
    </row>
    <row r="13" spans="1:34" ht="12.75" customHeight="1" x14ac:dyDescent="0.2">
      <c r="A13"/>
      <c r="B13" s="11"/>
      <c r="C13" s="7"/>
      <c r="D13" s="7"/>
      <c r="E13" s="7"/>
      <c r="F13" s="7"/>
      <c r="G13" s="7"/>
      <c r="H13" s="7"/>
      <c r="I13" s="7" t="s">
        <v>2</v>
      </c>
      <c r="J13" s="7"/>
      <c r="K13" s="7" t="s">
        <v>3</v>
      </c>
      <c r="L13" s="12"/>
      <c r="M13"/>
    </row>
    <row r="14" spans="1:34" ht="12.75" customHeight="1" x14ac:dyDescent="0.2">
      <c r="A14"/>
      <c r="B14" s="11"/>
      <c r="C14" s="7"/>
      <c r="D14" s="7"/>
      <c r="E14" s="7"/>
      <c r="F14" s="7"/>
      <c r="G14" s="7"/>
      <c r="H14" s="7"/>
      <c r="I14" s="7" t="s">
        <v>4</v>
      </c>
      <c r="J14" s="7"/>
      <c r="K14" s="7" t="s">
        <v>4</v>
      </c>
      <c r="L14" s="12"/>
      <c r="M14"/>
    </row>
    <row r="15" spans="1:34" ht="12.75" customHeight="1" x14ac:dyDescent="0.2">
      <c r="A15"/>
      <c r="B15" s="615" t="s">
        <v>5</v>
      </c>
      <c r="C15" s="616"/>
      <c r="D15" s="465"/>
      <c r="E15" s="7"/>
      <c r="F15" s="7"/>
      <c r="G15" s="7"/>
      <c r="H15" s="7"/>
      <c r="I15" s="7"/>
      <c r="J15" s="7"/>
      <c r="K15" s="7"/>
      <c r="L15" s="12"/>
      <c r="M15"/>
    </row>
    <row r="16" spans="1:34" ht="12.75" customHeight="1" x14ac:dyDescent="0.2">
      <c r="A16"/>
      <c r="B16" s="11"/>
      <c r="C16" s="7" t="s">
        <v>6</v>
      </c>
      <c r="D16" s="7"/>
      <c r="E16" s="7"/>
      <c r="F16" s="7"/>
      <c r="G16" s="7"/>
      <c r="H16" s="7"/>
      <c r="I16" s="18">
        <v>10</v>
      </c>
      <c r="J16" s="7"/>
      <c r="K16" s="537">
        <f>'Traffic &amp; Accidents'!L25</f>
        <v>0</v>
      </c>
      <c r="L16" s="12"/>
      <c r="M16"/>
    </row>
    <row r="17" spans="1:15" ht="12.75" customHeight="1" x14ac:dyDescent="0.2">
      <c r="A17"/>
      <c r="B17" s="11"/>
      <c r="C17" s="7" t="s">
        <v>7</v>
      </c>
      <c r="D17" s="7"/>
      <c r="E17" s="7"/>
      <c r="F17" s="7"/>
      <c r="G17" s="7"/>
      <c r="H17" s="7"/>
      <c r="I17" s="558">
        <v>10</v>
      </c>
      <c r="J17" s="7"/>
      <c r="K17" s="573">
        <f>'Traffic &amp; Accidents'!L50</f>
        <v>0</v>
      </c>
      <c r="L17" s="12"/>
      <c r="M17"/>
    </row>
    <row r="18" spans="1:15" ht="12.75" customHeight="1" x14ac:dyDescent="0.2">
      <c r="A18"/>
      <c r="B18" s="11"/>
      <c r="C18" s="7"/>
      <c r="D18" s="7"/>
      <c r="E18" s="276"/>
      <c r="F18" s="565"/>
      <c r="G18" s="564" t="s">
        <v>8</v>
      </c>
      <c r="H18" s="7"/>
      <c r="I18" s="18">
        <v>20</v>
      </c>
      <c r="J18" s="7"/>
      <c r="K18" s="538">
        <f>ROUND(SUM(K16:K17),2)</f>
        <v>0</v>
      </c>
      <c r="L18" s="12"/>
      <c r="M18"/>
    </row>
    <row r="19" spans="1:15" ht="12.75" customHeight="1" x14ac:dyDescent="0.2">
      <c r="A19"/>
      <c r="B19" s="11"/>
      <c r="C19" s="7"/>
      <c r="D19" s="7"/>
      <c r="E19" s="565"/>
      <c r="F19" s="565"/>
      <c r="G19" s="7"/>
      <c r="H19" s="7"/>
      <c r="I19" s="18"/>
      <c r="J19" s="7"/>
      <c r="K19" s="537"/>
      <c r="L19" s="12"/>
      <c r="M19"/>
    </row>
    <row r="20" spans="1:15" ht="12.75" customHeight="1" x14ac:dyDescent="0.2">
      <c r="A20"/>
      <c r="B20" s="464" t="s">
        <v>9</v>
      </c>
      <c r="C20" s="465"/>
      <c r="D20" s="465"/>
      <c r="E20" s="569"/>
      <c r="F20" s="565"/>
      <c r="G20" s="7"/>
      <c r="H20" s="7"/>
      <c r="I20" s="18"/>
      <c r="J20" s="7"/>
      <c r="K20" s="537"/>
      <c r="L20" s="12"/>
      <c r="M20"/>
    </row>
    <row r="21" spans="1:15" ht="12.75" customHeight="1" x14ac:dyDescent="0.2">
      <c r="A21"/>
      <c r="B21" s="11"/>
      <c r="C21" s="7"/>
      <c r="D21" s="7"/>
      <c r="E21" s="565"/>
      <c r="F21" s="565"/>
      <c r="G21" s="7"/>
      <c r="H21" s="7"/>
      <c r="I21" s="18"/>
      <c r="J21" s="7"/>
      <c r="K21" s="537"/>
      <c r="L21" s="12"/>
      <c r="M21"/>
    </row>
    <row r="22" spans="1:15" ht="12.75" customHeight="1" x14ac:dyDescent="0.2">
      <c r="A22"/>
      <c r="B22" s="11"/>
      <c r="C22" s="7"/>
      <c r="D22" s="7"/>
      <c r="E22" s="622" t="s">
        <v>442</v>
      </c>
      <c r="F22" s="622"/>
      <c r="G22" s="561"/>
      <c r="H22" s="523"/>
      <c r="I22" s="524">
        <v>50</v>
      </c>
      <c r="J22" s="525"/>
      <c r="K22" s="526">
        <f>IF(STRUCTURE!G12&lt;&gt;0,STRUCTURE!G15,0)</f>
        <v>0</v>
      </c>
      <c r="L22" s="12"/>
      <c r="M22"/>
    </row>
    <row r="23" spans="1:15" ht="12.75" customHeight="1" x14ac:dyDescent="0.2">
      <c r="A23"/>
      <c r="B23" s="11"/>
      <c r="C23" s="7"/>
      <c r="D23" s="7"/>
      <c r="E23" s="566" t="s">
        <v>443</v>
      </c>
      <c r="F23" s="567"/>
      <c r="G23" s="527"/>
      <c r="H23" s="528"/>
      <c r="I23" s="524">
        <v>50</v>
      </c>
      <c r="J23" s="529"/>
      <c r="K23" s="530">
        <f>IF(K22&lt;&gt;0,0,STRUCTURE!AA15)</f>
        <v>0</v>
      </c>
      <c r="L23" s="12"/>
      <c r="M23"/>
    </row>
    <row r="24" spans="1:15" ht="12.75" customHeight="1" x14ac:dyDescent="0.2">
      <c r="A24"/>
      <c r="B24" s="11"/>
      <c r="C24" s="7"/>
      <c r="D24" s="7"/>
      <c r="E24" s="566"/>
      <c r="F24" s="567"/>
      <c r="G24" s="527"/>
      <c r="H24" s="528"/>
      <c r="I24" s="524"/>
      <c r="J24" s="529"/>
      <c r="K24" s="531"/>
      <c r="L24" s="12"/>
      <c r="M24"/>
    </row>
    <row r="25" spans="1:15" ht="12.75" customHeight="1" x14ac:dyDescent="0.25">
      <c r="A25"/>
      <c r="B25" s="11"/>
      <c r="C25" s="7"/>
      <c r="D25" s="7"/>
      <c r="E25" s="568"/>
      <c r="F25" s="276"/>
      <c r="G25" s="532" t="s">
        <v>444</v>
      </c>
      <c r="H25" s="532"/>
      <c r="I25" s="533"/>
      <c r="J25" s="534"/>
      <c r="K25" s="535">
        <f>SUM(K22,K23)</f>
        <v>0</v>
      </c>
      <c r="L25" s="12"/>
      <c r="M25"/>
    </row>
    <row r="26" spans="1:15" ht="12.75" customHeight="1" x14ac:dyDescent="0.2">
      <c r="A26"/>
      <c r="B26" s="11"/>
      <c r="C26" s="7"/>
      <c r="D26" s="7"/>
      <c r="E26" s="569"/>
      <c r="F26" s="565"/>
      <c r="G26" s="7"/>
      <c r="H26"/>
      <c r="I26" s="18"/>
      <c r="J26" s="7"/>
      <c r="K26" s="536"/>
      <c r="L26" s="108" t="e">
        <f>IF(#REF!&gt;#REF!,#REF!,L27)</f>
        <v>#REF!</v>
      </c>
      <c r="M26"/>
    </row>
    <row r="27" spans="1:15" ht="12.75" customHeight="1" x14ac:dyDescent="0.2">
      <c r="A27"/>
      <c r="B27" s="615" t="s">
        <v>12</v>
      </c>
      <c r="C27" s="616"/>
      <c r="D27" s="465"/>
      <c r="E27" s="7"/>
      <c r="F27" s="7"/>
      <c r="G27" s="7"/>
      <c r="H27" s="7"/>
      <c r="I27" s="18"/>
      <c r="J27" s="7"/>
      <c r="K27" s="537"/>
      <c r="L27" s="109" t="e">
        <f>IF(#REF!&gt;#REF!,#REF!,#REF!)</f>
        <v>#REF!</v>
      </c>
      <c r="M27"/>
      <c r="O27" s="150" t="s">
        <v>314</v>
      </c>
    </row>
    <row r="28" spans="1:15" ht="12.75" customHeight="1" x14ac:dyDescent="0.2">
      <c r="A28"/>
      <c r="B28" s="11"/>
      <c r="C28" s="7"/>
      <c r="D28" s="7"/>
      <c r="E28" s="7"/>
      <c r="F28" s="7"/>
      <c r="G28" s="7"/>
      <c r="H28" s="7"/>
      <c r="I28" s="18"/>
      <c r="J28" s="7"/>
      <c r="K28" s="537"/>
      <c r="L28" s="12"/>
      <c r="M28"/>
      <c r="N28" s="280">
        <f>IF(Geometry!I7&lt;Geometry!L7,O28,Geometry!V26)</f>
        <v>0</v>
      </c>
      <c r="O28" s="280">
        <f>Geometry!V26*(((Geometry!I7-Geometry!F7)/(Geometry!L7-Geometry!F7)))</f>
        <v>0</v>
      </c>
    </row>
    <row r="29" spans="1:15" ht="12.75" customHeight="1" x14ac:dyDescent="0.2">
      <c r="A29"/>
      <c r="B29" s="11"/>
      <c r="C29" s="7" t="s">
        <v>13</v>
      </c>
      <c r="D29" s="7"/>
      <c r="E29" s="7"/>
      <c r="F29" s="7"/>
      <c r="G29" s="7"/>
      <c r="H29" s="7"/>
      <c r="I29" s="18">
        <v>10</v>
      </c>
      <c r="J29"/>
      <c r="K29" s="537">
        <f>N28</f>
        <v>0</v>
      </c>
      <c r="L29" s="25" t="str">
        <f>IF(AND(Geometry!F7&lt;&gt;0,Geometry!I7&lt;Geometry!L7),"Reduced","")</f>
        <v/>
      </c>
      <c r="M29"/>
      <c r="N29" s="280">
        <f>IF(Geometry!I8&lt;Geometry!L8,O29,Geometry!AA26)</f>
        <v>0</v>
      </c>
      <c r="O29" s="280">
        <f>Geometry!AA26*(((Geometry!I8-Geometry!F8)/(Geometry!L8-Geometry!F8)))</f>
        <v>0</v>
      </c>
    </row>
    <row r="30" spans="1:15" ht="12.75" customHeight="1" x14ac:dyDescent="0.2">
      <c r="A30"/>
      <c r="B30" s="11"/>
      <c r="C30" s="7" t="s">
        <v>14</v>
      </c>
      <c r="D30" s="7"/>
      <c r="E30" s="7"/>
      <c r="F30" s="7"/>
      <c r="G30" s="7"/>
      <c r="H30" s="7"/>
      <c r="I30" s="18">
        <v>10</v>
      </c>
      <c r="J30"/>
      <c r="K30" s="537">
        <f>N29</f>
        <v>0</v>
      </c>
      <c r="L30" s="25" t="str">
        <f>IF(AND(Geometry!F8&lt;&gt;0,Geometry!I8&lt;Geometry!L8),"Reduced","")</f>
        <v/>
      </c>
      <c r="M30"/>
      <c r="N30" s="280">
        <f>IF(Geometry!I10&lt;Geometry!L8,O30,Geometry!V44)</f>
        <v>0</v>
      </c>
      <c r="O30" s="280">
        <f>Geometry!V44*(((Geometry!I10-Geometry!F10)/(Geometry!L8-Geometry!F10)))</f>
        <v>0</v>
      </c>
    </row>
    <row r="31" spans="1:15" ht="12.75" customHeight="1" x14ac:dyDescent="0.2">
      <c r="A31"/>
      <c r="B31" s="11"/>
      <c r="C31" s="7" t="s">
        <v>15</v>
      </c>
      <c r="D31" s="7"/>
      <c r="E31" s="7"/>
      <c r="F31" s="7"/>
      <c r="G31" s="7"/>
      <c r="H31" s="7"/>
      <c r="I31" s="558">
        <v>15</v>
      </c>
      <c r="J31"/>
      <c r="K31" s="537">
        <f>N30</f>
        <v>0</v>
      </c>
      <c r="L31" s="25" t="str">
        <f>IF(AND(Geometry!F10&lt;&gt;0,Geometry!I10&lt;Geometry!L8),"Reduced","")</f>
        <v/>
      </c>
      <c r="M31"/>
    </row>
    <row r="32" spans="1:15" ht="12.75" customHeight="1" x14ac:dyDescent="0.2">
      <c r="A32"/>
      <c r="B32" s="11"/>
      <c r="C32" s="7" t="s">
        <v>16</v>
      </c>
      <c r="D32" s="7"/>
      <c r="E32" s="7"/>
      <c r="F32" s="7"/>
      <c r="G32" s="7"/>
      <c r="H32" s="7"/>
      <c r="I32" s="556">
        <v>20</v>
      </c>
      <c r="J32" s="7"/>
      <c r="K32" s="559" t="e">
        <f>Geometry!C38+Geometry!I38</f>
        <v>#DIV/0!</v>
      </c>
      <c r="L32" s="29" t="str">
        <f>IF(OR(Geometry!E38&lt;1,Geometry!L38&lt;1),"Reduced","")</f>
        <v/>
      </c>
      <c r="M32"/>
    </row>
    <row r="33" spans="1:13" ht="12.75" customHeight="1" x14ac:dyDescent="0.2">
      <c r="A33"/>
      <c r="B33" s="11"/>
      <c r="C33" s="7"/>
      <c r="D33" s="7"/>
      <c r="E33" s="7"/>
      <c r="F33" s="7"/>
      <c r="G33" s="7"/>
      <c r="H33" s="7"/>
      <c r="I33" s="18"/>
      <c r="J33" s="7"/>
      <c r="K33" s="537"/>
      <c r="L33" s="12"/>
      <c r="M33"/>
    </row>
    <row r="34" spans="1:13" ht="12.75" customHeight="1" x14ac:dyDescent="0.2">
      <c r="A34"/>
      <c r="B34" s="11"/>
      <c r="C34" s="7"/>
      <c r="D34" s="7"/>
      <c r="E34" s="562" t="s">
        <v>17</v>
      </c>
      <c r="F34" s="7"/>
      <c r="G34" s="7"/>
      <c r="H34" s="7"/>
      <c r="I34" s="18">
        <v>30</v>
      </c>
      <c r="J34" s="7"/>
      <c r="K34" s="536" t="e">
        <f>IF(SUM(K29:K33)&gt;30,30,SUM(K29:K32))</f>
        <v>#DIV/0!</v>
      </c>
      <c r="L34" s="12"/>
      <c r="M34"/>
    </row>
    <row r="35" spans="1:13" ht="12.75" customHeight="1" x14ac:dyDescent="0.2">
      <c r="A35"/>
      <c r="B35" s="11"/>
      <c r="C35" s="7"/>
      <c r="D35" s="7"/>
      <c r="E35" s="7"/>
      <c r="F35" s="7"/>
      <c r="G35" s="7"/>
      <c r="H35" s="7"/>
      <c r="I35" s="18"/>
      <c r="J35" s="7"/>
      <c r="K35" s="537"/>
      <c r="L35" s="12"/>
      <c r="M35"/>
    </row>
    <row r="36" spans="1:13" ht="12.75" customHeight="1" x14ac:dyDescent="0.2">
      <c r="A36"/>
      <c r="B36" s="11"/>
      <c r="C36" s="7"/>
      <c r="D36" s="7"/>
      <c r="E36" s="7"/>
      <c r="F36" s="7"/>
      <c r="G36" s="7"/>
      <c r="H36" s="7"/>
      <c r="I36" s="557" t="s">
        <v>18</v>
      </c>
      <c r="J36" s="16" t="s">
        <v>19</v>
      </c>
      <c r="K36" s="537" t="s">
        <v>318</v>
      </c>
      <c r="L36" s="12"/>
      <c r="M36"/>
    </row>
    <row r="37" spans="1:13" ht="12.75" customHeight="1" x14ac:dyDescent="0.2">
      <c r="A37"/>
      <c r="B37" s="11"/>
      <c r="C37" s="7"/>
      <c r="D37" s="7"/>
      <c r="E37" s="7"/>
      <c r="F37" s="276"/>
      <c r="G37" s="563" t="s">
        <v>446</v>
      </c>
      <c r="H37" s="276"/>
      <c r="I37" s="18">
        <v>80</v>
      </c>
      <c r="J37" s="4" t="e">
        <f>IF(AND(SUM(K25*0.6,K34*1.66667)&gt;SUM(K25,K34)),SUM(K25*0.6,K34*1.66667),SUM(K25,K34))</f>
        <v>#DIV/0!</v>
      </c>
      <c r="K37" s="538" t="e">
        <f>IF(J37&gt;80,80,ROUND(J37,2))</f>
        <v>#DIV/0!</v>
      </c>
      <c r="L37" s="12"/>
      <c r="M37"/>
    </row>
    <row r="38" spans="1:13" ht="12.75" customHeight="1" x14ac:dyDescent="0.2">
      <c r="A38"/>
      <c r="B38" s="11"/>
      <c r="C38" s="7"/>
      <c r="D38" s="7"/>
      <c r="E38" s="7"/>
      <c r="F38" s="276"/>
      <c r="G38" s="276"/>
      <c r="H38" s="560"/>
      <c r="I38" s="18"/>
      <c r="J38" s="4"/>
      <c r="K38" s="538"/>
      <c r="L38" s="12"/>
      <c r="M38"/>
    </row>
    <row r="39" spans="1:13" ht="12.75" customHeight="1" x14ac:dyDescent="0.2">
      <c r="A39"/>
      <c r="B39" s="11"/>
      <c r="C39" s="7"/>
      <c r="D39" s="7"/>
      <c r="E39" s="7"/>
      <c r="F39" s="276"/>
      <c r="G39" s="276"/>
      <c r="H39" s="560"/>
      <c r="I39" s="18"/>
      <c r="J39" s="4"/>
      <c r="K39" s="538"/>
      <c r="L39" s="12"/>
      <c r="M39"/>
    </row>
    <row r="40" spans="1:13" ht="12.75" customHeight="1" x14ac:dyDescent="0.2">
      <c r="A40"/>
      <c r="B40" s="11"/>
      <c r="C40" s="7"/>
      <c r="D40" s="7"/>
      <c r="E40" s="7"/>
      <c r="F40" s="7"/>
      <c r="G40" s="7"/>
      <c r="H40" s="7"/>
      <c r="I40" s="18"/>
      <c r="J40" s="7"/>
      <c r="K40" s="537"/>
      <c r="L40" s="12"/>
      <c r="M40"/>
    </row>
    <row r="41" spans="1:13" ht="12.75" customHeight="1" x14ac:dyDescent="0.2">
      <c r="A41"/>
      <c r="B41" s="13" t="s">
        <v>20</v>
      </c>
      <c r="C41" s="14"/>
      <c r="D41" s="14"/>
      <c r="E41" s="14"/>
      <c r="F41" s="14"/>
      <c r="G41" s="14"/>
      <c r="H41" s="14"/>
      <c r="I41" s="558">
        <v>100</v>
      </c>
      <c r="J41" s="14"/>
      <c r="K41" s="539" t="e">
        <f>SUM(K18,K37)</f>
        <v>#DIV/0!</v>
      </c>
      <c r="L41" s="24"/>
      <c r="M41"/>
    </row>
    <row r="42" spans="1:13" ht="12.7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2.75" customHeight="1" x14ac:dyDescent="0.2">
      <c r="A43"/>
      <c r="B43" s="3" t="s">
        <v>21</v>
      </c>
      <c r="C43" s="1"/>
      <c r="D43" s="1"/>
      <c r="E43" s="1"/>
      <c r="F43" s="1"/>
      <c r="G43" s="1"/>
      <c r="H43" s="1"/>
      <c r="I43" s="1"/>
      <c r="J43"/>
      <c r="K43"/>
      <c r="L43"/>
      <c r="M43"/>
    </row>
    <row r="44" spans="1:13" ht="12.75" customHeight="1" x14ac:dyDescent="0.2">
      <c r="A44"/>
      <c r="B44" s="3"/>
      <c r="C44" s="1"/>
      <c r="D44" s="1"/>
      <c r="E44" s="1"/>
      <c r="F44" s="1"/>
      <c r="G44" s="1"/>
      <c r="H44" s="1"/>
      <c r="I44" s="1"/>
      <c r="J44"/>
      <c r="K44"/>
      <c r="L44"/>
      <c r="M44"/>
    </row>
    <row r="45" spans="1:13" ht="12.75" customHeight="1" x14ac:dyDescent="0.2">
      <c r="A45"/>
      <c r="B45" s="1" t="s">
        <v>22</v>
      </c>
      <c r="C45" s="1"/>
      <c r="D45" s="1"/>
      <c r="E45" s="1"/>
      <c r="F45" s="1"/>
      <c r="G45" s="1"/>
      <c r="H45" s="1"/>
      <c r="I45" s="1"/>
      <c r="J45"/>
      <c r="K45"/>
      <c r="L45"/>
      <c r="M45"/>
    </row>
    <row r="46" spans="1:13" ht="12.75" customHeight="1" x14ac:dyDescent="0.2">
      <c r="A46"/>
      <c r="B46" s="2"/>
      <c r="C46" s="1" t="s">
        <v>419</v>
      </c>
      <c r="D46" s="1"/>
      <c r="E46" s="1"/>
      <c r="F46" s="1"/>
      <c r="G46" s="1"/>
      <c r="H46" s="1"/>
      <c r="I46" s="1"/>
      <c r="J46"/>
      <c r="K46"/>
      <c r="L46"/>
      <c r="M46"/>
    </row>
    <row r="47" spans="1:13" ht="12.75" customHeight="1" x14ac:dyDescent="0.2">
      <c r="A47"/>
      <c r="B47" s="2" t="s">
        <v>23</v>
      </c>
      <c r="C47" s="2"/>
      <c r="D47" s="2"/>
      <c r="E47" s="2"/>
      <c r="F47" s="2"/>
      <c r="G47" s="2"/>
      <c r="H47" s="2"/>
      <c r="I47" s="2"/>
      <c r="J47"/>
      <c r="K47"/>
      <c r="L47"/>
      <c r="M47"/>
    </row>
    <row r="48" spans="1:13" ht="12.75" customHeight="1" x14ac:dyDescent="0.2">
      <c r="A48"/>
      <c r="B48" s="1" t="s">
        <v>24</v>
      </c>
      <c r="C48" s="1"/>
      <c r="D48" s="1"/>
      <c r="E48" s="1"/>
      <c r="F48" s="1"/>
      <c r="G48" s="1"/>
      <c r="H48" s="1"/>
      <c r="I48" s="1"/>
      <c r="J48"/>
      <c r="K48"/>
      <c r="L48"/>
      <c r="M48"/>
    </row>
    <row r="49" spans="1:13" ht="12.75" customHeight="1" x14ac:dyDescent="0.2">
      <c r="A49"/>
      <c r="B49" s="1"/>
      <c r="C49" s="1"/>
      <c r="D49" s="1"/>
      <c r="E49" s="1"/>
      <c r="F49" s="1"/>
      <c r="G49" s="1"/>
      <c r="H49" s="1"/>
      <c r="I49" s="1"/>
      <c r="J49"/>
      <c r="K49"/>
      <c r="L49"/>
      <c r="M49"/>
    </row>
    <row r="50" spans="1:13" ht="12.75" customHeight="1" x14ac:dyDescent="0.2">
      <c r="A50"/>
      <c r="B50" s="3" t="s">
        <v>418</v>
      </c>
      <c r="C50" s="3"/>
      <c r="D50" s="3"/>
      <c r="E50" s="3"/>
      <c r="F50" s="3"/>
      <c r="G50" s="3"/>
      <c r="H50" s="3"/>
      <c r="I50" s="3"/>
      <c r="J50"/>
      <c r="K50"/>
      <c r="L50"/>
      <c r="M50"/>
    </row>
    <row r="51" spans="1:13" ht="12.75" customHeight="1" x14ac:dyDescent="0.2">
      <c r="A51" s="565"/>
      <c r="B51" s="565"/>
      <c r="C51" s="565"/>
      <c r="D51" s="565"/>
      <c r="E51" s="565"/>
      <c r="F51" s="565"/>
      <c r="G51" s="565"/>
      <c r="H51" s="565"/>
      <c r="I51" s="565"/>
      <c r="J51" s="565"/>
      <c r="K51" s="565"/>
      <c r="L51" s="565"/>
      <c r="M51" s="565"/>
    </row>
  </sheetData>
  <sheetProtection algorithmName="SHA-512" hashValue="JCO8fbPGOfqsRTn5k1ED/r/8vjICmWPrJWp/vG+moGPiRQ1q38VUrkd3EswUz8HkJbwbIrDYAEWq27TSfnDkRQ==" saltValue="j6ipwAH3kaKgTtFcxtfugg==" spinCount="100000" sheet="1" selectLockedCells="1"/>
  <mergeCells count="7">
    <mergeCell ref="B15:C15"/>
    <mergeCell ref="B27:C27"/>
    <mergeCell ref="Z3:AD4"/>
    <mergeCell ref="E3:F3"/>
    <mergeCell ref="E6:F6"/>
    <mergeCell ref="J4:L7"/>
    <mergeCell ref="E22:F22"/>
  </mergeCells>
  <phoneticPr fontId="24" type="noConversion"/>
  <conditionalFormatting sqref="AE4">
    <cfRule type="expression" dxfId="10" priority="1" stopIfTrue="1">
      <formula>ISERROR(L27)</formula>
    </cfRule>
  </conditionalFormatting>
  <hyperlinks>
    <hyperlink ref="B15:C15" location="'Traffic &amp; Accidents'!C7" display="TRAFFIC:" xr:uid="{00000000-0004-0000-0100-000000000000}"/>
    <hyperlink ref="B20:C20" location="Structure!G11" display="ROAD CONDITION:" xr:uid="{00000000-0004-0000-0100-000001000000}"/>
    <hyperlink ref="B27:C27" location="Geometry!F7" display="GEOMETRICS:" xr:uid="{00000000-0004-0000-0100-000002000000}"/>
  </hyperlinks>
  <pageMargins left="0.5" right="0.5" top="0.5" bottom="0.42" header="0.28000000000000003" footer="0.25"/>
  <pageSetup orientation="portrait" r:id="rId1"/>
  <headerFooter alignWithMargins="0">
    <oddFooter>&amp;L&amp;F&amp;R7/14/04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showGridLines="0" workbookViewId="0">
      <selection activeCell="J7" sqref="J7"/>
    </sheetView>
  </sheetViews>
  <sheetFormatPr defaultColWidth="7.7109375" defaultRowHeight="12.75" x14ac:dyDescent="0.2"/>
  <cols>
    <col min="1" max="16384" width="7.7109375" style="144"/>
  </cols>
  <sheetData>
    <row r="2" spans="2:15" x14ac:dyDescent="0.2">
      <c r="L2" s="185"/>
    </row>
    <row r="3" spans="2:15" ht="16.5" thickBot="1" x14ac:dyDescent="0.3">
      <c r="C3" s="179"/>
      <c r="G3" s="180"/>
      <c r="H3" s="180"/>
      <c r="I3" s="180"/>
      <c r="J3" s="180"/>
      <c r="K3" s="180"/>
      <c r="L3" s="184"/>
    </row>
    <row r="4" spans="2:15" ht="15.75" x14ac:dyDescent="0.25">
      <c r="B4" s="41"/>
      <c r="C4" s="42"/>
      <c r="D4" s="43"/>
      <c r="E4" s="43"/>
      <c r="F4" s="43"/>
      <c r="G4" s="44"/>
      <c r="H4" s="44"/>
      <c r="I4" s="44"/>
      <c r="J4" s="44"/>
      <c r="K4" s="44"/>
      <c r="L4" s="43"/>
      <c r="M4" s="45"/>
    </row>
    <row r="5" spans="2:15" x14ac:dyDescent="0.2">
      <c r="B5" s="46" t="s">
        <v>281</v>
      </c>
      <c r="C5" s="7"/>
      <c r="D5" s="7"/>
      <c r="E5" s="7"/>
      <c r="F5" s="7"/>
      <c r="G5" s="7"/>
      <c r="H5" s="7"/>
      <c r="I5" s="580" t="s">
        <v>448</v>
      </c>
      <c r="J5" s="581" t="s">
        <v>449</v>
      </c>
      <c r="K5" s="183"/>
      <c r="L5" s="7"/>
      <c r="M5" s="47"/>
    </row>
    <row r="6" spans="2:15" x14ac:dyDescent="0.2">
      <c r="B6" s="48"/>
      <c r="C6" s="49"/>
      <c r="D6" s="50"/>
      <c r="E6" s="7"/>
      <c r="F6" s="578"/>
      <c r="G6" s="565"/>
      <c r="H6" s="7"/>
      <c r="I6" s="133"/>
      <c r="J6" s="574"/>
      <c r="K6" s="51" t="s">
        <v>278</v>
      </c>
      <c r="L6" s="7"/>
      <c r="M6" s="47"/>
    </row>
    <row r="7" spans="2:15" x14ac:dyDescent="0.2">
      <c r="B7" s="48"/>
      <c r="C7" s="574"/>
      <c r="D7" s="51" t="s">
        <v>271</v>
      </c>
      <c r="E7" s="7"/>
      <c r="F7" s="571"/>
      <c r="G7" s="579"/>
      <c r="H7" s="7"/>
      <c r="I7" s="134"/>
      <c r="J7" s="577"/>
      <c r="K7" s="51" t="s">
        <v>279</v>
      </c>
      <c r="L7" s="7"/>
      <c r="M7" s="52"/>
      <c r="N7" s="181"/>
      <c r="O7" s="181"/>
    </row>
    <row r="8" spans="2:15" x14ac:dyDescent="0.2">
      <c r="B8" s="48"/>
      <c r="C8" s="575"/>
      <c r="D8" s="53" t="s">
        <v>371</v>
      </c>
      <c r="E8" s="7"/>
      <c r="F8" s="49"/>
      <c r="G8" s="7"/>
      <c r="H8" s="7"/>
      <c r="I8" s="133"/>
      <c r="J8" s="574"/>
      <c r="K8" s="51" t="s">
        <v>272</v>
      </c>
      <c r="L8" s="7"/>
      <c r="M8" s="54"/>
      <c r="N8" s="182"/>
      <c r="O8" s="182"/>
    </row>
    <row r="9" spans="2:15" x14ac:dyDescent="0.2">
      <c r="B9" s="48"/>
      <c r="C9" s="576"/>
      <c r="D9" s="51" t="s">
        <v>370</v>
      </c>
      <c r="E9" s="7"/>
      <c r="F9" s="7"/>
      <c r="G9" s="55"/>
      <c r="H9" s="55"/>
      <c r="I9" s="56"/>
      <c r="J9" s="57"/>
      <c r="K9" s="57"/>
      <c r="L9" s="7"/>
      <c r="M9" s="54"/>
      <c r="N9" s="182"/>
      <c r="O9" s="182"/>
    </row>
    <row r="10" spans="2:15" x14ac:dyDescent="0.2">
      <c r="B10" s="48"/>
      <c r="C10" s="7"/>
      <c r="D10" s="7"/>
      <c r="E10" s="7"/>
      <c r="F10" s="55"/>
      <c r="G10" s="55"/>
      <c r="H10" s="55"/>
      <c r="I10" s="56"/>
      <c r="J10" s="57"/>
      <c r="K10" s="57"/>
      <c r="L10" s="7"/>
      <c r="M10" s="54"/>
      <c r="N10" s="182"/>
      <c r="O10" s="182"/>
    </row>
    <row r="11" spans="2:15" ht="13.5" thickBot="1" x14ac:dyDescent="0.25">
      <c r="B11" s="58"/>
      <c r="C11" s="59"/>
      <c r="D11" s="59"/>
      <c r="E11" s="59"/>
      <c r="F11" s="59"/>
      <c r="G11" s="59"/>
      <c r="H11" s="60"/>
      <c r="I11" s="61"/>
      <c r="J11" s="62"/>
      <c r="K11" s="62"/>
      <c r="L11" s="63"/>
      <c r="M11" s="64"/>
      <c r="N11" s="182"/>
      <c r="O11" s="182"/>
    </row>
    <row r="18" spans="2:23" x14ac:dyDescent="0.2">
      <c r="P18" s="623" t="s">
        <v>416</v>
      </c>
      <c r="Q18" s="623"/>
    </row>
    <row r="19" spans="2:23" ht="12.75" customHeight="1" x14ac:dyDescent="0.2"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623"/>
      <c r="Q19" s="623"/>
      <c r="R19" s="145"/>
      <c r="S19" s="145"/>
      <c r="T19" s="145"/>
      <c r="U19" s="145"/>
      <c r="V19" s="145"/>
      <c r="W19" s="145"/>
    </row>
    <row r="20" spans="2:23" x14ac:dyDescent="0.2">
      <c r="B20" s="146" t="s">
        <v>25</v>
      </c>
      <c r="C20" s="147"/>
      <c r="D20" s="147"/>
      <c r="E20" s="147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624"/>
      <c r="Q20" s="624"/>
      <c r="R20" s="145"/>
      <c r="S20" s="145"/>
      <c r="T20" s="145"/>
      <c r="U20" s="145"/>
      <c r="V20" s="145"/>
      <c r="W20" s="145"/>
    </row>
    <row r="21" spans="2:23" x14ac:dyDescent="0.2"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76"/>
      <c r="Q21" s="176"/>
      <c r="R21" s="145"/>
      <c r="S21" s="145"/>
      <c r="T21" s="145"/>
      <c r="U21" s="145"/>
      <c r="V21" s="145"/>
      <c r="W21" s="145"/>
    </row>
    <row r="22" spans="2:23" x14ac:dyDescent="0.2">
      <c r="B22" s="145"/>
      <c r="C22" s="145" t="s">
        <v>26</v>
      </c>
      <c r="D22" s="145"/>
      <c r="E22" s="145"/>
      <c r="F22" s="298">
        <f>'Traffic &amp; Accidents'!C7</f>
        <v>0</v>
      </c>
      <c r="G22" s="299" t="s">
        <v>414</v>
      </c>
      <c r="H22" s="148"/>
      <c r="I22" s="145"/>
      <c r="J22" s="145"/>
      <c r="K22" s="145"/>
      <c r="L22" s="145"/>
      <c r="M22" s="145"/>
      <c r="N22" s="149"/>
      <c r="O22" s="149"/>
      <c r="P22" s="177">
        <f>IF(F22&lt;50,0,P23)</f>
        <v>0</v>
      </c>
      <c r="Q22" s="176" t="s">
        <v>27</v>
      </c>
      <c r="R22" s="145"/>
      <c r="S22" s="145"/>
      <c r="T22" s="145"/>
      <c r="U22" s="145"/>
      <c r="V22" s="145"/>
      <c r="W22" s="145"/>
    </row>
    <row r="23" spans="2:23" x14ac:dyDescent="0.2">
      <c r="B23" s="145"/>
      <c r="C23" s="145" t="s">
        <v>28</v>
      </c>
      <c r="D23" s="145"/>
      <c r="E23" s="145"/>
      <c r="F23" s="145"/>
      <c r="G23" s="145"/>
      <c r="H23" s="145" t="s">
        <v>415</v>
      </c>
      <c r="I23" s="145"/>
      <c r="J23" s="145"/>
      <c r="K23" s="145"/>
      <c r="L23" s="145"/>
      <c r="M23" s="145"/>
      <c r="N23" s="145"/>
      <c r="O23" s="145"/>
      <c r="P23" s="178">
        <f>IF(F22&lt;101,2,P24)</f>
        <v>2</v>
      </c>
      <c r="Q23" s="176"/>
      <c r="R23" s="145"/>
      <c r="S23" s="145"/>
      <c r="T23" s="145"/>
      <c r="U23" s="145"/>
      <c r="V23" s="145"/>
      <c r="W23" s="145"/>
    </row>
    <row r="24" spans="2:23" x14ac:dyDescent="0.2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78">
        <f>IF(F22&lt;251,4,P25)</f>
        <v>4</v>
      </c>
      <c r="Q24" s="176"/>
      <c r="R24" s="145"/>
      <c r="S24" s="145"/>
      <c r="T24" s="145"/>
      <c r="U24" s="145"/>
      <c r="V24" s="145"/>
      <c r="W24" s="145"/>
    </row>
    <row r="25" spans="2:23" x14ac:dyDescent="0.2">
      <c r="B25" s="151"/>
      <c r="C25" s="145"/>
      <c r="D25" s="145"/>
      <c r="E25" s="145"/>
      <c r="F25" s="145"/>
      <c r="G25" s="151"/>
      <c r="H25" s="145"/>
      <c r="I25" s="145"/>
      <c r="J25" s="152"/>
      <c r="K25" s="152" t="s">
        <v>29</v>
      </c>
      <c r="L25" s="186">
        <f>P22</f>
        <v>0</v>
      </c>
      <c r="M25" s="145"/>
      <c r="N25" s="145"/>
      <c r="O25" s="145"/>
      <c r="P25" s="178">
        <f>IF(F22&lt;501,6,P26)</f>
        <v>6</v>
      </c>
      <c r="Q25" s="176"/>
      <c r="R25" s="145"/>
      <c r="S25" s="145"/>
      <c r="T25" s="145"/>
      <c r="U25" s="145"/>
      <c r="V25" s="145"/>
      <c r="W25" s="145"/>
    </row>
    <row r="26" spans="2:23" x14ac:dyDescent="0.2"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78">
        <f>IF(F22&lt;751,8,P27)</f>
        <v>8</v>
      </c>
      <c r="Q26" s="176"/>
      <c r="R26" s="145"/>
      <c r="S26" s="145"/>
      <c r="T26" s="145"/>
      <c r="U26" s="145"/>
      <c r="V26" s="145"/>
      <c r="W26" s="145"/>
    </row>
    <row r="27" spans="2:23" x14ac:dyDescent="0.2">
      <c r="B27" s="146" t="s">
        <v>30</v>
      </c>
      <c r="C27" s="147"/>
      <c r="D27" s="147"/>
      <c r="E27" s="147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78">
        <f>IF(F22&gt;750,10,O28)</f>
        <v>0</v>
      </c>
      <c r="Q27" s="176"/>
      <c r="R27" s="145"/>
      <c r="S27" s="145"/>
      <c r="T27" s="145"/>
      <c r="U27" s="145"/>
      <c r="V27" s="145"/>
      <c r="W27" s="145"/>
    </row>
    <row r="28" spans="2:23" x14ac:dyDescent="0.2"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76"/>
      <c r="Q28" s="176"/>
      <c r="R28" s="145"/>
      <c r="S28" s="145"/>
      <c r="T28" s="145"/>
      <c r="U28" s="145"/>
      <c r="V28" s="145"/>
      <c r="W28" s="145"/>
    </row>
    <row r="29" spans="2:23" x14ac:dyDescent="0.2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</row>
    <row r="30" spans="2:23" x14ac:dyDescent="0.2">
      <c r="B30" s="151"/>
      <c r="C30" s="145" t="s">
        <v>31</v>
      </c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</row>
    <row r="31" spans="2:23" x14ac:dyDescent="0.2">
      <c r="B31" s="145"/>
      <c r="C31" s="145" t="s">
        <v>32</v>
      </c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</row>
    <row r="32" spans="2:23" x14ac:dyDescent="0.2">
      <c r="B32" s="145"/>
      <c r="C32" s="145"/>
      <c r="D32" s="145" t="s">
        <v>33</v>
      </c>
      <c r="E32" s="145"/>
      <c r="F32" s="145" t="s">
        <v>34</v>
      </c>
      <c r="G32" s="145"/>
      <c r="H32" s="145" t="s">
        <v>34</v>
      </c>
      <c r="I32" s="151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</row>
    <row r="33" spans="2:23" x14ac:dyDescent="0.2">
      <c r="B33" s="153" t="s">
        <v>35</v>
      </c>
      <c r="C33" s="145"/>
      <c r="D33" s="145" t="s">
        <v>36</v>
      </c>
      <c r="E33" s="145"/>
      <c r="F33" s="148" t="s">
        <v>37</v>
      </c>
      <c r="G33" s="145"/>
      <c r="H33" s="148" t="s">
        <v>38</v>
      </c>
      <c r="I33" s="151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</row>
    <row r="34" spans="2:23" x14ac:dyDescent="0.2">
      <c r="B34" s="145"/>
      <c r="C34" s="145"/>
      <c r="D34" s="148" t="s">
        <v>39</v>
      </c>
      <c r="E34" s="145"/>
      <c r="F34" s="145" t="s">
        <v>40</v>
      </c>
      <c r="G34" s="145"/>
      <c r="H34" s="145" t="s">
        <v>40</v>
      </c>
      <c r="I34" s="151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</row>
    <row r="35" spans="2:23" x14ac:dyDescent="0.2">
      <c r="B35" s="145"/>
      <c r="C35" s="145"/>
      <c r="D35" s="145"/>
      <c r="E35" s="145"/>
      <c r="F35" s="145"/>
      <c r="G35" s="145"/>
      <c r="H35" s="145"/>
      <c r="I35" s="151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</row>
    <row r="36" spans="2:23" x14ac:dyDescent="0.2">
      <c r="B36" s="150"/>
      <c r="C36" s="150"/>
      <c r="D36" s="154">
        <f>'Traffic &amp; Accidents'!J6</f>
        <v>0</v>
      </c>
      <c r="E36" s="155"/>
      <c r="F36" s="154">
        <f>'Traffic &amp; Accidents'!J7</f>
        <v>0</v>
      </c>
      <c r="G36" s="155"/>
      <c r="H36" s="154">
        <f>'Traffic &amp; Accidents'!J8</f>
        <v>0</v>
      </c>
      <c r="I36" s="151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</row>
    <row r="37" spans="2:23" x14ac:dyDescent="0.2">
      <c r="B37" s="150"/>
      <c r="C37" s="145"/>
      <c r="D37" s="145"/>
      <c r="E37" s="145"/>
      <c r="F37" s="145"/>
      <c r="G37" s="145"/>
      <c r="H37" s="145"/>
      <c r="I37" s="151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</row>
    <row r="38" spans="2:23" x14ac:dyDescent="0.2">
      <c r="B38" s="150" t="s">
        <v>41</v>
      </c>
      <c r="C38" s="145"/>
      <c r="D38" s="150" t="s">
        <v>42</v>
      </c>
      <c r="E38" s="150"/>
      <c r="F38" s="150" t="s">
        <v>43</v>
      </c>
      <c r="G38" s="150"/>
      <c r="H38" s="150" t="s">
        <v>44</v>
      </c>
      <c r="I38" s="151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</row>
    <row r="39" spans="2:23" x14ac:dyDescent="0.2">
      <c r="B39" s="150"/>
      <c r="C39" s="145"/>
      <c r="D39" s="145"/>
      <c r="E39" s="145"/>
      <c r="F39" s="145"/>
      <c r="G39" s="145"/>
      <c r="H39" s="145"/>
      <c r="I39" s="151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</row>
    <row r="40" spans="2:23" x14ac:dyDescent="0.2">
      <c r="B40" s="150" t="s">
        <v>10</v>
      </c>
      <c r="C40" s="145"/>
      <c r="D40" s="154">
        <f>D36*3</f>
        <v>0</v>
      </c>
      <c r="E40" s="155" t="s">
        <v>45</v>
      </c>
      <c r="F40" s="154">
        <f>F36*10</f>
        <v>0</v>
      </c>
      <c r="G40" s="155" t="s">
        <v>45</v>
      </c>
      <c r="H40" s="154">
        <f>H36*25</f>
        <v>0</v>
      </c>
      <c r="I40" s="156" t="s">
        <v>10</v>
      </c>
      <c r="J40" s="157">
        <f>SUM(D40,F40,H40)</f>
        <v>0</v>
      </c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</row>
    <row r="41" spans="2:23" x14ac:dyDescent="0.2">
      <c r="B41" s="145"/>
      <c r="C41" s="145"/>
      <c r="D41" s="145"/>
      <c r="E41" s="145"/>
      <c r="F41" s="145"/>
      <c r="G41" s="145"/>
      <c r="H41" s="145"/>
      <c r="I41" s="145"/>
      <c r="J41" s="145" t="s">
        <v>46</v>
      </c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</row>
    <row r="42" spans="2:23" x14ac:dyDescent="0.2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</row>
    <row r="43" spans="2:23" x14ac:dyDescent="0.2">
      <c r="B43" s="145" t="s">
        <v>47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</row>
    <row r="44" spans="2:23" x14ac:dyDescent="0.2">
      <c r="B44" s="145"/>
      <c r="C44" s="145"/>
      <c r="D44" s="145"/>
      <c r="E44" s="145"/>
      <c r="F44" s="145"/>
      <c r="G44" s="145"/>
      <c r="H44" s="151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</row>
    <row r="45" spans="2:23" x14ac:dyDescent="0.2">
      <c r="B45" s="158">
        <f>J40</f>
        <v>0</v>
      </c>
      <c r="C45" s="152">
        <v>3</v>
      </c>
      <c r="D45" s="150"/>
      <c r="E45" s="159">
        <f>'Traffic &amp; Accidents'!C8</f>
        <v>0</v>
      </c>
      <c r="F45" s="156" t="s">
        <v>10</v>
      </c>
      <c r="G45" s="160">
        <f>IF(E45=0,0,B45/3/E45)</f>
        <v>0</v>
      </c>
      <c r="H45" s="145" t="s">
        <v>48</v>
      </c>
      <c r="I45" s="145"/>
      <c r="J45" s="145"/>
      <c r="K45" s="145"/>
      <c r="L45" s="145"/>
      <c r="M45" s="145"/>
      <c r="N45" s="149"/>
      <c r="O45" s="149"/>
      <c r="P45" s="149"/>
      <c r="Q45" s="145"/>
      <c r="R45" s="145"/>
      <c r="S45" s="145"/>
      <c r="T45" s="145"/>
      <c r="U45" s="145"/>
      <c r="V45" s="145"/>
      <c r="W45" s="145"/>
    </row>
    <row r="46" spans="2:23" x14ac:dyDescent="0.2">
      <c r="B46" s="145" t="s">
        <v>50</v>
      </c>
      <c r="C46" s="145"/>
      <c r="D46" s="145"/>
      <c r="E46" s="145" t="s">
        <v>51</v>
      </c>
      <c r="F46" s="151"/>
      <c r="G46" s="145" t="s">
        <v>52</v>
      </c>
      <c r="H46" s="145"/>
      <c r="I46" s="151" t="s">
        <v>53</v>
      </c>
      <c r="J46" s="151"/>
      <c r="K46" s="151"/>
      <c r="L46" s="151"/>
      <c r="M46" s="145"/>
      <c r="N46" s="145"/>
      <c r="O46" s="145"/>
      <c r="P46" s="149"/>
      <c r="Q46" s="145"/>
      <c r="R46" s="145"/>
      <c r="S46" s="145"/>
      <c r="T46" s="145"/>
      <c r="U46" s="145"/>
      <c r="V46" s="145"/>
      <c r="W46" s="145"/>
    </row>
    <row r="47" spans="2:23" ht="12.75" customHeight="1" x14ac:dyDescent="0.2">
      <c r="B47" s="145"/>
      <c r="C47" s="145"/>
      <c r="D47" s="145"/>
      <c r="E47" s="145" t="s">
        <v>54</v>
      </c>
      <c r="F47" s="145"/>
      <c r="G47" s="145" t="s">
        <v>55</v>
      </c>
      <c r="H47" s="145"/>
      <c r="I47" s="151"/>
      <c r="J47" s="161">
        <f>G45</f>
        <v>0</v>
      </c>
      <c r="K47" s="145"/>
      <c r="L47" s="145"/>
      <c r="M47" s="145"/>
      <c r="N47" s="145"/>
      <c r="P47" s="623" t="s">
        <v>417</v>
      </c>
      <c r="Q47" s="625"/>
      <c r="R47" s="145"/>
      <c r="S47" s="145"/>
      <c r="T47" s="145"/>
      <c r="U47" s="145"/>
      <c r="V47" s="145"/>
      <c r="W47" s="145"/>
    </row>
    <row r="48" spans="2:23" ht="12.75" customHeight="1" x14ac:dyDescent="0.2"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P48" s="625"/>
      <c r="Q48" s="625"/>
      <c r="R48" s="145"/>
      <c r="S48" s="145"/>
      <c r="T48" s="145"/>
      <c r="U48" s="145"/>
      <c r="V48" s="145"/>
      <c r="W48" s="145"/>
    </row>
    <row r="49" spans="2:23" x14ac:dyDescent="0.2"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P49" s="626"/>
      <c r="Q49" s="626"/>
      <c r="R49" s="145"/>
      <c r="S49" s="145"/>
      <c r="T49" s="145"/>
      <c r="U49" s="145"/>
      <c r="V49" s="145"/>
      <c r="W49" s="145"/>
    </row>
    <row r="50" spans="2:23" x14ac:dyDescent="0.2">
      <c r="B50" s="145"/>
      <c r="C50" s="145"/>
      <c r="D50" s="145"/>
      <c r="E50" s="145"/>
      <c r="F50" s="151"/>
      <c r="G50" s="145"/>
      <c r="H50" s="145"/>
      <c r="I50" s="145"/>
      <c r="J50" s="152"/>
      <c r="K50" s="152" t="s">
        <v>56</v>
      </c>
      <c r="L50" s="186">
        <f>IF(B45=0,0,P51)</f>
        <v>0</v>
      </c>
      <c r="M50" s="145"/>
      <c r="N50" s="145"/>
      <c r="P50" s="176"/>
      <c r="Q50" s="176"/>
      <c r="R50" s="145"/>
      <c r="S50" s="145"/>
      <c r="T50" s="145"/>
      <c r="U50" s="145"/>
      <c r="V50" s="145"/>
      <c r="W50" s="145"/>
    </row>
    <row r="51" spans="2:23" x14ac:dyDescent="0.2">
      <c r="B51" s="145"/>
      <c r="C51" s="151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P51" s="187">
        <f>IF(G45&lt;3.5,0,P52)</f>
        <v>0</v>
      </c>
      <c r="Q51" s="176" t="s">
        <v>27</v>
      </c>
      <c r="R51" s="145"/>
      <c r="S51" s="145"/>
      <c r="T51" s="145"/>
      <c r="U51" s="145"/>
      <c r="V51" s="145"/>
      <c r="W51" s="145"/>
    </row>
    <row r="52" spans="2:23" x14ac:dyDescent="0.2"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P52" s="178" t="str">
        <f>IF(AND(G45&lt;6.5,G45&gt;3.5),2,P53)</f>
        <v/>
      </c>
      <c r="Q52" s="176"/>
      <c r="R52" s="145"/>
      <c r="S52" s="145"/>
      <c r="T52" s="145"/>
      <c r="U52" s="145"/>
      <c r="V52" s="145"/>
      <c r="W52" s="145"/>
    </row>
    <row r="53" spans="2:23" x14ac:dyDescent="0.2">
      <c r="B53" s="306"/>
      <c r="C53" s="163"/>
      <c r="D53" s="163"/>
      <c r="E53" s="164" t="s">
        <v>57</v>
      </c>
      <c r="F53" s="163"/>
      <c r="G53" s="163"/>
      <c r="H53" s="165"/>
      <c r="I53" s="145"/>
      <c r="J53" s="145"/>
      <c r="K53" s="145"/>
      <c r="L53" s="145"/>
      <c r="M53" s="145"/>
      <c r="N53" s="145"/>
      <c r="P53" s="178" t="str">
        <f>IF(AND(G45&lt;9.5,G45&gt;=6.5),4,P54)</f>
        <v/>
      </c>
      <c r="Q53" s="176"/>
      <c r="R53" s="145"/>
      <c r="S53" s="145"/>
      <c r="T53" s="145"/>
      <c r="U53" s="145"/>
      <c r="V53" s="145"/>
      <c r="W53" s="145"/>
    </row>
    <row r="54" spans="2:23" x14ac:dyDescent="0.2">
      <c r="B54" s="166"/>
      <c r="C54" s="300"/>
      <c r="D54" s="300"/>
      <c r="E54" s="300"/>
      <c r="F54" s="300"/>
      <c r="G54" s="300"/>
      <c r="H54" s="167"/>
      <c r="I54" s="145"/>
      <c r="J54" s="145"/>
      <c r="K54" s="145"/>
      <c r="L54" s="145"/>
      <c r="M54" s="145"/>
      <c r="N54" s="145"/>
      <c r="P54" s="178" t="str">
        <f>IF(AND(G45&lt;12.5,G45&gt;=9.5),6,P55)</f>
        <v/>
      </c>
      <c r="Q54" s="176"/>
      <c r="R54" s="145"/>
      <c r="S54" s="145"/>
      <c r="T54" s="145"/>
      <c r="U54" s="145"/>
      <c r="V54" s="145"/>
      <c r="W54" s="145"/>
    </row>
    <row r="55" spans="2:23" x14ac:dyDescent="0.2">
      <c r="B55" s="166"/>
      <c r="C55" s="300"/>
      <c r="D55" s="302" t="s">
        <v>58</v>
      </c>
      <c r="E55" s="300" t="s">
        <v>59</v>
      </c>
      <c r="F55" s="300"/>
      <c r="G55" s="301" t="s">
        <v>60</v>
      </c>
      <c r="H55" s="167"/>
      <c r="I55" s="145"/>
      <c r="J55" s="145"/>
      <c r="K55" s="145"/>
      <c r="L55" s="145"/>
      <c r="M55" s="145"/>
      <c r="N55" s="145"/>
      <c r="O55" s="145"/>
      <c r="P55" s="178" t="str">
        <f>IF(AND(G45&lt;=15.5,G45&gt;=12.5),8,P56)</f>
        <v/>
      </c>
      <c r="Q55" s="176"/>
      <c r="R55" s="145"/>
      <c r="S55" s="145"/>
      <c r="T55" s="145"/>
      <c r="U55" s="145"/>
      <c r="V55" s="145"/>
      <c r="W55" s="145"/>
    </row>
    <row r="56" spans="2:23" x14ac:dyDescent="0.2">
      <c r="B56" s="166"/>
      <c r="C56" s="303" t="s">
        <v>61</v>
      </c>
      <c r="D56" s="300"/>
      <c r="E56" s="303" t="s">
        <v>62</v>
      </c>
      <c r="F56" s="300"/>
      <c r="G56" s="303" t="s">
        <v>63</v>
      </c>
      <c r="H56" s="167"/>
      <c r="I56" s="145"/>
      <c r="J56" s="145"/>
      <c r="K56" s="145"/>
      <c r="L56" s="145"/>
      <c r="M56" s="145"/>
      <c r="N56" s="145"/>
      <c r="O56" s="145"/>
      <c r="P56" s="178" t="str">
        <f>IF(G45&gt;=15.5,10,"")</f>
        <v/>
      </c>
      <c r="Q56" s="176"/>
      <c r="R56" s="145"/>
      <c r="S56" s="145"/>
      <c r="T56" s="145"/>
      <c r="U56" s="145"/>
      <c r="V56" s="145"/>
      <c r="W56" s="145"/>
    </row>
    <row r="57" spans="2:23" x14ac:dyDescent="0.2">
      <c r="B57" s="166"/>
      <c r="C57" s="301"/>
      <c r="D57" s="300"/>
      <c r="E57" s="301"/>
      <c r="F57" s="300"/>
      <c r="G57" s="301"/>
      <c r="H57" s="167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</row>
    <row r="58" spans="2:23" x14ac:dyDescent="0.2">
      <c r="B58" s="166"/>
      <c r="C58" s="301" t="s">
        <v>64</v>
      </c>
      <c r="D58" s="300"/>
      <c r="E58" s="301" t="s">
        <v>65</v>
      </c>
      <c r="F58" s="300"/>
      <c r="G58" s="301">
        <v>0</v>
      </c>
      <c r="H58" s="167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</row>
    <row r="59" spans="2:23" x14ac:dyDescent="0.2">
      <c r="B59" s="166"/>
      <c r="C59" s="301" t="s">
        <v>66</v>
      </c>
      <c r="D59" s="300"/>
      <c r="E59" s="304" t="s">
        <v>67</v>
      </c>
      <c r="F59" s="300"/>
      <c r="G59" s="301">
        <v>2</v>
      </c>
      <c r="H59" s="167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</row>
    <row r="60" spans="2:23" x14ac:dyDescent="0.2">
      <c r="B60" s="166"/>
      <c r="C60" s="301" t="s">
        <v>68</v>
      </c>
      <c r="D60" s="300"/>
      <c r="E60" s="304" t="s">
        <v>69</v>
      </c>
      <c r="F60" s="300"/>
      <c r="G60" s="301">
        <v>4</v>
      </c>
      <c r="H60" s="167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</row>
    <row r="61" spans="2:23" x14ac:dyDescent="0.2">
      <c r="B61" s="166"/>
      <c r="C61" s="301" t="s">
        <v>70</v>
      </c>
      <c r="D61" s="300"/>
      <c r="E61" s="304" t="s">
        <v>71</v>
      </c>
      <c r="F61" s="300"/>
      <c r="G61" s="301">
        <v>6</v>
      </c>
      <c r="H61" s="167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</row>
    <row r="62" spans="2:23" x14ac:dyDescent="0.2">
      <c r="B62" s="166"/>
      <c r="C62" s="301" t="s">
        <v>72</v>
      </c>
      <c r="D62" s="300"/>
      <c r="E62" s="301" t="s">
        <v>73</v>
      </c>
      <c r="F62" s="300"/>
      <c r="G62" s="301">
        <v>8</v>
      </c>
      <c r="H62" s="167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</row>
    <row r="63" spans="2:23" x14ac:dyDescent="0.2">
      <c r="B63" s="166"/>
      <c r="C63" s="301" t="s">
        <v>74</v>
      </c>
      <c r="D63" s="300"/>
      <c r="E63" s="301" t="s">
        <v>75</v>
      </c>
      <c r="F63" s="300"/>
      <c r="G63" s="301">
        <v>10</v>
      </c>
      <c r="H63" s="167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</row>
    <row r="64" spans="2:23" x14ac:dyDescent="0.2">
      <c r="B64" s="307"/>
      <c r="C64" s="173"/>
      <c r="D64" s="173"/>
      <c r="E64" s="173"/>
      <c r="F64" s="173"/>
      <c r="G64" s="173"/>
      <c r="H64" s="308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</row>
    <row r="65" spans="2:23" x14ac:dyDescent="0.2"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</row>
    <row r="66" spans="2:23" x14ac:dyDescent="0.2">
      <c r="P66" s="145"/>
      <c r="Q66" s="145"/>
    </row>
    <row r="67" spans="2:23" x14ac:dyDescent="0.2">
      <c r="P67" s="145"/>
      <c r="Q67" s="145"/>
    </row>
  </sheetData>
  <sheetProtection password="EC65" sheet="1" selectLockedCells="1"/>
  <mergeCells count="2">
    <mergeCell ref="P18:Q20"/>
    <mergeCell ref="P47:Q4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1265" r:id="rId3">
          <objectPr defaultSize="0" autoLine="0" dde="1" r:id="rId4">
            <anchor moveWithCells="1">
              <from>
                <xdr:col>2</xdr:col>
                <xdr:colOff>161925</xdr:colOff>
                <xdr:row>44</xdr:row>
                <xdr:rowOff>38100</xdr:rowOff>
              </from>
              <to>
                <xdr:col>2</xdr:col>
                <xdr:colOff>285750</xdr:colOff>
                <xdr:row>45</xdr:row>
                <xdr:rowOff>0</xdr:rowOff>
              </to>
            </anchor>
          </objectPr>
        </oleObject>
      </mc:Choice>
      <mc:Fallback>
        <oleObject progId="Equation.3" shapeId="11265" r:id="rId3"/>
      </mc:Fallback>
    </mc:AlternateContent>
    <mc:AlternateContent xmlns:mc="http://schemas.openxmlformats.org/markup-compatibility/2006">
      <mc:Choice Requires="x14">
        <oleObject progId="Equation.3" shapeId="11266" r:id="rId5">
          <objectPr defaultSize="0" autoLine="0" dde="1" r:id="rId6">
            <anchor moveWithCells="1">
              <from>
                <xdr:col>3</xdr:col>
                <xdr:colOff>180975</xdr:colOff>
                <xdr:row>44</xdr:row>
                <xdr:rowOff>38100</xdr:rowOff>
              </from>
              <to>
                <xdr:col>3</xdr:col>
                <xdr:colOff>304800</xdr:colOff>
                <xdr:row>45</xdr:row>
                <xdr:rowOff>0</xdr:rowOff>
              </to>
            </anchor>
          </objectPr>
        </oleObject>
      </mc:Choice>
      <mc:Fallback>
        <oleObject progId="Equation.3" shapeId="11266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J113"/>
  <sheetViews>
    <sheetView showGridLines="0" zoomScale="93" zoomScaleNormal="93" workbookViewId="0">
      <selection activeCell="AI101" sqref="AI101"/>
    </sheetView>
  </sheetViews>
  <sheetFormatPr defaultColWidth="7.7109375" defaultRowHeight="12.95" customHeight="1" x14ac:dyDescent="0.2"/>
  <cols>
    <col min="1" max="19" width="7.7109375" style="144"/>
    <col min="20" max="20" width="29.140625" style="144" bestFit="1" customWidth="1"/>
    <col min="21" max="16384" width="7.7109375" style="144"/>
  </cols>
  <sheetData>
    <row r="3" spans="3:16" ht="12.95" customHeight="1" thickBot="1" x14ac:dyDescent="0.25"/>
    <row r="4" spans="3:16" ht="12.95" customHeight="1" x14ac:dyDescent="0.2">
      <c r="C4" s="41"/>
      <c r="D4" s="43"/>
      <c r="E4" s="43"/>
      <c r="F4" s="43"/>
      <c r="G4" s="65"/>
      <c r="H4" s="43"/>
      <c r="I4" s="43"/>
      <c r="J4" s="43"/>
      <c r="K4" s="66"/>
      <c r="L4" s="67"/>
      <c r="M4" s="68"/>
      <c r="N4" s="69"/>
      <c r="O4" s="181"/>
      <c r="P4" s="181"/>
    </row>
    <row r="5" spans="3:16" ht="12.95" customHeight="1" x14ac:dyDescent="0.2">
      <c r="C5" s="46" t="s">
        <v>282</v>
      </c>
      <c r="D5" s="7"/>
      <c r="E5" s="7"/>
      <c r="F5" s="49"/>
      <c r="G5" s="49"/>
      <c r="H5" s="49"/>
      <c r="I5" s="7"/>
      <c r="J5" s="7"/>
      <c r="K5" s="57"/>
      <c r="L5" s="57"/>
      <c r="M5" s="70"/>
      <c r="N5" s="52"/>
      <c r="O5" s="181"/>
      <c r="P5" s="181"/>
    </row>
    <row r="6" spans="3:16" ht="12.95" customHeight="1" x14ac:dyDescent="0.2">
      <c r="C6" s="46"/>
      <c r="D6" s="7"/>
      <c r="E6" s="7"/>
      <c r="F6" s="71"/>
      <c r="G6" s="71"/>
      <c r="H6" s="71"/>
      <c r="I6" s="7"/>
      <c r="J6" s="7"/>
      <c r="K6" s="57"/>
      <c r="L6" s="57"/>
      <c r="M6" s="70"/>
      <c r="N6" s="52"/>
      <c r="O6" s="181"/>
      <c r="P6" s="181"/>
    </row>
    <row r="7" spans="3:16" ht="12.95" customHeight="1" thickBot="1" x14ac:dyDescent="0.25">
      <c r="C7" s="48"/>
      <c r="D7" s="70"/>
      <c r="E7" s="70"/>
      <c r="F7" s="283" t="s">
        <v>273</v>
      </c>
      <c r="G7" s="143"/>
      <c r="H7" s="7" t="s">
        <v>277</v>
      </c>
      <c r="I7" s="7"/>
      <c r="J7" s="7"/>
      <c r="K7" s="7"/>
      <c r="L7" s="7"/>
      <c r="M7" s="7"/>
      <c r="N7" s="47"/>
    </row>
    <row r="8" spans="3:16" ht="12.95" customHeight="1" thickTop="1" x14ac:dyDescent="0.2">
      <c r="C8" s="48"/>
      <c r="D8" s="634" t="s">
        <v>408</v>
      </c>
      <c r="E8" s="635"/>
      <c r="F8" s="284" t="s">
        <v>320</v>
      </c>
      <c r="G8" s="143"/>
      <c r="H8" s="70" t="s">
        <v>362</v>
      </c>
      <c r="I8" s="70"/>
      <c r="J8" s="7"/>
      <c r="K8" s="7"/>
      <c r="L8" s="638">
        <f>M92</f>
        <v>0</v>
      </c>
      <c r="M8" s="7"/>
      <c r="N8" s="47"/>
    </row>
    <row r="9" spans="3:16" ht="12.95" customHeight="1" thickBot="1" x14ac:dyDescent="0.25">
      <c r="C9" s="48"/>
      <c r="D9" s="636"/>
      <c r="E9" s="637"/>
      <c r="F9" s="283" t="s">
        <v>321</v>
      </c>
      <c r="G9" s="143"/>
      <c r="H9" s="70" t="s">
        <v>362</v>
      </c>
      <c r="I9" s="70"/>
      <c r="J9" s="7"/>
      <c r="K9" s="7"/>
      <c r="L9" s="639"/>
      <c r="M9" s="7"/>
      <c r="N9" s="47"/>
    </row>
    <row r="10" spans="3:16" ht="12.95" customHeight="1" x14ac:dyDescent="0.2">
      <c r="C10" s="48"/>
      <c r="D10" s="17"/>
      <c r="E10" s="7"/>
      <c r="F10" s="7"/>
      <c r="G10" s="15"/>
      <c r="H10" s="7"/>
      <c r="I10" s="7"/>
      <c r="J10" s="7"/>
      <c r="K10" s="7"/>
      <c r="L10" s="282" t="s">
        <v>280</v>
      </c>
      <c r="M10" s="282"/>
      <c r="N10" s="47"/>
    </row>
    <row r="11" spans="3:16" ht="12.95" customHeight="1" x14ac:dyDescent="0.2">
      <c r="C11" s="48"/>
      <c r="D11" s="640" t="s">
        <v>411</v>
      </c>
      <c r="E11" s="640"/>
      <c r="F11" s="281" t="s">
        <v>100</v>
      </c>
      <c r="G11" s="143"/>
      <c r="H11" s="456"/>
      <c r="I11" s="20"/>
      <c r="J11" s="73"/>
      <c r="K11" s="7"/>
      <c r="L11" s="7"/>
      <c r="M11" s="7"/>
      <c r="N11" s="47"/>
    </row>
    <row r="12" spans="3:16" ht="12.95" customHeight="1" x14ac:dyDescent="0.2">
      <c r="C12" s="48"/>
      <c r="D12" s="258" t="s">
        <v>286</v>
      </c>
      <c r="E12" s="259" t="s">
        <v>11</v>
      </c>
      <c r="F12" s="281" t="s">
        <v>101</v>
      </c>
      <c r="G12" s="143"/>
      <c r="H12" s="456"/>
      <c r="I12" s="20"/>
      <c r="J12" s="74"/>
      <c r="K12" s="74"/>
      <c r="L12" s="633" t="str">
        <f>IF(SUM(G7:G9,G11:G13)=0,"Gravel Road","Surfaced Road")</f>
        <v>Gravel Road</v>
      </c>
      <c r="M12" s="633"/>
      <c r="N12" s="75"/>
      <c r="O12" s="223"/>
      <c r="P12" s="223"/>
    </row>
    <row r="13" spans="3:16" ht="12.95" customHeight="1" x14ac:dyDescent="0.2">
      <c r="C13" s="48"/>
      <c r="D13" s="70"/>
      <c r="E13" s="261" t="s">
        <v>11</v>
      </c>
      <c r="F13" s="281" t="s">
        <v>287</v>
      </c>
      <c r="G13" s="143"/>
      <c r="H13" s="456"/>
      <c r="I13" s="20"/>
      <c r="J13" s="74"/>
      <c r="K13" s="74"/>
      <c r="L13" s="74"/>
      <c r="M13" s="74"/>
      <c r="N13" s="75"/>
      <c r="O13" s="223"/>
      <c r="P13" s="223"/>
    </row>
    <row r="14" spans="3:16" ht="12.95" customHeight="1" x14ac:dyDescent="0.2">
      <c r="C14" s="48"/>
      <c r="D14" s="17"/>
      <c r="E14" s="260"/>
      <c r="F14" s="7"/>
      <c r="G14" s="22"/>
      <c r="H14" s="20"/>
      <c r="I14" s="20"/>
      <c r="J14" s="73"/>
      <c r="K14" s="7"/>
      <c r="L14" s="76" t="s">
        <v>341</v>
      </c>
      <c r="M14" s="49" t="s">
        <v>410</v>
      </c>
      <c r="N14" s="47"/>
    </row>
    <row r="15" spans="3:16" ht="12.95" customHeight="1" thickBot="1" x14ac:dyDescent="0.25">
      <c r="C15" s="58"/>
      <c r="D15" s="77"/>
      <c r="E15" s="59"/>
      <c r="F15" s="59"/>
      <c r="G15" s="78"/>
      <c r="H15" s="79"/>
      <c r="I15" s="79"/>
      <c r="J15" s="80"/>
      <c r="K15" s="59"/>
      <c r="L15" s="81"/>
      <c r="M15" s="82"/>
      <c r="N15" s="83"/>
    </row>
    <row r="18" spans="1:36" ht="12.95" customHeight="1" x14ac:dyDescent="0.2">
      <c r="C18" s="629" t="s">
        <v>409</v>
      </c>
      <c r="D18" s="629"/>
      <c r="E18" s="629"/>
      <c r="F18" s="629"/>
      <c r="G18" s="629"/>
      <c r="H18" s="629"/>
      <c r="I18" s="629"/>
      <c r="J18" s="629"/>
      <c r="K18" s="629"/>
      <c r="L18" s="629"/>
      <c r="M18" s="629"/>
      <c r="N18" s="629"/>
    </row>
    <row r="19" spans="1:36" ht="12.95" customHeight="1" x14ac:dyDescent="0.2">
      <c r="A19" s="627"/>
      <c r="C19" s="629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</row>
    <row r="20" spans="1:36" ht="12.95" customHeight="1" thickBot="1" x14ac:dyDescent="0.25">
      <c r="A20" s="627"/>
    </row>
    <row r="21" spans="1:36" ht="12.95" customHeight="1" x14ac:dyDescent="0.2">
      <c r="A21" s="627"/>
      <c r="B21" s="188"/>
      <c r="C21" s="189"/>
      <c r="D21" s="189"/>
      <c r="E21" s="189"/>
      <c r="F21" s="189"/>
      <c r="G21" s="189"/>
      <c r="H21" s="189"/>
      <c r="I21" s="189"/>
      <c r="J21" s="189"/>
      <c r="K21" s="189"/>
      <c r="L21" s="190"/>
      <c r="M21" s="190"/>
      <c r="N21" s="189"/>
      <c r="O21" s="191"/>
      <c r="S21" s="627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51"/>
    </row>
    <row r="22" spans="1:36" ht="12.95" customHeight="1" x14ac:dyDescent="0.2">
      <c r="A22" s="627"/>
      <c r="B22" s="192"/>
      <c r="C22" s="641" t="s">
        <v>412</v>
      </c>
      <c r="D22" s="642"/>
      <c r="E22" s="642"/>
      <c r="F22" s="642"/>
      <c r="G22" s="643"/>
      <c r="H22" s="193"/>
      <c r="I22" s="222"/>
      <c r="J22" s="221"/>
      <c r="K22" s="650" t="s">
        <v>78</v>
      </c>
      <c r="L22" s="651" t="s">
        <v>392</v>
      </c>
      <c r="M22" s="651"/>
      <c r="N22" s="651"/>
      <c r="O22" s="194"/>
      <c r="S22" s="627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627"/>
      <c r="AF22" s="627"/>
      <c r="AG22" s="627"/>
      <c r="AH22" s="627"/>
      <c r="AI22" s="627"/>
      <c r="AJ22" s="627"/>
    </row>
    <row r="23" spans="1:36" ht="12.95" customHeight="1" x14ac:dyDescent="0.2">
      <c r="A23" s="627"/>
      <c r="B23" s="192"/>
      <c r="C23" s="644"/>
      <c r="D23" s="645"/>
      <c r="E23" s="645"/>
      <c r="F23" s="645"/>
      <c r="G23" s="646"/>
      <c r="H23" s="193"/>
      <c r="I23" s="222"/>
      <c r="J23" s="221"/>
      <c r="K23" s="650"/>
      <c r="L23" s="651"/>
      <c r="M23" s="651"/>
      <c r="N23" s="651"/>
      <c r="O23" s="194"/>
      <c r="S23" s="627"/>
      <c r="T23" s="226" t="s">
        <v>96</v>
      </c>
      <c r="U23" s="227"/>
      <c r="V23" s="227"/>
      <c r="W23" s="227"/>
      <c r="X23" s="227"/>
      <c r="Y23" s="227"/>
      <c r="Z23" s="227"/>
      <c r="AA23" s="228"/>
      <c r="AB23" s="228"/>
      <c r="AC23" s="228"/>
      <c r="AD23" s="228"/>
      <c r="AE23" s="627"/>
      <c r="AF23" s="627"/>
      <c r="AG23" s="627"/>
      <c r="AH23" s="627"/>
      <c r="AI23" s="627"/>
      <c r="AJ23" s="627"/>
    </row>
    <row r="24" spans="1:36" ht="12.95" customHeight="1" x14ac:dyDescent="0.2">
      <c r="A24" s="627"/>
      <c r="B24" s="192"/>
      <c r="C24" s="644"/>
      <c r="D24" s="645"/>
      <c r="E24" s="645"/>
      <c r="F24" s="645"/>
      <c r="G24" s="646"/>
      <c r="H24" s="193"/>
      <c r="I24" s="193"/>
      <c r="J24" s="221"/>
      <c r="K24" s="221"/>
      <c r="L24" s="651"/>
      <c r="M24" s="651"/>
      <c r="N24" s="651"/>
      <c r="O24" s="194"/>
      <c r="S24" s="627"/>
      <c r="T24" s="228"/>
      <c r="U24" s="228"/>
      <c r="V24" s="228"/>
      <c r="W24" s="228" t="s">
        <v>97</v>
      </c>
      <c r="X24" s="228"/>
      <c r="Y24" s="228"/>
      <c r="Z24" s="228"/>
      <c r="AA24" s="228"/>
      <c r="AB24" s="228"/>
      <c r="AC24" s="228"/>
      <c r="AD24" s="228"/>
      <c r="AE24" s="627"/>
      <c r="AF24" s="627"/>
      <c r="AG24" s="627"/>
      <c r="AH24" s="627"/>
      <c r="AI24" s="627"/>
      <c r="AJ24" s="627"/>
    </row>
    <row r="25" spans="1:36" ht="12.95" customHeight="1" thickBot="1" x14ac:dyDescent="0.3">
      <c r="A25" s="627"/>
      <c r="B25" s="192"/>
      <c r="C25" s="644"/>
      <c r="D25" s="645"/>
      <c r="E25" s="645"/>
      <c r="F25" s="645"/>
      <c r="G25" s="646"/>
      <c r="H25" s="193"/>
      <c r="I25" s="193"/>
      <c r="J25" s="221"/>
      <c r="K25" s="221"/>
      <c r="L25" s="651"/>
      <c r="M25" s="651"/>
      <c r="N25" s="651"/>
      <c r="O25" s="194"/>
      <c r="S25" s="627"/>
      <c r="T25" s="229"/>
      <c r="U25" s="228"/>
      <c r="V25" s="228"/>
      <c r="W25" s="228" t="s">
        <v>98</v>
      </c>
      <c r="X25" s="228"/>
      <c r="Y25" s="228"/>
      <c r="Z25" s="228"/>
      <c r="AA25" s="228"/>
      <c r="AB25" s="234"/>
      <c r="AC25" s="228"/>
      <c r="AD25" s="228"/>
      <c r="AE25" s="627"/>
      <c r="AF25" s="627"/>
      <c r="AG25" s="627"/>
      <c r="AH25" s="627"/>
      <c r="AI25" s="627"/>
      <c r="AJ25" s="627"/>
    </row>
    <row r="26" spans="1:36" ht="12.95" customHeight="1" x14ac:dyDescent="0.2">
      <c r="A26" s="627"/>
      <c r="B26" s="192"/>
      <c r="C26" s="644"/>
      <c r="D26" s="645"/>
      <c r="E26" s="645"/>
      <c r="F26" s="645"/>
      <c r="G26" s="646"/>
      <c r="H26" s="193"/>
      <c r="I26" s="193"/>
      <c r="J26" s="221"/>
      <c r="K26" s="221"/>
      <c r="L26" s="651"/>
      <c r="M26" s="651"/>
      <c r="N26" s="651"/>
      <c r="O26" s="194"/>
      <c r="S26" s="627"/>
      <c r="T26" s="228" t="s">
        <v>99</v>
      </c>
      <c r="U26" s="235"/>
      <c r="V26" s="236"/>
      <c r="W26" s="236"/>
      <c r="X26" s="236"/>
      <c r="Y26" s="236"/>
      <c r="Z26" s="236"/>
      <c r="AA26" s="237" t="s">
        <v>100</v>
      </c>
      <c r="AB26" s="237" t="s">
        <v>101</v>
      </c>
      <c r="AC26" s="238"/>
      <c r="AD26" s="228"/>
      <c r="AE26" s="627"/>
      <c r="AF26" s="627"/>
      <c r="AG26" s="627"/>
      <c r="AH26" s="627"/>
      <c r="AI26" s="627"/>
      <c r="AJ26" s="627"/>
    </row>
    <row r="27" spans="1:36" ht="12.95" customHeight="1" x14ac:dyDescent="0.2">
      <c r="A27" s="627"/>
      <c r="B27" s="192"/>
      <c r="C27" s="647"/>
      <c r="D27" s="648"/>
      <c r="E27" s="648"/>
      <c r="F27" s="648"/>
      <c r="G27" s="649"/>
      <c r="H27" s="193"/>
      <c r="I27" s="193"/>
      <c r="J27" s="221"/>
      <c r="K27" s="221"/>
      <c r="L27" s="651"/>
      <c r="M27" s="651"/>
      <c r="N27" s="651"/>
      <c r="O27" s="194"/>
      <c r="S27" s="627"/>
      <c r="T27" s="228"/>
      <c r="U27" s="239" t="s">
        <v>102</v>
      </c>
      <c r="V27" s="228"/>
      <c r="W27" s="228" t="s">
        <v>103</v>
      </c>
      <c r="X27" s="228"/>
      <c r="Y27" s="228"/>
      <c r="Z27" s="229"/>
      <c r="AA27" s="240" t="s">
        <v>63</v>
      </c>
      <c r="AB27" s="241" t="s">
        <v>63</v>
      </c>
      <c r="AC27" s="242"/>
      <c r="AD27" s="228"/>
      <c r="AE27" s="627"/>
      <c r="AF27" s="627"/>
      <c r="AG27" s="627"/>
      <c r="AH27" s="627"/>
      <c r="AI27" s="627"/>
      <c r="AJ27" s="627"/>
    </row>
    <row r="28" spans="1:36" ht="12.95" customHeight="1" x14ac:dyDescent="0.2">
      <c r="A28" s="627"/>
      <c r="B28" s="195"/>
      <c r="C28" s="193"/>
      <c r="D28" s="193"/>
      <c r="E28" s="193"/>
      <c r="F28" s="193"/>
      <c r="G28" s="193"/>
      <c r="H28" s="193"/>
      <c r="I28" s="193"/>
      <c r="J28" s="193"/>
      <c r="K28" s="193"/>
      <c r="L28" s="651"/>
      <c r="M28" s="651"/>
      <c r="N28" s="651"/>
      <c r="O28" s="194"/>
      <c r="S28" s="627"/>
      <c r="T28" s="228"/>
      <c r="U28" s="239" t="s">
        <v>104</v>
      </c>
      <c r="V28" s="228"/>
      <c r="W28" s="228"/>
      <c r="X28" s="228"/>
      <c r="Y28" s="228"/>
      <c r="Z28" s="228"/>
      <c r="AA28" s="228"/>
      <c r="AB28" s="230"/>
      <c r="AC28" s="242"/>
      <c r="AD28" s="228"/>
      <c r="AE28" s="627"/>
      <c r="AF28" s="627"/>
      <c r="AG28" s="627"/>
      <c r="AH28" s="627"/>
      <c r="AI28" s="627"/>
      <c r="AJ28" s="627"/>
    </row>
    <row r="29" spans="1:36" ht="12.95" customHeight="1" x14ac:dyDescent="0.2">
      <c r="A29" s="627"/>
      <c r="B29" s="195"/>
      <c r="C29" s="193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3"/>
      <c r="O29" s="194"/>
      <c r="S29" s="627"/>
      <c r="T29" s="228"/>
      <c r="U29" s="239"/>
      <c r="V29" s="229"/>
      <c r="W29" s="243" t="s">
        <v>105</v>
      </c>
      <c r="X29" s="230" t="s">
        <v>106</v>
      </c>
      <c r="Y29" s="230" t="s">
        <v>107</v>
      </c>
      <c r="Z29" s="230" t="s">
        <v>108</v>
      </c>
      <c r="AA29" s="228"/>
      <c r="AB29" s="228"/>
      <c r="AC29" s="242"/>
      <c r="AD29" s="228"/>
      <c r="AE29" s="627"/>
      <c r="AF29" s="627"/>
      <c r="AG29" s="627"/>
      <c r="AH29" s="627"/>
      <c r="AI29" s="627"/>
      <c r="AJ29" s="627"/>
    </row>
    <row r="30" spans="1:36" ht="12.95" customHeight="1" x14ac:dyDescent="0.25">
      <c r="A30" s="627"/>
      <c r="B30" s="197" t="s">
        <v>393</v>
      </c>
      <c r="C30" s="193"/>
      <c r="D30" s="196"/>
      <c r="E30" s="193"/>
      <c r="F30" s="196"/>
      <c r="G30" s="196"/>
      <c r="H30" s="196"/>
      <c r="I30" s="196"/>
      <c r="J30" s="196"/>
      <c r="K30" s="196"/>
      <c r="L30" s="196"/>
      <c r="M30" s="196"/>
      <c r="N30" s="193"/>
      <c r="O30" s="194"/>
      <c r="S30" s="627"/>
      <c r="T30" s="228"/>
      <c r="U30" s="239"/>
      <c r="V30" s="229"/>
      <c r="W30" s="228"/>
      <c r="X30" s="230"/>
      <c r="Y30" s="230"/>
      <c r="Z30" s="230"/>
      <c r="AA30" s="228"/>
      <c r="AB30" s="228"/>
      <c r="AC30" s="242"/>
      <c r="AD30" s="228"/>
      <c r="AE30" s="627"/>
      <c r="AF30" s="627"/>
      <c r="AG30" s="627"/>
      <c r="AH30" s="627"/>
      <c r="AI30" s="627"/>
      <c r="AJ30" s="627"/>
    </row>
    <row r="31" spans="1:36" ht="12.95" customHeight="1" x14ac:dyDescent="0.2">
      <c r="A31" s="627"/>
      <c r="B31" s="195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3"/>
      <c r="O31" s="194"/>
      <c r="S31" s="627"/>
      <c r="T31" s="228"/>
      <c r="U31" s="239" t="s">
        <v>109</v>
      </c>
      <c r="V31" s="229"/>
      <c r="W31" s="230">
        <v>0</v>
      </c>
      <c r="X31" s="230">
        <v>2</v>
      </c>
      <c r="Y31" s="230">
        <v>3</v>
      </c>
      <c r="Z31" s="230">
        <v>5</v>
      </c>
      <c r="AA31" s="244"/>
      <c r="AB31" s="245"/>
      <c r="AC31" s="242"/>
      <c r="AD31" s="228"/>
      <c r="AE31" s="627"/>
      <c r="AF31" s="627"/>
      <c r="AG31" s="627"/>
      <c r="AH31" s="627"/>
      <c r="AI31" s="627"/>
      <c r="AJ31" s="627"/>
    </row>
    <row r="32" spans="1:36" ht="12.95" customHeight="1" x14ac:dyDescent="0.2">
      <c r="A32" s="627"/>
      <c r="B32" s="630" t="s">
        <v>80</v>
      </c>
      <c r="C32" s="198" t="s">
        <v>394</v>
      </c>
      <c r="D32" s="199"/>
      <c r="E32" s="199"/>
      <c r="F32" s="196"/>
      <c r="G32" s="196"/>
      <c r="H32" s="196"/>
      <c r="I32" s="631"/>
      <c r="J32" s="631"/>
      <c r="K32" s="631"/>
      <c r="L32" s="631"/>
      <c r="M32" s="631"/>
      <c r="N32" s="631"/>
      <c r="O32" s="632"/>
      <c r="S32" s="627"/>
      <c r="T32" s="228"/>
      <c r="U32" s="239" t="s">
        <v>110</v>
      </c>
      <c r="V32" s="229"/>
      <c r="W32" s="230">
        <v>0</v>
      </c>
      <c r="X32" s="230">
        <v>1</v>
      </c>
      <c r="Y32" s="230">
        <v>3</v>
      </c>
      <c r="Z32" s="230">
        <v>4</v>
      </c>
      <c r="AA32" s="246"/>
      <c r="AB32" s="247"/>
      <c r="AC32" s="242"/>
      <c r="AD32" s="228"/>
      <c r="AE32" s="627"/>
      <c r="AF32" s="627"/>
      <c r="AG32" s="627"/>
      <c r="AH32" s="627"/>
      <c r="AI32" s="627"/>
      <c r="AJ32" s="627"/>
    </row>
    <row r="33" spans="1:36" ht="12.95" customHeight="1" x14ac:dyDescent="0.2">
      <c r="A33" s="627"/>
      <c r="B33" s="630"/>
      <c r="C33" s="199"/>
      <c r="D33" s="199"/>
      <c r="E33" s="199"/>
      <c r="F33" s="196"/>
      <c r="G33" s="196"/>
      <c r="H33" s="196"/>
      <c r="I33" s="631"/>
      <c r="J33" s="631"/>
      <c r="K33" s="631"/>
      <c r="L33" s="631"/>
      <c r="M33" s="631"/>
      <c r="N33" s="631"/>
      <c r="O33" s="632"/>
      <c r="S33" s="627"/>
      <c r="T33" s="228"/>
      <c r="U33" s="239" t="s">
        <v>111</v>
      </c>
      <c r="V33" s="228"/>
      <c r="W33" s="230">
        <v>0</v>
      </c>
      <c r="X33" s="230">
        <v>3</v>
      </c>
      <c r="Y33" s="230">
        <v>4</v>
      </c>
      <c r="Z33" s="230">
        <v>6</v>
      </c>
      <c r="AA33" s="246"/>
      <c r="AB33" s="247"/>
      <c r="AC33" s="242"/>
      <c r="AD33" s="228"/>
      <c r="AE33" s="627"/>
      <c r="AF33" s="627"/>
      <c r="AG33" s="627"/>
      <c r="AH33" s="627"/>
      <c r="AI33" s="627"/>
      <c r="AJ33" s="627"/>
    </row>
    <row r="34" spans="1:36" ht="12.95" customHeight="1" x14ac:dyDescent="0.2">
      <c r="A34" s="627"/>
      <c r="B34" s="200" t="s">
        <v>79</v>
      </c>
      <c r="C34" s="199"/>
      <c r="D34" s="201" t="s">
        <v>363</v>
      </c>
      <c r="E34" s="201"/>
      <c r="F34" s="196"/>
      <c r="G34" s="196"/>
      <c r="H34" s="196"/>
      <c r="I34" s="631"/>
      <c r="J34" s="631"/>
      <c r="K34" s="631"/>
      <c r="L34" s="631"/>
      <c r="M34" s="631"/>
      <c r="N34" s="631"/>
      <c r="O34" s="632"/>
      <c r="S34" s="627"/>
      <c r="T34" s="228"/>
      <c r="U34" s="239" t="s">
        <v>112</v>
      </c>
      <c r="V34" s="228"/>
      <c r="W34" s="230">
        <v>0</v>
      </c>
      <c r="X34" s="230">
        <v>1</v>
      </c>
      <c r="Y34" s="230">
        <v>3</v>
      </c>
      <c r="Z34" s="230">
        <v>4</v>
      </c>
      <c r="AA34" s="246"/>
      <c r="AB34" s="247"/>
      <c r="AC34" s="242"/>
      <c r="AD34" s="228"/>
      <c r="AE34" s="627"/>
      <c r="AF34" s="627"/>
      <c r="AG34" s="627"/>
      <c r="AH34" s="627"/>
      <c r="AI34" s="627"/>
      <c r="AJ34" s="627"/>
    </row>
    <row r="35" spans="1:36" ht="12.95" customHeight="1" x14ac:dyDescent="0.2">
      <c r="A35" s="627"/>
      <c r="B35" s="200"/>
      <c r="C35" s="199"/>
      <c r="D35" s="199"/>
      <c r="E35" s="199"/>
      <c r="F35" s="196"/>
      <c r="G35" s="196"/>
      <c r="H35" s="196"/>
      <c r="I35" s="202"/>
      <c r="J35" s="202"/>
      <c r="K35" s="202"/>
      <c r="L35" s="202"/>
      <c r="M35" s="202"/>
      <c r="N35" s="193"/>
      <c r="O35" s="194"/>
      <c r="S35" s="627"/>
      <c r="T35" s="228"/>
      <c r="U35" s="239" t="s">
        <v>113</v>
      </c>
      <c r="V35" s="229"/>
      <c r="W35" s="230">
        <v>0</v>
      </c>
      <c r="X35" s="230">
        <v>1</v>
      </c>
      <c r="Y35" s="230">
        <v>3</v>
      </c>
      <c r="Z35" s="230">
        <v>4</v>
      </c>
      <c r="AA35" s="246"/>
      <c r="AB35" s="247"/>
      <c r="AC35" s="242"/>
      <c r="AD35" s="228"/>
      <c r="AE35" s="627"/>
      <c r="AF35" s="627"/>
      <c r="AG35" s="627"/>
      <c r="AH35" s="627"/>
      <c r="AI35" s="627"/>
      <c r="AJ35" s="627"/>
    </row>
    <row r="36" spans="1:36" ht="12.95" customHeight="1" x14ac:dyDescent="0.2">
      <c r="A36" s="627"/>
      <c r="B36" s="200"/>
      <c r="C36" s="203" t="s">
        <v>364</v>
      </c>
      <c r="D36" s="199" t="s">
        <v>365</v>
      </c>
      <c r="E36" s="199"/>
      <c r="F36" s="196"/>
      <c r="G36" s="196"/>
      <c r="H36" s="196"/>
      <c r="I36" s="202"/>
      <c r="J36" s="202"/>
      <c r="K36" s="202"/>
      <c r="L36" s="202"/>
      <c r="M36" s="202"/>
      <c r="N36" s="193"/>
      <c r="O36" s="194"/>
      <c r="S36" s="627"/>
      <c r="T36" s="228"/>
      <c r="U36" s="239" t="s">
        <v>114</v>
      </c>
      <c r="V36" s="228"/>
      <c r="W36" s="230">
        <v>0</v>
      </c>
      <c r="X36" s="230">
        <v>0</v>
      </c>
      <c r="Y36" s="230">
        <v>1</v>
      </c>
      <c r="Z36" s="230">
        <v>2</v>
      </c>
      <c r="AA36" s="246"/>
      <c r="AB36" s="247"/>
      <c r="AC36" s="242"/>
      <c r="AD36" s="228"/>
      <c r="AE36" s="627"/>
      <c r="AF36" s="627"/>
      <c r="AG36" s="627"/>
      <c r="AH36" s="627"/>
      <c r="AI36" s="627"/>
      <c r="AJ36" s="627"/>
    </row>
    <row r="37" spans="1:36" ht="12.95" customHeight="1" x14ac:dyDescent="0.2">
      <c r="A37" s="627"/>
      <c r="B37" s="200"/>
      <c r="C37" s="199"/>
      <c r="D37" s="199"/>
      <c r="E37" s="198" t="s">
        <v>375</v>
      </c>
      <c r="F37" s="196"/>
      <c r="G37" s="196"/>
      <c r="H37" s="196"/>
      <c r="I37" s="202"/>
      <c r="J37" s="202"/>
      <c r="K37" s="202"/>
      <c r="L37" s="202"/>
      <c r="M37" s="202"/>
      <c r="N37" s="193"/>
      <c r="O37" s="194"/>
      <c r="S37" s="627"/>
      <c r="T37" s="228"/>
      <c r="U37" s="239" t="s">
        <v>115</v>
      </c>
      <c r="V37" s="228"/>
      <c r="W37" s="228"/>
      <c r="X37" s="228"/>
      <c r="Y37" s="228"/>
      <c r="Z37" s="228"/>
      <c r="AA37" s="228"/>
      <c r="AB37" s="228"/>
      <c r="AC37" s="242"/>
      <c r="AD37" s="228"/>
      <c r="AE37" s="627"/>
      <c r="AF37" s="627"/>
      <c r="AG37" s="627"/>
      <c r="AH37" s="627"/>
      <c r="AI37" s="627"/>
      <c r="AJ37" s="627"/>
    </row>
    <row r="38" spans="1:36" ht="12.95" customHeight="1" x14ac:dyDescent="0.2">
      <c r="A38" s="627"/>
      <c r="B38" s="200"/>
      <c r="C38" s="199"/>
      <c r="D38" s="199"/>
      <c r="E38" s="199" t="s">
        <v>376</v>
      </c>
      <c r="F38" s="196"/>
      <c r="G38" s="196"/>
      <c r="H38" s="196"/>
      <c r="I38" s="202"/>
      <c r="J38" s="202"/>
      <c r="K38" s="202"/>
      <c r="L38" s="202"/>
      <c r="M38" s="202"/>
      <c r="N38" s="193"/>
      <c r="O38" s="194"/>
      <c r="S38" s="627"/>
      <c r="T38" s="228"/>
      <c r="U38" s="239"/>
      <c r="V38" s="228"/>
      <c r="W38" s="228"/>
      <c r="X38" s="228"/>
      <c r="Y38" s="228"/>
      <c r="Z38" s="228"/>
      <c r="AA38" s="228"/>
      <c r="AB38" s="228"/>
      <c r="AC38" s="242"/>
      <c r="AD38" s="228"/>
      <c r="AE38" s="627"/>
      <c r="AF38" s="627"/>
      <c r="AG38" s="627"/>
      <c r="AH38" s="627"/>
      <c r="AI38" s="627"/>
      <c r="AJ38" s="627"/>
    </row>
    <row r="39" spans="1:36" ht="12.95" customHeight="1" x14ac:dyDescent="0.2">
      <c r="A39" s="627"/>
      <c r="B39" s="200"/>
      <c r="C39" s="199"/>
      <c r="D39" s="199"/>
      <c r="E39" s="193"/>
      <c r="F39" s="196"/>
      <c r="G39" s="196"/>
      <c r="H39" s="196"/>
      <c r="I39" s="202"/>
      <c r="J39" s="202"/>
      <c r="K39" s="202"/>
      <c r="L39" s="202"/>
      <c r="M39" s="202"/>
      <c r="N39" s="193"/>
      <c r="O39" s="194"/>
      <c r="S39" s="627"/>
      <c r="T39" s="228"/>
      <c r="U39" s="239" t="s">
        <v>116</v>
      </c>
      <c r="V39" s="228"/>
      <c r="W39" s="228"/>
      <c r="X39" s="228"/>
      <c r="Y39" s="228"/>
      <c r="Z39" s="243" t="s">
        <v>117</v>
      </c>
      <c r="AA39" s="233">
        <f>IF('Old Structure'!G11&gt;25,25,'Old Structure'!G11)</f>
        <v>0</v>
      </c>
      <c r="AB39" s="229"/>
      <c r="AC39" s="242"/>
      <c r="AD39" s="228"/>
      <c r="AE39" s="627"/>
      <c r="AF39" s="627"/>
      <c r="AG39" s="627"/>
      <c r="AH39" s="627"/>
      <c r="AI39" s="627"/>
      <c r="AJ39" s="627"/>
    </row>
    <row r="40" spans="1:36" ht="12.95" customHeight="1" x14ac:dyDescent="0.2">
      <c r="A40" s="627"/>
      <c r="B40" s="200"/>
      <c r="C40" s="203" t="s">
        <v>366</v>
      </c>
      <c r="D40" s="199" t="s">
        <v>367</v>
      </c>
      <c r="E40" s="199"/>
      <c r="F40" s="204"/>
      <c r="G40" s="204"/>
      <c r="H40" s="196"/>
      <c r="I40" s="205"/>
      <c r="J40" s="205"/>
      <c r="K40" s="196"/>
      <c r="L40" s="196"/>
      <c r="M40" s="196"/>
      <c r="N40" s="193"/>
      <c r="O40" s="194"/>
      <c r="S40" s="627"/>
      <c r="T40" s="228"/>
      <c r="U40" s="239"/>
      <c r="V40" s="228"/>
      <c r="W40" s="228"/>
      <c r="X40" s="228"/>
      <c r="Y40" s="228"/>
      <c r="Z40" s="243" t="s">
        <v>118</v>
      </c>
      <c r="AA40" s="248"/>
      <c r="AB40" s="233">
        <f>IF('Old Structure'!G12&gt;50,50,'Old Structure'!G12)</f>
        <v>0</v>
      </c>
      <c r="AC40" s="242"/>
      <c r="AD40" s="228"/>
      <c r="AE40" s="627"/>
      <c r="AF40" s="627"/>
      <c r="AG40" s="627"/>
      <c r="AH40" s="627"/>
      <c r="AI40" s="627"/>
      <c r="AJ40" s="627"/>
    </row>
    <row r="41" spans="1:36" ht="12.95" customHeight="1" thickBot="1" x14ac:dyDescent="0.25">
      <c r="A41" s="627"/>
      <c r="B41" s="200"/>
      <c r="C41" s="199"/>
      <c r="D41" s="199"/>
      <c r="E41" s="199" t="s">
        <v>372</v>
      </c>
      <c r="F41" s="196"/>
      <c r="G41" s="196"/>
      <c r="H41" s="196"/>
      <c r="I41" s="205"/>
      <c r="J41" s="205"/>
      <c r="K41" s="205"/>
      <c r="L41" s="205"/>
      <c r="M41" s="205"/>
      <c r="N41" s="205"/>
      <c r="O41" s="206"/>
      <c r="S41" s="627"/>
      <c r="T41" s="228"/>
      <c r="U41" s="249"/>
      <c r="V41" s="250"/>
      <c r="W41" s="250"/>
      <c r="X41" s="250"/>
      <c r="Y41" s="250"/>
      <c r="Z41" s="251"/>
      <c r="AA41" s="252"/>
      <c r="AB41" s="253"/>
      <c r="AC41" s="254"/>
      <c r="AD41" s="228"/>
      <c r="AE41" s="627"/>
      <c r="AF41" s="627"/>
      <c r="AG41" s="627"/>
      <c r="AH41" s="627"/>
      <c r="AI41" s="627"/>
      <c r="AJ41" s="627"/>
    </row>
    <row r="42" spans="1:36" ht="12.95" customHeight="1" x14ac:dyDescent="0.2">
      <c r="A42" s="627"/>
      <c r="B42" s="200"/>
      <c r="C42" s="199"/>
      <c r="D42" s="199"/>
      <c r="E42" s="199" t="s">
        <v>373</v>
      </c>
      <c r="F42" s="196"/>
      <c r="G42" s="196"/>
      <c r="H42" s="196"/>
      <c r="I42" s="205"/>
      <c r="J42" s="205"/>
      <c r="K42" s="205"/>
      <c r="L42" s="205"/>
      <c r="M42" s="205"/>
      <c r="N42" s="205"/>
      <c r="O42" s="206"/>
      <c r="S42" s="627"/>
      <c r="T42" s="228"/>
      <c r="U42" s="228"/>
      <c r="V42" s="228"/>
      <c r="W42" s="228"/>
      <c r="X42" s="228"/>
      <c r="Y42" s="228"/>
      <c r="Z42" s="243"/>
      <c r="AA42" s="248"/>
      <c r="AB42" s="255"/>
      <c r="AC42" s="228"/>
      <c r="AD42" s="248"/>
      <c r="AE42" s="627"/>
      <c r="AF42" s="627"/>
      <c r="AG42" s="627"/>
      <c r="AH42" s="627"/>
      <c r="AI42" s="627"/>
      <c r="AJ42" s="627"/>
    </row>
    <row r="43" spans="1:36" ht="12.95" customHeight="1" x14ac:dyDescent="0.2">
      <c r="A43" s="627"/>
      <c r="B43" s="200"/>
      <c r="C43" s="199"/>
      <c r="D43" s="199"/>
      <c r="E43" s="199" t="s">
        <v>374</v>
      </c>
      <c r="F43" s="196"/>
      <c r="G43" s="196"/>
      <c r="H43" s="196"/>
      <c r="I43" s="205"/>
      <c r="J43" s="205"/>
      <c r="K43" s="196"/>
      <c r="L43" s="196"/>
      <c r="M43" s="196"/>
      <c r="N43" s="193"/>
      <c r="O43" s="194"/>
      <c r="S43" s="627"/>
      <c r="T43" s="228"/>
      <c r="U43" s="228"/>
      <c r="V43" s="228"/>
      <c r="W43" s="228"/>
      <c r="X43" s="228"/>
      <c r="Y43" s="228"/>
      <c r="Z43" s="228"/>
      <c r="AA43" s="248"/>
      <c r="AB43" s="228"/>
      <c r="AC43" s="228"/>
      <c r="AD43" s="228"/>
      <c r="AE43" s="627"/>
      <c r="AF43" s="627"/>
      <c r="AG43" s="627"/>
      <c r="AH43" s="627"/>
      <c r="AI43" s="627"/>
      <c r="AJ43" s="627"/>
    </row>
    <row r="44" spans="1:36" ht="12.95" customHeight="1" x14ac:dyDescent="0.2">
      <c r="A44" s="627"/>
      <c r="B44" s="200"/>
      <c r="C44" s="199"/>
      <c r="D44" s="199"/>
      <c r="E44" s="199"/>
      <c r="F44" s="196"/>
      <c r="G44" s="196"/>
      <c r="H44" s="196"/>
      <c r="I44" s="196"/>
      <c r="J44" s="196"/>
      <c r="K44" s="196"/>
      <c r="L44" s="196"/>
      <c r="M44" s="196"/>
      <c r="N44" s="193"/>
      <c r="O44" s="194"/>
      <c r="S44" s="627"/>
      <c r="T44" s="228" t="s">
        <v>119</v>
      </c>
      <c r="U44" s="228"/>
      <c r="V44" s="228"/>
      <c r="W44" s="228"/>
      <c r="X44" s="228"/>
      <c r="Y44" s="228"/>
      <c r="Z44" s="228"/>
      <c r="AA44" s="228"/>
      <c r="AB44" s="228"/>
      <c r="AC44" s="228"/>
      <c r="AD44" s="228"/>
      <c r="AE44" s="627"/>
      <c r="AF44" s="627"/>
      <c r="AG44" s="627"/>
      <c r="AH44" s="627"/>
      <c r="AI44" s="627"/>
      <c r="AJ44" s="627"/>
    </row>
    <row r="45" spans="1:36" ht="12.95" customHeight="1" x14ac:dyDescent="0.2">
      <c r="A45" s="627"/>
      <c r="B45" s="200"/>
      <c r="C45" s="199"/>
      <c r="D45" s="201" t="s">
        <v>395</v>
      </c>
      <c r="E45" s="201"/>
      <c r="F45" s="196"/>
      <c r="G45" s="196"/>
      <c r="H45" s="196"/>
      <c r="I45" s="196"/>
      <c r="J45" s="196"/>
      <c r="K45" s="196"/>
      <c r="L45" s="196"/>
      <c r="M45" s="196"/>
      <c r="N45" s="193"/>
      <c r="O45" s="194"/>
      <c r="S45" s="224"/>
      <c r="T45" s="228" t="s">
        <v>120</v>
      </c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627"/>
      <c r="AF45" s="627"/>
      <c r="AG45" s="627"/>
      <c r="AH45" s="627"/>
      <c r="AI45" s="627"/>
      <c r="AJ45" s="627"/>
    </row>
    <row r="46" spans="1:36" ht="12.95" customHeight="1" x14ac:dyDescent="0.2">
      <c r="A46" s="627"/>
      <c r="B46" s="200"/>
      <c r="C46" s="199"/>
      <c r="D46" s="199"/>
      <c r="E46" s="199" t="s">
        <v>368</v>
      </c>
      <c r="F46" s="196"/>
      <c r="G46" s="196"/>
      <c r="H46" s="196"/>
      <c r="I46" s="196"/>
      <c r="J46" s="196"/>
      <c r="K46" s="196"/>
      <c r="L46" s="196"/>
      <c r="M46" s="196"/>
      <c r="N46" s="193"/>
      <c r="O46" s="194"/>
      <c r="S46" s="224"/>
      <c r="T46" s="228" t="s">
        <v>121</v>
      </c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627"/>
      <c r="AF46" s="627"/>
      <c r="AG46" s="627"/>
      <c r="AH46" s="627"/>
      <c r="AI46" s="627"/>
      <c r="AJ46" s="627"/>
    </row>
    <row r="47" spans="1:36" ht="12.95" customHeight="1" x14ac:dyDescent="0.2">
      <c r="A47" s="627"/>
      <c r="B47" s="200"/>
      <c r="C47" s="199"/>
      <c r="D47" s="199"/>
      <c r="E47" s="199"/>
      <c r="F47" s="196"/>
      <c r="G47" s="196"/>
      <c r="H47" s="196"/>
      <c r="I47" s="196"/>
      <c r="J47" s="196"/>
      <c r="K47" s="196"/>
      <c r="L47" s="196"/>
      <c r="M47" s="196"/>
      <c r="N47" s="193"/>
      <c r="O47" s="194"/>
      <c r="S47" s="225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627"/>
      <c r="AF47" s="627"/>
      <c r="AG47" s="627"/>
      <c r="AH47" s="627"/>
      <c r="AI47" s="627"/>
      <c r="AJ47" s="627"/>
    </row>
    <row r="48" spans="1:36" ht="12.95" customHeight="1" x14ac:dyDescent="0.2">
      <c r="A48" s="627"/>
      <c r="B48" s="195"/>
      <c r="C48" s="196" t="s">
        <v>76</v>
      </c>
      <c r="D48" s="193"/>
      <c r="E48" s="196"/>
      <c r="F48" s="196"/>
      <c r="G48" s="196"/>
      <c r="H48" s="196"/>
      <c r="I48" s="196"/>
      <c r="J48" s="196"/>
      <c r="K48" s="196"/>
      <c r="L48" s="196"/>
      <c r="M48" s="196"/>
      <c r="N48" s="193"/>
      <c r="O48" s="194"/>
      <c r="S48" s="225"/>
      <c r="T48" s="228"/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627"/>
      <c r="AF48" s="627"/>
      <c r="AG48" s="627"/>
      <c r="AH48" s="627"/>
      <c r="AI48" s="627"/>
      <c r="AJ48" s="627"/>
    </row>
    <row r="49" spans="1:36" ht="12.95" customHeight="1" x14ac:dyDescent="0.2">
      <c r="A49" s="627"/>
      <c r="B49" s="195"/>
      <c r="C49" s="193"/>
      <c r="D49" s="196"/>
      <c r="E49" s="207" t="s">
        <v>396</v>
      </c>
      <c r="F49" s="196"/>
      <c r="G49" s="196"/>
      <c r="H49" s="196"/>
      <c r="I49" s="196"/>
      <c r="J49" s="196"/>
      <c r="K49" s="196"/>
      <c r="L49" s="196"/>
      <c r="M49" s="196"/>
      <c r="N49" s="193"/>
      <c r="O49" s="194"/>
      <c r="S49" s="225"/>
      <c r="T49" s="226" t="s">
        <v>122</v>
      </c>
      <c r="U49" s="227"/>
      <c r="V49" s="227"/>
      <c r="W49" s="227"/>
      <c r="X49" s="227"/>
      <c r="Y49" s="227"/>
      <c r="Z49" s="227"/>
      <c r="AA49" s="227"/>
      <c r="AB49" s="228"/>
      <c r="AC49" s="228"/>
      <c r="AD49" s="228"/>
      <c r="AE49" s="627"/>
      <c r="AF49" s="627"/>
      <c r="AG49" s="627"/>
      <c r="AH49" s="627"/>
      <c r="AI49" s="627"/>
      <c r="AJ49" s="627"/>
    </row>
    <row r="50" spans="1:36" ht="12.95" customHeight="1" thickBot="1" x14ac:dyDescent="0.25">
      <c r="A50" s="627"/>
      <c r="B50" s="195"/>
      <c r="C50" s="193"/>
      <c r="D50" s="204"/>
      <c r="E50" s="196" t="s">
        <v>77</v>
      </c>
      <c r="F50" s="196"/>
      <c r="G50" s="196"/>
      <c r="H50" s="196"/>
      <c r="I50" s="196"/>
      <c r="J50" s="196"/>
      <c r="K50" s="196"/>
      <c r="L50" s="196"/>
      <c r="M50" s="196"/>
      <c r="N50" s="193"/>
      <c r="O50" s="194"/>
      <c r="S50" s="225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627"/>
      <c r="AF50" s="627"/>
      <c r="AG50" s="627"/>
      <c r="AH50" s="627"/>
      <c r="AI50" s="627"/>
      <c r="AJ50" s="627"/>
    </row>
    <row r="51" spans="1:36" ht="12.95" customHeight="1" x14ac:dyDescent="0.2">
      <c r="A51" s="627"/>
      <c r="B51" s="195"/>
      <c r="C51" s="193"/>
      <c r="D51" s="196"/>
      <c r="E51" s="207" t="s">
        <v>397</v>
      </c>
      <c r="F51" s="196"/>
      <c r="G51" s="196"/>
      <c r="H51" s="196"/>
      <c r="I51" s="196"/>
      <c r="J51" s="196"/>
      <c r="K51" s="196"/>
      <c r="L51" s="196"/>
      <c r="M51" s="196"/>
      <c r="N51" s="193"/>
      <c r="O51" s="194"/>
      <c r="S51" s="225"/>
      <c r="T51" s="228"/>
      <c r="U51" s="235" t="s">
        <v>102</v>
      </c>
      <c r="V51" s="236"/>
      <c r="W51" s="236"/>
      <c r="X51" s="237" t="s">
        <v>123</v>
      </c>
      <c r="Y51" s="236"/>
      <c r="Z51" s="256"/>
      <c r="AA51" s="236" t="s">
        <v>63</v>
      </c>
      <c r="AB51" s="236"/>
      <c r="AC51" s="238"/>
      <c r="AD51" s="228"/>
      <c r="AE51" s="627"/>
      <c r="AF51" s="627"/>
      <c r="AG51" s="627"/>
      <c r="AH51" s="627"/>
      <c r="AI51" s="627"/>
      <c r="AJ51" s="627"/>
    </row>
    <row r="52" spans="1:36" ht="12.95" customHeight="1" x14ac:dyDescent="0.2">
      <c r="A52" s="627"/>
      <c r="B52" s="208"/>
      <c r="C52" s="193"/>
      <c r="D52" s="196"/>
      <c r="E52" s="207" t="s">
        <v>398</v>
      </c>
      <c r="F52" s="196"/>
      <c r="G52" s="196"/>
      <c r="H52" s="196"/>
      <c r="I52" s="196"/>
      <c r="J52" s="196"/>
      <c r="K52" s="196"/>
      <c r="L52" s="196"/>
      <c r="M52" s="196"/>
      <c r="N52" s="193"/>
      <c r="O52" s="194"/>
      <c r="S52" s="225"/>
      <c r="T52" s="228"/>
      <c r="U52" s="239" t="s">
        <v>124</v>
      </c>
      <c r="V52" s="228"/>
      <c r="W52" s="230"/>
      <c r="X52" s="230"/>
      <c r="Y52" s="230"/>
      <c r="Z52" s="228"/>
      <c r="AA52" s="228"/>
      <c r="AB52" s="228"/>
      <c r="AC52" s="242"/>
      <c r="AD52" s="228"/>
      <c r="AE52" s="627"/>
      <c r="AF52" s="627"/>
      <c r="AG52" s="627"/>
      <c r="AH52" s="627"/>
      <c r="AI52" s="627"/>
      <c r="AJ52" s="627"/>
    </row>
    <row r="53" spans="1:36" ht="12.95" customHeight="1" x14ac:dyDescent="0.2">
      <c r="A53" s="627"/>
      <c r="B53" s="208"/>
      <c r="C53" s="207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3"/>
      <c r="O53" s="194"/>
      <c r="S53" s="225"/>
      <c r="T53" s="228"/>
      <c r="U53" s="239"/>
      <c r="V53" s="229"/>
      <c r="W53" s="243" t="s">
        <v>105</v>
      </c>
      <c r="X53" s="230" t="s">
        <v>106</v>
      </c>
      <c r="Y53" s="230" t="s">
        <v>107</v>
      </c>
      <c r="Z53" s="230" t="s">
        <v>108</v>
      </c>
      <c r="AA53" s="228"/>
      <c r="AB53" s="228"/>
      <c r="AC53" s="242"/>
      <c r="AD53" s="228"/>
      <c r="AE53" s="627"/>
      <c r="AF53" s="627"/>
      <c r="AG53" s="627"/>
      <c r="AH53" s="627"/>
      <c r="AI53" s="627"/>
      <c r="AJ53" s="627"/>
    </row>
    <row r="54" spans="1:36" ht="12.95" customHeight="1" x14ac:dyDescent="0.2">
      <c r="A54" s="627"/>
      <c r="B54" s="200"/>
      <c r="C54" s="199"/>
      <c r="D54" s="199"/>
      <c r="E54" s="199"/>
      <c r="F54" s="196"/>
      <c r="G54" s="196"/>
      <c r="H54" s="196"/>
      <c r="I54" s="196"/>
      <c r="J54" s="196"/>
      <c r="K54" s="196"/>
      <c r="L54" s="196"/>
      <c r="M54" s="196"/>
      <c r="N54" s="193"/>
      <c r="O54" s="194"/>
      <c r="S54" s="225"/>
      <c r="T54" s="228"/>
      <c r="U54" s="239"/>
      <c r="V54" s="229"/>
      <c r="W54" s="228"/>
      <c r="X54" s="230"/>
      <c r="Y54" s="230"/>
      <c r="Z54" s="230"/>
      <c r="AA54" s="228"/>
      <c r="AB54" s="228"/>
      <c r="AC54" s="242"/>
      <c r="AD54" s="228"/>
      <c r="AE54" s="627"/>
      <c r="AF54" s="627"/>
      <c r="AG54" s="627"/>
      <c r="AH54" s="627"/>
      <c r="AI54" s="627"/>
      <c r="AJ54" s="627"/>
    </row>
    <row r="55" spans="1:36" ht="12.95" customHeight="1" x14ac:dyDescent="0.2">
      <c r="A55" s="627"/>
      <c r="B55" s="630" t="s">
        <v>83</v>
      </c>
      <c r="C55" s="198" t="s">
        <v>399</v>
      </c>
      <c r="D55" s="199"/>
      <c r="E55" s="199"/>
      <c r="F55" s="196"/>
      <c r="G55" s="196"/>
      <c r="H55" s="196"/>
      <c r="I55" s="196"/>
      <c r="J55" s="196"/>
      <c r="K55" s="196"/>
      <c r="L55" s="196"/>
      <c r="M55" s="196"/>
      <c r="N55" s="193"/>
      <c r="O55" s="194"/>
      <c r="S55" s="225"/>
      <c r="T55" s="228"/>
      <c r="U55" s="239" t="s">
        <v>125</v>
      </c>
      <c r="V55" s="229"/>
      <c r="W55" s="230">
        <v>0</v>
      </c>
      <c r="X55" s="230">
        <v>4</v>
      </c>
      <c r="Y55" s="230">
        <v>6</v>
      </c>
      <c r="Z55" s="230">
        <v>10</v>
      </c>
      <c r="AA55" s="244"/>
      <c r="AB55" s="228"/>
      <c r="AC55" s="242"/>
      <c r="AD55" s="228"/>
      <c r="AE55" s="627"/>
      <c r="AF55" s="627"/>
      <c r="AG55" s="627"/>
      <c r="AH55" s="627"/>
      <c r="AI55" s="627"/>
      <c r="AJ55" s="627"/>
    </row>
    <row r="56" spans="1:36" ht="12.95" customHeight="1" x14ac:dyDescent="0.2">
      <c r="A56" s="627"/>
      <c r="B56" s="630"/>
      <c r="C56" s="199"/>
      <c r="D56" s="199"/>
      <c r="E56" s="199"/>
      <c r="F56" s="196"/>
      <c r="G56" s="196"/>
      <c r="H56" s="196"/>
      <c r="I56" s="196"/>
      <c r="J56" s="196"/>
      <c r="K56" s="196"/>
      <c r="L56" s="196"/>
      <c r="M56" s="196"/>
      <c r="N56" s="193"/>
      <c r="O56" s="194"/>
      <c r="S56" s="225"/>
      <c r="T56" s="228"/>
      <c r="U56" s="239" t="s">
        <v>110</v>
      </c>
      <c r="V56" s="229"/>
      <c r="W56" s="230">
        <v>0</v>
      </c>
      <c r="X56" s="230">
        <v>2</v>
      </c>
      <c r="Y56" s="230">
        <v>6</v>
      </c>
      <c r="Z56" s="230">
        <v>8</v>
      </c>
      <c r="AA56" s="246"/>
      <c r="AB56" s="228"/>
      <c r="AC56" s="242"/>
      <c r="AD56" s="228"/>
      <c r="AE56" s="627"/>
      <c r="AF56" s="627"/>
      <c r="AG56" s="627"/>
      <c r="AH56" s="627"/>
      <c r="AI56" s="627"/>
      <c r="AJ56" s="627"/>
    </row>
    <row r="57" spans="1:36" ht="12.95" customHeight="1" x14ac:dyDescent="0.2">
      <c r="A57" s="627"/>
      <c r="B57" s="200"/>
      <c r="C57" s="199"/>
      <c r="D57" s="198" t="s">
        <v>400</v>
      </c>
      <c r="E57" s="199"/>
      <c r="F57" s="196"/>
      <c r="G57" s="196"/>
      <c r="H57" s="196"/>
      <c r="I57" s="196"/>
      <c r="J57" s="196"/>
      <c r="K57" s="196"/>
      <c r="L57" s="196"/>
      <c r="M57" s="196"/>
      <c r="N57" s="193"/>
      <c r="O57" s="194"/>
      <c r="S57" s="225"/>
      <c r="T57" s="228"/>
      <c r="U57" s="239" t="s">
        <v>126</v>
      </c>
      <c r="V57" s="228"/>
      <c r="W57" s="230">
        <v>0</v>
      </c>
      <c r="X57" s="230">
        <v>6</v>
      </c>
      <c r="Y57" s="230">
        <v>8</v>
      </c>
      <c r="Z57" s="230">
        <v>10</v>
      </c>
      <c r="AA57" s="246"/>
      <c r="AB57" s="228"/>
      <c r="AC57" s="242"/>
      <c r="AD57" s="228"/>
      <c r="AE57" s="627"/>
      <c r="AF57" s="627"/>
      <c r="AG57" s="627"/>
      <c r="AH57" s="627"/>
      <c r="AI57" s="627"/>
      <c r="AJ57" s="627"/>
    </row>
    <row r="58" spans="1:36" ht="12.95" customHeight="1" x14ac:dyDescent="0.2">
      <c r="A58" s="627"/>
      <c r="B58" s="200"/>
      <c r="C58" s="199"/>
      <c r="D58" s="199"/>
      <c r="E58" s="199" t="s">
        <v>81</v>
      </c>
      <c r="F58" s="196"/>
      <c r="G58" s="196"/>
      <c r="H58" s="196"/>
      <c r="I58" s="196"/>
      <c r="J58" s="196"/>
      <c r="K58" s="196"/>
      <c r="L58" s="196"/>
      <c r="M58" s="196"/>
      <c r="N58" s="193"/>
      <c r="O58" s="194"/>
      <c r="S58" s="225"/>
      <c r="T58" s="228"/>
      <c r="U58" s="239" t="s">
        <v>127</v>
      </c>
      <c r="V58" s="229"/>
      <c r="W58" s="230">
        <v>0</v>
      </c>
      <c r="X58" s="230">
        <v>2</v>
      </c>
      <c r="Y58" s="230">
        <v>4</v>
      </c>
      <c r="Z58" s="230">
        <v>6</v>
      </c>
      <c r="AA58" s="246"/>
      <c r="AB58" s="228"/>
      <c r="AC58" s="242"/>
      <c r="AD58" s="228"/>
      <c r="AE58" s="627"/>
      <c r="AF58" s="627"/>
      <c r="AG58" s="627"/>
      <c r="AH58" s="627"/>
      <c r="AI58" s="627"/>
      <c r="AJ58" s="627"/>
    </row>
    <row r="59" spans="1:36" ht="12.95" customHeight="1" x14ac:dyDescent="0.2">
      <c r="A59" s="627"/>
      <c r="B59" s="200"/>
      <c r="C59" s="199"/>
      <c r="D59" s="199"/>
      <c r="E59" s="199" t="s">
        <v>82</v>
      </c>
      <c r="F59" s="196"/>
      <c r="G59" s="196"/>
      <c r="H59" s="196"/>
      <c r="I59" s="196"/>
      <c r="J59" s="196"/>
      <c r="K59" s="196"/>
      <c r="L59" s="196"/>
      <c r="M59" s="196"/>
      <c r="N59" s="193"/>
      <c r="O59" s="194"/>
      <c r="S59" s="225"/>
      <c r="T59" s="228"/>
      <c r="U59" s="239" t="s">
        <v>128</v>
      </c>
      <c r="V59" s="229"/>
      <c r="W59" s="230">
        <v>0</v>
      </c>
      <c r="X59" s="230">
        <v>2</v>
      </c>
      <c r="Y59" s="230">
        <v>4</v>
      </c>
      <c r="Z59" s="230">
        <v>6</v>
      </c>
      <c r="AA59" s="246"/>
      <c r="AB59" s="228"/>
      <c r="AC59" s="242"/>
      <c r="AD59" s="228"/>
      <c r="AE59" s="627"/>
      <c r="AF59" s="627"/>
      <c r="AG59" s="627"/>
      <c r="AH59" s="627"/>
      <c r="AI59" s="627"/>
      <c r="AJ59" s="627"/>
    </row>
    <row r="60" spans="1:36" ht="12.95" customHeight="1" x14ac:dyDescent="0.2">
      <c r="A60" s="627"/>
      <c r="B60" s="200"/>
      <c r="C60" s="199"/>
      <c r="D60" s="199"/>
      <c r="E60" s="199"/>
      <c r="F60" s="196"/>
      <c r="G60" s="196"/>
      <c r="H60" s="196"/>
      <c r="I60" s="196"/>
      <c r="J60" s="196"/>
      <c r="K60" s="196"/>
      <c r="L60" s="196"/>
      <c r="M60" s="196"/>
      <c r="N60" s="193"/>
      <c r="O60" s="194"/>
      <c r="S60" s="225"/>
      <c r="T60" s="228"/>
      <c r="U60" s="239" t="s">
        <v>113</v>
      </c>
      <c r="V60" s="229"/>
      <c r="W60" s="230">
        <v>0</v>
      </c>
      <c r="X60" s="230">
        <v>0</v>
      </c>
      <c r="Y60" s="230">
        <v>2</v>
      </c>
      <c r="Z60" s="230">
        <v>4</v>
      </c>
      <c r="AA60" s="246"/>
      <c r="AB60" s="228"/>
      <c r="AC60" s="242"/>
      <c r="AD60" s="228"/>
      <c r="AE60" s="627"/>
      <c r="AF60" s="627"/>
      <c r="AG60" s="627"/>
      <c r="AH60" s="627"/>
      <c r="AI60" s="627"/>
      <c r="AJ60" s="627"/>
    </row>
    <row r="61" spans="1:36" ht="12.95" customHeight="1" x14ac:dyDescent="0.2">
      <c r="A61" s="627"/>
      <c r="B61" s="200"/>
      <c r="C61" s="199"/>
      <c r="D61" s="201" t="s">
        <v>401</v>
      </c>
      <c r="E61" s="201"/>
      <c r="F61" s="196"/>
      <c r="G61" s="196"/>
      <c r="H61" s="196"/>
      <c r="I61" s="196"/>
      <c r="J61" s="196"/>
      <c r="K61" s="196"/>
      <c r="L61" s="196"/>
      <c r="M61" s="196"/>
      <c r="N61" s="193"/>
      <c r="O61" s="194"/>
      <c r="S61" s="225"/>
      <c r="T61" s="228"/>
      <c r="U61" s="239" t="s">
        <v>129</v>
      </c>
      <c r="V61" s="228"/>
      <c r="W61" s="230">
        <v>0</v>
      </c>
      <c r="X61" s="230">
        <v>2</v>
      </c>
      <c r="Y61" s="230">
        <v>4</v>
      </c>
      <c r="Z61" s="230">
        <v>6</v>
      </c>
      <c r="AA61" s="246"/>
      <c r="AB61" s="228"/>
      <c r="AC61" s="242"/>
      <c r="AD61" s="228"/>
      <c r="AE61" s="627"/>
      <c r="AF61" s="627"/>
      <c r="AG61" s="627"/>
      <c r="AH61" s="627"/>
      <c r="AI61" s="627"/>
      <c r="AJ61" s="627"/>
    </row>
    <row r="62" spans="1:36" ht="12.95" customHeight="1" x14ac:dyDescent="0.2">
      <c r="A62" s="627"/>
      <c r="B62" s="200"/>
      <c r="C62" s="199"/>
      <c r="D62" s="199"/>
      <c r="E62" s="199"/>
      <c r="F62" s="196"/>
      <c r="G62" s="196"/>
      <c r="H62" s="196"/>
      <c r="I62" s="196"/>
      <c r="J62" s="196"/>
      <c r="K62" s="196"/>
      <c r="L62" s="196"/>
      <c r="M62" s="196"/>
      <c r="N62" s="193"/>
      <c r="O62" s="194"/>
      <c r="S62" s="225"/>
      <c r="T62" s="228"/>
      <c r="U62" s="239"/>
      <c r="V62" s="228"/>
      <c r="W62" s="228"/>
      <c r="X62" s="228"/>
      <c r="Y62" s="228"/>
      <c r="Z62" s="228"/>
      <c r="AA62" s="228"/>
      <c r="AB62" s="228"/>
      <c r="AC62" s="242"/>
      <c r="AD62" s="228"/>
      <c r="AE62" s="627"/>
      <c r="AF62" s="627"/>
      <c r="AG62" s="627"/>
      <c r="AH62" s="627"/>
      <c r="AI62" s="627"/>
      <c r="AJ62" s="627"/>
    </row>
    <row r="63" spans="1:36" ht="12.95" customHeight="1" thickBot="1" x14ac:dyDescent="0.25">
      <c r="B63" s="200"/>
      <c r="C63" s="199"/>
      <c r="D63" s="199"/>
      <c r="E63" s="199"/>
      <c r="F63" s="196"/>
      <c r="G63" s="196"/>
      <c r="H63" s="196"/>
      <c r="I63" s="196"/>
      <c r="J63" s="196"/>
      <c r="K63" s="196"/>
      <c r="L63" s="196"/>
      <c r="M63" s="196"/>
      <c r="N63" s="193"/>
      <c r="O63" s="194"/>
      <c r="S63" s="225"/>
      <c r="T63" s="228" t="s">
        <v>79</v>
      </c>
      <c r="U63" s="249" t="s">
        <v>130</v>
      </c>
      <c r="V63" s="250"/>
      <c r="W63" s="250"/>
      <c r="X63" s="250"/>
      <c r="Y63" s="250"/>
      <c r="Z63" s="250"/>
      <c r="AA63" s="253">
        <f>IF('Old Structure'!G13&gt;50,50,'Old Structure'!G13)</f>
        <v>0</v>
      </c>
      <c r="AB63" s="250"/>
      <c r="AC63" s="254"/>
      <c r="AD63" s="228"/>
      <c r="AE63" s="627"/>
      <c r="AF63" s="627"/>
      <c r="AG63" s="627"/>
      <c r="AH63" s="627"/>
      <c r="AI63" s="627"/>
      <c r="AJ63" s="627"/>
    </row>
    <row r="64" spans="1:36" ht="12.95" customHeight="1" x14ac:dyDescent="0.2">
      <c r="B64" s="208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3"/>
      <c r="O64" s="194"/>
      <c r="S64" s="225"/>
      <c r="T64" s="228"/>
      <c r="U64" s="228"/>
      <c r="V64" s="228"/>
      <c r="W64" s="228"/>
      <c r="X64" s="228"/>
      <c r="Y64" s="228"/>
      <c r="Z64" s="228"/>
      <c r="AA64" s="228"/>
      <c r="AB64" s="228"/>
      <c r="AC64" s="228"/>
      <c r="AD64" s="228"/>
      <c r="AE64" s="627"/>
      <c r="AF64" s="627"/>
      <c r="AG64" s="627"/>
      <c r="AH64" s="627"/>
      <c r="AI64" s="627"/>
      <c r="AJ64" s="627"/>
    </row>
    <row r="65" spans="2:36" ht="12.95" customHeight="1" x14ac:dyDescent="0.2">
      <c r="B65" s="630" t="s">
        <v>84</v>
      </c>
      <c r="C65" s="196" t="s">
        <v>85</v>
      </c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3"/>
      <c r="O65" s="194"/>
      <c r="S65" s="22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</row>
    <row r="66" spans="2:36" ht="12.95" customHeight="1" x14ac:dyDescent="0.2">
      <c r="B66" s="630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3"/>
      <c r="O66" s="194"/>
      <c r="S66" s="22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</row>
    <row r="67" spans="2:36" ht="12.95" customHeight="1" x14ac:dyDescent="0.2">
      <c r="B67" s="208"/>
      <c r="C67" s="196"/>
      <c r="D67" s="196" t="s">
        <v>86</v>
      </c>
      <c r="E67" s="196"/>
      <c r="F67" s="196"/>
      <c r="G67" s="196"/>
      <c r="H67" s="196"/>
      <c r="I67" s="196"/>
      <c r="J67" s="196"/>
      <c r="K67" s="196"/>
      <c r="L67" s="196"/>
      <c r="M67" s="196"/>
      <c r="N67" s="193"/>
      <c r="O67" s="194"/>
      <c r="S67" s="225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</row>
    <row r="68" spans="2:36" ht="12.95" customHeight="1" x14ac:dyDescent="0.2">
      <c r="B68" s="208"/>
      <c r="C68" s="196"/>
      <c r="D68" s="199" t="s">
        <v>369</v>
      </c>
      <c r="E68" s="196"/>
      <c r="F68" s="204"/>
      <c r="G68" s="196"/>
      <c r="H68" s="196"/>
      <c r="I68" s="196"/>
      <c r="J68" s="196"/>
      <c r="K68" s="196"/>
      <c r="L68" s="196"/>
      <c r="M68" s="196"/>
      <c r="N68" s="193"/>
      <c r="O68" s="194"/>
      <c r="S68" s="225"/>
      <c r="T68" s="226" t="s">
        <v>268</v>
      </c>
      <c r="U68" s="227"/>
      <c r="V68" s="227"/>
      <c r="W68" s="227"/>
      <c r="X68" s="227"/>
      <c r="Y68" s="227"/>
      <c r="Z68" s="227"/>
      <c r="AA68" s="228"/>
      <c r="AB68" s="228"/>
      <c r="AC68" s="228"/>
      <c r="AD68" s="228"/>
    </row>
    <row r="69" spans="2:36" ht="12.95" customHeight="1" x14ac:dyDescent="0.2">
      <c r="B69" s="208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3"/>
      <c r="O69" s="194"/>
      <c r="S69" s="225"/>
      <c r="T69" s="228" t="s">
        <v>131</v>
      </c>
      <c r="U69" s="228"/>
      <c r="V69" s="228"/>
      <c r="W69" s="228"/>
      <c r="X69" s="228"/>
      <c r="Y69" s="228"/>
      <c r="Z69" s="228"/>
      <c r="AA69" s="228"/>
      <c r="AB69" s="228"/>
      <c r="AC69" s="228"/>
      <c r="AD69" s="228"/>
    </row>
    <row r="70" spans="2:36" ht="12.95" customHeight="1" x14ac:dyDescent="0.2">
      <c r="B70" s="630" t="s">
        <v>87</v>
      </c>
      <c r="C70" s="196" t="s">
        <v>402</v>
      </c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3"/>
      <c r="O70" s="194"/>
      <c r="S70" s="225"/>
      <c r="T70" s="228" t="s">
        <v>132</v>
      </c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</row>
    <row r="71" spans="2:36" ht="12.95" customHeight="1" x14ac:dyDescent="0.2">
      <c r="B71" s="630"/>
      <c r="C71" s="196" t="s">
        <v>89</v>
      </c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3"/>
      <c r="O71" s="194"/>
      <c r="S71" s="225"/>
      <c r="T71" s="229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</row>
    <row r="72" spans="2:36" ht="12.95" customHeight="1" x14ac:dyDescent="0.2">
      <c r="B72" s="208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3"/>
      <c r="O72" s="194"/>
      <c r="S72" s="225"/>
      <c r="T72" s="230" t="s">
        <v>133</v>
      </c>
      <c r="U72" s="229" t="s">
        <v>134</v>
      </c>
      <c r="V72" s="229"/>
      <c r="W72" s="228"/>
      <c r="X72" s="228"/>
      <c r="Y72" s="228"/>
      <c r="Z72" s="228"/>
      <c r="AA72" s="228"/>
      <c r="AB72" s="228"/>
      <c r="AC72" s="228"/>
      <c r="AD72" s="228"/>
    </row>
    <row r="73" spans="2:36" ht="12.95" customHeight="1" x14ac:dyDescent="0.2">
      <c r="B73" s="208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3"/>
      <c r="O73" s="194"/>
      <c r="S73" s="225"/>
      <c r="T73" s="228"/>
      <c r="U73" s="229"/>
      <c r="V73" s="228"/>
      <c r="W73" s="228"/>
      <c r="X73" s="228"/>
      <c r="Y73" s="228"/>
      <c r="Z73" s="228"/>
      <c r="AA73" s="228"/>
      <c r="AB73" s="228"/>
      <c r="AC73" s="228"/>
      <c r="AD73" s="228"/>
    </row>
    <row r="74" spans="2:36" ht="12.95" customHeight="1" x14ac:dyDescent="0.2">
      <c r="B74" s="630" t="s">
        <v>88</v>
      </c>
      <c r="C74" s="196" t="s">
        <v>403</v>
      </c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3"/>
      <c r="O74" s="194"/>
      <c r="S74" s="225"/>
      <c r="T74" s="228"/>
      <c r="U74" s="229"/>
      <c r="V74" s="228"/>
      <c r="W74" s="228"/>
      <c r="X74" s="228"/>
      <c r="Y74" s="228"/>
      <c r="Z74" s="228"/>
      <c r="AA74" s="228"/>
      <c r="AB74" s="228"/>
      <c r="AC74" s="228"/>
      <c r="AD74" s="228"/>
    </row>
    <row r="75" spans="2:36" ht="12.95" customHeight="1" x14ac:dyDescent="0.2">
      <c r="B75" s="630"/>
      <c r="C75" s="196" t="s">
        <v>404</v>
      </c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3"/>
      <c r="O75" s="194"/>
      <c r="S75" s="225"/>
      <c r="T75" s="231">
        <f>IF(OR(AA39&gt;0,AB40&gt;0,AA63&gt;0,L8&gt;0),0,'Traffic &amp; Accidents'!F22)</f>
        <v>0</v>
      </c>
      <c r="U75" s="229" t="s">
        <v>267</v>
      </c>
      <c r="V75" s="229"/>
      <c r="W75" s="232"/>
      <c r="X75" s="228"/>
      <c r="Y75" s="228"/>
      <c r="Z75" s="228"/>
      <c r="AA75" s="222"/>
      <c r="AB75" s="257">
        <f>IF((T75/250)*50&gt;50,50,(T75/250)*50)</f>
        <v>0</v>
      </c>
      <c r="AC75" s="228"/>
      <c r="AD75" s="228"/>
    </row>
    <row r="76" spans="2:36" ht="12.95" customHeight="1" x14ac:dyDescent="0.2">
      <c r="B76" s="195"/>
      <c r="C76" s="196" t="s">
        <v>405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3"/>
      <c r="O76" s="194"/>
      <c r="S76" s="225"/>
      <c r="T76" s="229"/>
      <c r="U76" s="229"/>
      <c r="V76" s="228"/>
      <c r="W76" s="228"/>
      <c r="X76" s="228"/>
      <c r="Y76" s="228"/>
      <c r="Z76" s="228"/>
      <c r="AA76" s="228"/>
      <c r="AB76" s="228"/>
      <c r="AC76" s="228"/>
      <c r="AD76" s="228"/>
    </row>
    <row r="77" spans="2:36" ht="12.95" customHeight="1" x14ac:dyDescent="0.2">
      <c r="B77" s="195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93"/>
      <c r="O77" s="194"/>
      <c r="S77" s="627"/>
      <c r="T77" s="627"/>
      <c r="U77" s="627"/>
      <c r="V77" s="627"/>
      <c r="W77" s="627"/>
      <c r="X77" s="627"/>
      <c r="Y77" s="627"/>
      <c r="Z77" s="627"/>
      <c r="AA77" s="627"/>
      <c r="AB77" s="627"/>
      <c r="AC77" s="627"/>
      <c r="AD77" s="627"/>
      <c r="AE77" s="627"/>
      <c r="AF77" s="627"/>
      <c r="AG77" s="627"/>
      <c r="AH77" s="225"/>
      <c r="AI77" s="225"/>
      <c r="AJ77" s="225"/>
    </row>
    <row r="78" spans="2:36" ht="12.95" customHeight="1" x14ac:dyDescent="0.2">
      <c r="B78" s="195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4"/>
      <c r="S78" s="627"/>
      <c r="T78" s="627"/>
      <c r="U78" s="627"/>
      <c r="V78" s="627"/>
      <c r="W78" s="627"/>
      <c r="X78" s="627"/>
      <c r="Y78" s="627"/>
      <c r="Z78" s="627"/>
      <c r="AA78" s="627"/>
      <c r="AB78" s="627"/>
      <c r="AC78" s="627"/>
      <c r="AD78" s="627"/>
      <c r="AE78" s="627"/>
      <c r="AF78" s="627"/>
      <c r="AG78" s="627"/>
      <c r="AH78" s="225"/>
      <c r="AI78" s="225"/>
      <c r="AJ78" s="225"/>
    </row>
    <row r="79" spans="2:36" ht="12.95" customHeight="1" x14ac:dyDescent="0.2">
      <c r="B79" s="628" t="s">
        <v>406</v>
      </c>
      <c r="C79" s="193"/>
      <c r="D79" s="198" t="s">
        <v>407</v>
      </c>
      <c r="E79" s="193"/>
      <c r="F79" s="193"/>
      <c r="G79" s="193"/>
      <c r="H79" s="193"/>
      <c r="I79" s="193"/>
      <c r="J79" s="193"/>
      <c r="K79" s="193"/>
      <c r="L79" s="193"/>
      <c r="M79" s="193"/>
      <c r="N79" s="193"/>
      <c r="O79" s="194"/>
      <c r="S79" s="627"/>
      <c r="T79" s="627"/>
      <c r="U79" s="627"/>
      <c r="V79" s="627"/>
      <c r="W79" s="627"/>
      <c r="X79" s="627"/>
      <c r="Y79" s="627"/>
      <c r="Z79" s="627"/>
      <c r="AA79" s="627"/>
      <c r="AB79" s="627"/>
      <c r="AC79" s="627"/>
      <c r="AD79" s="627"/>
      <c r="AE79" s="627"/>
      <c r="AF79" s="627"/>
      <c r="AG79" s="627"/>
      <c r="AH79" s="225"/>
      <c r="AI79" s="225"/>
      <c r="AJ79" s="225"/>
    </row>
    <row r="80" spans="2:36" ht="12.95" customHeight="1" x14ac:dyDescent="0.2">
      <c r="B80" s="628"/>
      <c r="C80" s="193"/>
      <c r="D80" s="209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4"/>
      <c r="S80" s="627"/>
      <c r="T80" s="627"/>
      <c r="U80" s="627"/>
      <c r="V80" s="627"/>
      <c r="W80" s="627"/>
      <c r="X80" s="627"/>
      <c r="Y80" s="627"/>
      <c r="Z80" s="627"/>
      <c r="AA80" s="627"/>
      <c r="AB80" s="627"/>
      <c r="AC80" s="627"/>
      <c r="AD80" s="627"/>
      <c r="AE80" s="627"/>
      <c r="AF80" s="627"/>
      <c r="AG80" s="627"/>
      <c r="AH80" s="225"/>
      <c r="AI80" s="225"/>
      <c r="AJ80" s="225"/>
    </row>
    <row r="81" spans="2:36" ht="12.95" customHeight="1" x14ac:dyDescent="0.2">
      <c r="B81" s="270"/>
      <c r="C81" s="193"/>
      <c r="D81" s="209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4"/>
      <c r="S81" s="627"/>
      <c r="T81" s="627"/>
      <c r="U81" s="627"/>
      <c r="V81" s="627"/>
      <c r="W81" s="627"/>
      <c r="X81" s="627"/>
      <c r="Y81" s="627"/>
      <c r="Z81" s="627"/>
      <c r="AA81" s="627"/>
      <c r="AB81" s="627"/>
      <c r="AC81" s="627"/>
      <c r="AD81" s="627"/>
      <c r="AE81" s="627"/>
      <c r="AF81" s="627"/>
      <c r="AG81" s="627"/>
      <c r="AH81" s="225"/>
      <c r="AI81" s="225"/>
      <c r="AJ81" s="225"/>
    </row>
    <row r="82" spans="2:36" ht="12.95" customHeight="1" x14ac:dyDescent="0.2">
      <c r="B82" s="270"/>
      <c r="C82" s="228" t="s">
        <v>90</v>
      </c>
      <c r="D82" s="228"/>
      <c r="E82" s="228"/>
      <c r="F82" s="228"/>
      <c r="G82" s="228"/>
      <c r="H82" s="228"/>
      <c r="I82" s="193"/>
      <c r="J82" s="193"/>
      <c r="K82" s="193"/>
      <c r="L82" s="193"/>
      <c r="M82" s="193"/>
      <c r="N82" s="193"/>
      <c r="O82" s="194"/>
      <c r="S82" s="627"/>
      <c r="T82" s="627"/>
      <c r="U82" s="627"/>
      <c r="V82" s="627"/>
      <c r="W82" s="627"/>
      <c r="X82" s="627"/>
      <c r="Y82" s="627"/>
      <c r="Z82" s="627"/>
      <c r="AA82" s="627"/>
      <c r="AB82" s="627"/>
      <c r="AC82" s="627"/>
      <c r="AD82" s="627"/>
      <c r="AE82" s="627"/>
      <c r="AF82" s="627"/>
      <c r="AG82" s="627"/>
      <c r="AH82" s="225"/>
      <c r="AI82" s="225"/>
      <c r="AJ82" s="225"/>
    </row>
    <row r="83" spans="2:36" ht="12.95" customHeight="1" x14ac:dyDescent="0.2">
      <c r="B83" s="270"/>
      <c r="C83" s="228"/>
      <c r="D83" s="228"/>
      <c r="E83" s="228"/>
      <c r="F83" s="228"/>
      <c r="G83" s="228"/>
      <c r="H83" s="228"/>
      <c r="I83" s="193"/>
      <c r="J83" s="193"/>
      <c r="K83" s="193"/>
      <c r="L83" s="193"/>
      <c r="M83" s="193"/>
      <c r="N83" s="193"/>
      <c r="O83" s="194"/>
      <c r="S83" s="627"/>
      <c r="T83" s="627"/>
      <c r="U83" s="627"/>
      <c r="V83" s="627"/>
      <c r="W83" s="627"/>
      <c r="X83" s="627"/>
      <c r="Y83" s="627"/>
      <c r="Z83" s="627"/>
      <c r="AA83" s="627"/>
      <c r="AB83" s="627"/>
      <c r="AC83" s="627"/>
      <c r="AD83" s="627"/>
      <c r="AE83" s="627"/>
      <c r="AF83" s="627"/>
      <c r="AG83" s="627"/>
      <c r="AH83" s="225"/>
      <c r="AI83" s="225"/>
      <c r="AJ83" s="225"/>
    </row>
    <row r="84" spans="2:36" ht="12.95" customHeight="1" x14ac:dyDescent="0.2">
      <c r="B84" s="270"/>
      <c r="C84" s="228"/>
      <c r="D84" s="228"/>
      <c r="E84" s="228"/>
      <c r="F84" s="274">
        <f>'Old Structure'!G7</f>
        <v>0</v>
      </c>
      <c r="G84" s="228" t="s">
        <v>91</v>
      </c>
      <c r="H84" s="228"/>
      <c r="I84" s="193"/>
      <c r="J84" s="193"/>
      <c r="K84" s="193"/>
      <c r="L84" s="193"/>
      <c r="M84" s="193"/>
      <c r="N84" s="193"/>
      <c r="O84" s="194"/>
      <c r="S84" s="627"/>
      <c r="T84" s="627"/>
      <c r="U84" s="627"/>
      <c r="V84" s="627"/>
      <c r="W84" s="627"/>
      <c r="X84" s="627"/>
      <c r="Y84" s="627"/>
      <c r="Z84" s="627"/>
      <c r="AA84" s="627"/>
      <c r="AB84" s="627"/>
      <c r="AC84" s="627"/>
      <c r="AD84" s="627"/>
      <c r="AE84" s="627"/>
      <c r="AF84" s="627"/>
      <c r="AG84" s="627"/>
      <c r="AH84" s="225"/>
      <c r="AI84" s="225"/>
      <c r="AJ84" s="225"/>
    </row>
    <row r="85" spans="2:36" ht="12.95" customHeight="1" x14ac:dyDescent="0.2">
      <c r="B85" s="270"/>
      <c r="C85" s="228"/>
      <c r="D85" s="228"/>
      <c r="E85" s="228"/>
      <c r="F85" s="275">
        <f>'Old Structure'!G8</f>
        <v>0</v>
      </c>
      <c r="G85" s="228" t="s">
        <v>92</v>
      </c>
      <c r="H85" s="228"/>
      <c r="I85" s="193"/>
      <c r="J85" s="193"/>
      <c r="K85" s="193"/>
      <c r="L85" s="193"/>
      <c r="M85" s="193"/>
      <c r="N85" s="193"/>
      <c r="O85" s="194"/>
      <c r="S85" s="627"/>
      <c r="T85" s="627"/>
      <c r="U85" s="627"/>
      <c r="V85" s="627"/>
      <c r="W85" s="627"/>
      <c r="X85" s="627"/>
      <c r="Y85" s="627"/>
      <c r="Z85" s="627"/>
      <c r="AA85" s="627"/>
      <c r="AB85" s="627"/>
      <c r="AC85" s="627"/>
      <c r="AD85" s="627"/>
      <c r="AE85" s="627"/>
      <c r="AF85" s="627"/>
      <c r="AG85" s="627"/>
      <c r="AH85" s="225"/>
      <c r="AI85" s="225"/>
      <c r="AJ85" s="225"/>
    </row>
    <row r="86" spans="2:36" ht="12.95" customHeight="1" x14ac:dyDescent="0.2">
      <c r="B86" s="270"/>
      <c r="C86" s="228"/>
      <c r="D86" s="228"/>
      <c r="E86" s="228"/>
      <c r="F86" s="275">
        <f>'Old Structure'!G9</f>
        <v>0</v>
      </c>
      <c r="G86" s="228" t="s">
        <v>93</v>
      </c>
      <c r="H86" s="228"/>
      <c r="I86" s="193"/>
      <c r="J86" s="193"/>
      <c r="K86" s="193"/>
      <c r="L86" s="193"/>
      <c r="M86" s="193"/>
      <c r="N86" s="193"/>
      <c r="O86" s="194"/>
      <c r="S86" s="627"/>
      <c r="T86" s="627"/>
      <c r="U86" s="627"/>
      <c r="V86" s="627"/>
      <c r="W86" s="627"/>
      <c r="X86" s="627"/>
      <c r="Y86" s="627"/>
      <c r="Z86" s="627"/>
      <c r="AA86" s="627"/>
      <c r="AB86" s="627"/>
      <c r="AC86" s="627"/>
      <c r="AD86" s="627"/>
      <c r="AE86" s="627"/>
      <c r="AF86" s="627"/>
      <c r="AG86" s="627"/>
      <c r="AH86" s="225"/>
      <c r="AI86" s="225"/>
      <c r="AJ86" s="225"/>
    </row>
    <row r="87" spans="2:36" ht="12.95" customHeight="1" x14ac:dyDescent="0.2">
      <c r="B87" s="270"/>
      <c r="C87" s="193"/>
      <c r="D87" s="209"/>
      <c r="E87" s="193"/>
      <c r="F87" s="193"/>
      <c r="G87" s="193"/>
      <c r="H87" s="193"/>
      <c r="I87" s="193"/>
      <c r="J87" s="193"/>
      <c r="K87" s="193"/>
      <c r="L87" s="193"/>
      <c r="M87" s="193"/>
      <c r="N87" s="193"/>
      <c r="O87" s="194"/>
      <c r="S87" s="627"/>
      <c r="T87" s="627"/>
      <c r="U87" s="627"/>
      <c r="V87" s="627"/>
      <c r="W87" s="627"/>
      <c r="X87" s="627"/>
      <c r="Y87" s="627"/>
      <c r="Z87" s="627"/>
      <c r="AA87" s="627"/>
      <c r="AB87" s="627"/>
      <c r="AC87" s="627"/>
      <c r="AD87" s="627"/>
      <c r="AE87" s="627"/>
      <c r="AF87" s="627"/>
      <c r="AG87" s="627"/>
      <c r="AH87" s="225"/>
      <c r="AI87" s="225"/>
      <c r="AJ87" s="225"/>
    </row>
    <row r="88" spans="2:36" ht="12.95" customHeight="1" x14ac:dyDescent="0.2">
      <c r="B88" s="270"/>
      <c r="C88" s="193"/>
      <c r="D88" s="209"/>
      <c r="E88" s="193"/>
      <c r="F88" s="269" t="e">
        <f>IF(((1-('Old Structure'!F86/'Old Structure'!F85))*25)&gt;0,(1-('Old Structure'!F86/'Old Structure'!F85))*25,0)</f>
        <v>#DIV/0!</v>
      </c>
      <c r="G88" s="193"/>
      <c r="H88" s="193"/>
      <c r="I88" s="193"/>
      <c r="J88" s="193"/>
      <c r="K88" s="193"/>
      <c r="L88" s="193"/>
      <c r="M88" s="193"/>
      <c r="N88" s="193"/>
      <c r="O88" s="194"/>
      <c r="S88" s="627"/>
      <c r="T88" s="627"/>
      <c r="U88" s="627"/>
      <c r="V88" s="627"/>
      <c r="W88" s="627"/>
      <c r="X88" s="627"/>
      <c r="Y88" s="627"/>
      <c r="Z88" s="627"/>
      <c r="AA88" s="627"/>
      <c r="AB88" s="627"/>
      <c r="AC88" s="627"/>
      <c r="AD88" s="627"/>
      <c r="AE88" s="627"/>
      <c r="AF88" s="627"/>
      <c r="AG88" s="627"/>
      <c r="AH88" s="225"/>
      <c r="AI88" s="225"/>
      <c r="AJ88" s="225"/>
    </row>
    <row r="89" spans="2:36" ht="12.95" customHeight="1" x14ac:dyDescent="0.2">
      <c r="B89" s="270"/>
      <c r="C89" s="193"/>
      <c r="D89" s="209"/>
      <c r="E89" s="193"/>
      <c r="F89" s="193"/>
      <c r="G89" s="193"/>
      <c r="H89" s="193"/>
      <c r="I89" s="193"/>
      <c r="J89" s="193"/>
      <c r="K89" s="193"/>
      <c r="L89" s="193"/>
      <c r="M89" s="193"/>
      <c r="N89" s="193"/>
      <c r="O89" s="194"/>
      <c r="S89" s="627"/>
      <c r="T89" s="627"/>
      <c r="U89" s="627"/>
      <c r="V89" s="627"/>
      <c r="W89" s="627"/>
      <c r="X89" s="627"/>
      <c r="Y89" s="627"/>
      <c r="Z89" s="627"/>
      <c r="AA89" s="627"/>
      <c r="AB89" s="627"/>
      <c r="AC89" s="627"/>
      <c r="AD89" s="627"/>
      <c r="AE89" s="627"/>
      <c r="AF89" s="627"/>
      <c r="AG89" s="627"/>
      <c r="AH89" s="225"/>
      <c r="AI89" s="225"/>
      <c r="AJ89" s="225"/>
    </row>
    <row r="90" spans="2:36" ht="12.95" customHeight="1" x14ac:dyDescent="0.2">
      <c r="B90" s="270"/>
      <c r="C90" s="193"/>
      <c r="D90" s="209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4"/>
      <c r="S90" s="627"/>
      <c r="T90" s="627"/>
      <c r="U90" s="627"/>
      <c r="V90" s="627"/>
      <c r="W90" s="627"/>
      <c r="X90" s="627"/>
      <c r="Y90" s="627"/>
      <c r="Z90" s="627"/>
      <c r="AA90" s="627"/>
      <c r="AB90" s="627"/>
      <c r="AC90" s="627"/>
      <c r="AD90" s="627"/>
      <c r="AE90" s="627"/>
      <c r="AF90" s="627"/>
      <c r="AG90" s="627"/>
      <c r="AH90" s="225"/>
      <c r="AI90" s="225"/>
      <c r="AJ90" s="225"/>
    </row>
    <row r="91" spans="2:36" ht="12.95" customHeight="1" x14ac:dyDescent="0.2">
      <c r="B91" s="195"/>
      <c r="C91" s="193"/>
      <c r="D91" s="273"/>
      <c r="E91" s="193"/>
      <c r="F91" s="193"/>
      <c r="G91" s="193"/>
      <c r="H91" s="193"/>
      <c r="I91" s="193"/>
      <c r="J91" s="193"/>
      <c r="K91" s="193"/>
      <c r="L91" s="193"/>
      <c r="M91" s="193"/>
      <c r="N91" s="193"/>
      <c r="O91" s="194"/>
      <c r="S91" s="627"/>
      <c r="T91" s="627"/>
      <c r="U91" s="627"/>
      <c r="V91" s="627"/>
      <c r="W91" s="627"/>
      <c r="X91" s="627"/>
      <c r="Y91" s="627"/>
      <c r="Z91" s="627"/>
      <c r="AA91" s="627"/>
      <c r="AB91" s="627"/>
      <c r="AC91" s="627"/>
      <c r="AD91" s="627"/>
      <c r="AE91" s="627"/>
      <c r="AF91" s="627"/>
      <c r="AG91" s="627"/>
      <c r="AH91" s="225"/>
      <c r="AI91" s="225"/>
      <c r="AJ91" s="225"/>
    </row>
    <row r="92" spans="2:36" ht="12.95" customHeight="1" x14ac:dyDescent="0.2">
      <c r="B92" s="195"/>
      <c r="C92" s="210"/>
      <c r="D92" s="271"/>
      <c r="E92" s="211"/>
      <c r="F92" s="193"/>
      <c r="G92" s="193"/>
      <c r="H92" s="193"/>
      <c r="I92" s="243" t="s">
        <v>94</v>
      </c>
      <c r="J92" s="268" t="s">
        <v>95</v>
      </c>
      <c r="K92" s="268"/>
      <c r="L92" s="268"/>
      <c r="M92" s="269">
        <f>IF(G8=0,0,F88)</f>
        <v>0</v>
      </c>
      <c r="N92" s="193"/>
      <c r="O92" s="194"/>
      <c r="S92" s="627"/>
      <c r="T92" s="627"/>
      <c r="U92" s="627"/>
      <c r="V92" s="627"/>
      <c r="W92" s="627"/>
      <c r="X92" s="627"/>
      <c r="Y92" s="627"/>
      <c r="Z92" s="627"/>
      <c r="AA92" s="627"/>
      <c r="AB92" s="627"/>
      <c r="AC92" s="627"/>
      <c r="AD92" s="627"/>
      <c r="AE92" s="627"/>
      <c r="AF92" s="627"/>
      <c r="AG92" s="627"/>
      <c r="AH92" s="225"/>
      <c r="AI92" s="225"/>
      <c r="AJ92" s="225"/>
    </row>
    <row r="93" spans="2:36" ht="12.95" customHeight="1" x14ac:dyDescent="0.2">
      <c r="B93" s="195"/>
      <c r="C93" s="196"/>
      <c r="D93" s="212"/>
      <c r="E93" s="196"/>
      <c r="F93" s="196"/>
      <c r="G93" s="193"/>
      <c r="H93" s="193"/>
      <c r="I93" s="193"/>
      <c r="J93" s="193"/>
      <c r="K93" s="193"/>
      <c r="L93" s="193"/>
      <c r="M93" s="193"/>
      <c r="N93" s="193"/>
      <c r="O93" s="194"/>
      <c r="T93" s="225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225"/>
    </row>
    <row r="94" spans="2:36" ht="12.95" customHeight="1" x14ac:dyDescent="0.2">
      <c r="B94" s="195"/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  <c r="N94" s="193"/>
      <c r="O94" s="194"/>
      <c r="T94" s="225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  <c r="AF94" s="225"/>
      <c r="AG94" s="225"/>
      <c r="AH94" s="225"/>
      <c r="AI94" s="225"/>
      <c r="AJ94" s="225"/>
    </row>
    <row r="95" spans="2:36" ht="12.95" customHeight="1" x14ac:dyDescent="0.2">
      <c r="B95" s="195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4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5"/>
      <c r="AH95" s="225"/>
      <c r="AI95" s="225"/>
      <c r="AJ95" s="225"/>
    </row>
    <row r="96" spans="2:36" ht="12.95" customHeight="1" x14ac:dyDescent="0.2">
      <c r="B96" s="195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4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5"/>
      <c r="AH96" s="225"/>
      <c r="AI96" s="225"/>
      <c r="AJ96" s="225"/>
    </row>
    <row r="97" spans="2:36" ht="12.95" customHeight="1" x14ac:dyDescent="0.2">
      <c r="B97" s="195"/>
      <c r="C97" s="193"/>
      <c r="D97" s="272"/>
      <c r="E97" s="211"/>
      <c r="F97" s="213"/>
      <c r="G97" s="214"/>
      <c r="H97" s="215"/>
      <c r="I97" s="193"/>
      <c r="J97" s="216"/>
      <c r="K97" s="216"/>
      <c r="L97" s="193"/>
      <c r="M97" s="193"/>
      <c r="N97" s="193"/>
      <c r="O97" s="194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5"/>
      <c r="AH97" s="225"/>
      <c r="AI97" s="225"/>
      <c r="AJ97" s="225"/>
    </row>
    <row r="98" spans="2:36" ht="12.95" customHeight="1" x14ac:dyDescent="0.2">
      <c r="B98" s="195"/>
      <c r="C98" s="193"/>
      <c r="D98" s="217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4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  <c r="AF98" s="225"/>
      <c r="AG98" s="225"/>
      <c r="AH98" s="225"/>
      <c r="AI98" s="225"/>
      <c r="AJ98" s="225"/>
    </row>
    <row r="99" spans="2:36" ht="12.95" customHeight="1" thickBot="1" x14ac:dyDescent="0.25">
      <c r="B99" s="218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20"/>
      <c r="T99" s="225"/>
      <c r="U99" s="225"/>
      <c r="V99" s="225"/>
      <c r="W99" s="225"/>
      <c r="X99" s="225"/>
      <c r="Y99" s="225"/>
      <c r="Z99" s="225"/>
      <c r="AA99" s="225"/>
      <c r="AB99" s="225"/>
      <c r="AC99" s="225"/>
      <c r="AD99" s="225"/>
      <c r="AE99" s="225"/>
      <c r="AF99" s="225"/>
      <c r="AG99" s="225"/>
      <c r="AH99" s="225"/>
      <c r="AI99" s="225"/>
      <c r="AJ99" s="225"/>
    </row>
    <row r="100" spans="2:36" ht="12.95" customHeight="1" x14ac:dyDescent="0.2">
      <c r="T100" s="225"/>
      <c r="U100" s="225"/>
      <c r="V100" s="225"/>
      <c r="W100" s="225"/>
      <c r="X100" s="225"/>
      <c r="Y100" s="225"/>
      <c r="Z100" s="225"/>
      <c r="AA100" s="225"/>
      <c r="AB100" s="225"/>
      <c r="AC100" s="225"/>
      <c r="AD100" s="225"/>
      <c r="AE100" s="225"/>
      <c r="AF100" s="225"/>
      <c r="AG100" s="225"/>
      <c r="AH100" s="225"/>
      <c r="AI100" s="225"/>
      <c r="AJ100" s="225"/>
    </row>
    <row r="101" spans="2:36" ht="12.95" customHeight="1" x14ac:dyDescent="0.2">
      <c r="T101" s="225"/>
      <c r="U101" s="225"/>
      <c r="V101" s="225"/>
      <c r="W101" s="225"/>
      <c r="X101" s="225"/>
      <c r="Y101" s="225"/>
      <c r="Z101" s="225"/>
      <c r="AA101" s="225"/>
      <c r="AB101" s="225"/>
      <c r="AC101" s="225"/>
      <c r="AD101" s="225"/>
      <c r="AE101" s="225"/>
      <c r="AF101" s="225"/>
      <c r="AG101" s="225"/>
      <c r="AH101" s="225"/>
      <c r="AI101" s="225"/>
      <c r="AJ101" s="225"/>
    </row>
    <row r="102" spans="2:36" ht="12.95" customHeight="1" x14ac:dyDescent="0.2">
      <c r="T102" s="225"/>
      <c r="U102" s="225"/>
      <c r="V102" s="225"/>
      <c r="W102" s="225"/>
      <c r="X102" s="225"/>
      <c r="Y102" s="225"/>
      <c r="Z102" s="225"/>
      <c r="AA102" s="225"/>
      <c r="AB102" s="225"/>
      <c r="AC102" s="225"/>
      <c r="AD102" s="225"/>
      <c r="AE102" s="225"/>
      <c r="AF102" s="225"/>
      <c r="AG102" s="225"/>
      <c r="AH102" s="225"/>
      <c r="AI102" s="225"/>
      <c r="AJ102" s="225"/>
    </row>
    <row r="103" spans="2:36" ht="12.95" customHeight="1" x14ac:dyDescent="0.2">
      <c r="T103" s="225"/>
      <c r="U103" s="225"/>
      <c r="V103" s="225"/>
      <c r="W103" s="225"/>
      <c r="X103" s="225"/>
      <c r="Y103" s="225"/>
      <c r="Z103" s="225"/>
      <c r="AA103" s="225"/>
      <c r="AB103" s="225"/>
      <c r="AC103" s="225"/>
      <c r="AD103" s="225"/>
      <c r="AE103" s="225"/>
      <c r="AF103" s="225"/>
      <c r="AG103" s="225"/>
      <c r="AH103" s="225"/>
      <c r="AI103" s="225"/>
      <c r="AJ103" s="225"/>
    </row>
    <row r="104" spans="2:36" ht="12.95" customHeight="1" x14ac:dyDescent="0.2">
      <c r="T104" s="225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25"/>
      <c r="AF104" s="225"/>
      <c r="AG104" s="225"/>
      <c r="AH104" s="225"/>
      <c r="AI104" s="225"/>
      <c r="AJ104" s="225"/>
    </row>
    <row r="105" spans="2:36" ht="12.95" customHeight="1" x14ac:dyDescent="0.2">
      <c r="T105" s="225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25"/>
      <c r="AF105" s="225"/>
      <c r="AG105" s="225"/>
      <c r="AH105" s="225"/>
      <c r="AI105" s="225"/>
      <c r="AJ105" s="225"/>
    </row>
    <row r="106" spans="2:36" ht="12.95" customHeight="1" x14ac:dyDescent="0.2"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25"/>
      <c r="AF106" s="225"/>
      <c r="AG106" s="225"/>
      <c r="AH106" s="225"/>
      <c r="AI106" s="225"/>
      <c r="AJ106" s="225"/>
    </row>
    <row r="107" spans="2:36" ht="12.95" customHeight="1" x14ac:dyDescent="0.2">
      <c r="T107" s="225"/>
      <c r="U107" s="225"/>
      <c r="V107" s="225"/>
      <c r="W107" s="225"/>
      <c r="X107" s="225"/>
      <c r="Y107" s="225"/>
      <c r="Z107" s="225"/>
      <c r="AA107" s="225"/>
      <c r="AB107" s="225"/>
      <c r="AC107" s="225"/>
      <c r="AD107" s="225"/>
      <c r="AE107" s="225"/>
      <c r="AF107" s="225"/>
      <c r="AG107" s="225"/>
      <c r="AH107" s="225"/>
      <c r="AI107" s="225"/>
      <c r="AJ107" s="225"/>
    </row>
    <row r="108" spans="2:36" ht="12.95" customHeight="1" x14ac:dyDescent="0.2">
      <c r="C108" s="145"/>
      <c r="D108" s="145"/>
      <c r="E108" s="145"/>
      <c r="F108" s="145"/>
      <c r="G108" s="145"/>
      <c r="H108" s="145"/>
      <c r="T108" s="225"/>
      <c r="U108" s="225"/>
      <c r="V108" s="225"/>
      <c r="W108" s="225"/>
      <c r="X108" s="225"/>
      <c r="Y108" s="225"/>
      <c r="Z108" s="225"/>
      <c r="AA108" s="225"/>
      <c r="AB108" s="225"/>
      <c r="AC108" s="225"/>
      <c r="AD108" s="225"/>
      <c r="AE108" s="225"/>
      <c r="AF108" s="225"/>
      <c r="AG108" s="225"/>
      <c r="AH108" s="225"/>
      <c r="AI108" s="225"/>
      <c r="AJ108" s="225"/>
    </row>
    <row r="109" spans="2:36" ht="12.95" customHeight="1" x14ac:dyDescent="0.2">
      <c r="T109" s="225"/>
      <c r="U109" s="225"/>
      <c r="V109" s="225"/>
      <c r="W109" s="225"/>
      <c r="X109" s="225"/>
      <c r="Y109" s="225"/>
      <c r="Z109" s="225"/>
      <c r="AA109" s="225"/>
      <c r="AB109" s="225"/>
      <c r="AC109" s="225"/>
      <c r="AD109" s="225"/>
      <c r="AE109" s="225"/>
      <c r="AF109" s="225"/>
      <c r="AG109" s="225"/>
      <c r="AH109" s="225"/>
      <c r="AI109" s="225"/>
      <c r="AJ109" s="225"/>
    </row>
    <row r="110" spans="2:36" ht="12.95" customHeight="1" x14ac:dyDescent="0.2">
      <c r="T110" s="225"/>
      <c r="U110" s="225"/>
      <c r="V110" s="225"/>
      <c r="W110" s="225"/>
      <c r="X110" s="225"/>
      <c r="Y110" s="225"/>
      <c r="Z110" s="225"/>
      <c r="AA110" s="225"/>
      <c r="AB110" s="225"/>
      <c r="AC110" s="225"/>
      <c r="AD110" s="225"/>
      <c r="AE110" s="225"/>
      <c r="AF110" s="225"/>
      <c r="AG110" s="225"/>
      <c r="AH110" s="225"/>
      <c r="AI110" s="225"/>
      <c r="AJ110" s="225"/>
    </row>
    <row r="111" spans="2:36" ht="12.95" customHeight="1" x14ac:dyDescent="0.2">
      <c r="T111" s="225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  <c r="AE111" s="225"/>
      <c r="AF111" s="225"/>
      <c r="AG111" s="225"/>
      <c r="AH111" s="225"/>
      <c r="AI111" s="225"/>
      <c r="AJ111" s="225"/>
    </row>
    <row r="112" spans="2:36" ht="12.95" customHeight="1" x14ac:dyDescent="0.2"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25"/>
      <c r="AF112" s="225"/>
      <c r="AG112" s="225"/>
      <c r="AH112" s="225"/>
      <c r="AI112" s="225"/>
      <c r="AJ112" s="225"/>
    </row>
    <row r="113" spans="20:36" ht="12.95" customHeight="1" x14ac:dyDescent="0.2">
      <c r="T113" s="225"/>
      <c r="U113" s="225"/>
      <c r="V113" s="225"/>
      <c r="W113" s="225"/>
      <c r="X113" s="225"/>
      <c r="Y113" s="225"/>
      <c r="Z113" s="225"/>
      <c r="AA113" s="225"/>
      <c r="AB113" s="225"/>
      <c r="AC113" s="225"/>
      <c r="AD113" s="225"/>
      <c r="AE113" s="225"/>
      <c r="AF113" s="225"/>
      <c r="AG113" s="225"/>
      <c r="AH113" s="225"/>
      <c r="AI113" s="225"/>
      <c r="AJ113" s="225"/>
    </row>
  </sheetData>
  <sheetProtection sheet="1" selectLockedCells="1"/>
  <mergeCells count="19">
    <mergeCell ref="L12:M12"/>
    <mergeCell ref="D8:E9"/>
    <mergeCell ref="L8:L9"/>
    <mergeCell ref="D11:E11"/>
    <mergeCell ref="C22:G27"/>
    <mergeCell ref="K22:K23"/>
    <mergeCell ref="L22:N28"/>
    <mergeCell ref="A19:A62"/>
    <mergeCell ref="B79:B80"/>
    <mergeCell ref="S21:S44"/>
    <mergeCell ref="C18:N19"/>
    <mergeCell ref="AE22:AJ64"/>
    <mergeCell ref="B32:B33"/>
    <mergeCell ref="I32:O34"/>
    <mergeCell ref="B55:B56"/>
    <mergeCell ref="B65:B66"/>
    <mergeCell ref="B70:B71"/>
    <mergeCell ref="B74:B75"/>
    <mergeCell ref="S77:AG92"/>
  </mergeCells>
  <conditionalFormatting sqref="D92">
    <cfRule type="containsErrors" dxfId="9" priority="2" stopIfTrue="1">
      <formula>ISERROR(D92)</formula>
    </cfRule>
  </conditionalFormatting>
  <conditionalFormatting sqref="D97">
    <cfRule type="containsErrors" dxfId="8" priority="1" stopIfTrue="1">
      <formula>ISERROR(D97)</formula>
    </cfRule>
  </conditionalFormatting>
  <hyperlinks>
    <hyperlink ref="M14" location="Structure!T77" display="See Below" xr:uid="{00000000-0004-0000-0300-000000000000}"/>
    <hyperlink ref="D8" r:id="rId1" display="ITN; from graph, figure III-1" xr:uid="{00000000-0004-0000-0300-000001000000}"/>
    <hyperlink ref="D8:E9" location="Structure!A19" display="Structure!A19" xr:uid="{00000000-0004-0000-0300-000002000000}"/>
    <hyperlink ref="D11:E11" location="Structure!AE22" display="Surface Ratings" xr:uid="{00000000-0004-0000-0300-000003000000}"/>
  </hyperlinks>
  <pageMargins left="0.7" right="0.7" top="0.75" bottom="0.75" header="0.3" footer="0.3"/>
  <pageSetup orientation="portrait" horizontalDpi="4294967295" verticalDpi="4294967295" r:id="rId2"/>
  <drawing r:id="rId3"/>
  <legacyDrawing r:id="rId4"/>
  <oleObjects>
    <mc:AlternateContent xmlns:mc="http://schemas.openxmlformats.org/markup-compatibility/2006">
      <mc:Choice Requires="x14">
        <oleObject progId="Acrobat Document" shapeId="12290" r:id="rId5">
          <objectPr defaultSize="0" autoPict="0" r:id="rId6">
            <anchor moveWithCells="1">
              <from>
                <xdr:col>11</xdr:col>
                <xdr:colOff>104775</xdr:colOff>
                <xdr:row>21</xdr:row>
                <xdr:rowOff>28575</xdr:rowOff>
              </from>
              <to>
                <xdr:col>13</xdr:col>
                <xdr:colOff>438150</xdr:colOff>
                <xdr:row>28</xdr:row>
                <xdr:rowOff>19050</xdr:rowOff>
              </to>
            </anchor>
          </objectPr>
        </oleObject>
      </mc:Choice>
      <mc:Fallback>
        <oleObject progId="Acrobat Document" shapeId="12290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AC38"/>
  <sheetViews>
    <sheetView showGridLines="0" workbookViewId="0">
      <selection activeCell="G12" sqref="G12"/>
    </sheetView>
  </sheetViews>
  <sheetFormatPr defaultRowHeight="12.75" customHeight="1" x14ac:dyDescent="0.2"/>
  <cols>
    <col min="1" max="1" width="2.42578125" style="467" customWidth="1"/>
    <col min="2" max="2" width="3.42578125" style="467" customWidth="1"/>
    <col min="3" max="11" width="6.85546875" style="467" customWidth="1"/>
    <col min="12" max="12" width="4.42578125" style="467" customWidth="1"/>
    <col min="13" max="16" width="6.85546875" style="467" customWidth="1"/>
    <col min="17" max="16384" width="9.140625" style="467"/>
  </cols>
  <sheetData>
    <row r="3" spans="2:29" ht="12.75" customHeight="1" thickBot="1" x14ac:dyDescent="0.25"/>
    <row r="4" spans="2:29" ht="12.75" customHeight="1" x14ac:dyDescent="0.2">
      <c r="B4" s="468"/>
      <c r="C4" s="469"/>
      <c r="D4" s="470"/>
      <c r="E4" s="652" t="s">
        <v>434</v>
      </c>
      <c r="F4" s="652"/>
      <c r="G4" s="652"/>
      <c r="H4" s="652"/>
      <c r="I4" s="652"/>
      <c r="J4" s="652"/>
      <c r="K4" s="652"/>
      <c r="L4" s="652"/>
      <c r="M4" s="657" t="s">
        <v>450</v>
      </c>
      <c r="N4" s="657"/>
      <c r="O4" s="658"/>
    </row>
    <row r="5" spans="2:29" ht="12.75" customHeight="1" x14ac:dyDescent="0.2">
      <c r="B5" s="471"/>
      <c r="C5" s="472"/>
      <c r="D5" s="472"/>
      <c r="E5" s="653"/>
      <c r="F5" s="653"/>
      <c r="G5" s="653"/>
      <c r="H5" s="653"/>
      <c r="I5" s="653"/>
      <c r="J5" s="653"/>
      <c r="K5" s="653"/>
      <c r="L5" s="653"/>
      <c r="M5" s="659"/>
      <c r="N5" s="659"/>
      <c r="O5" s="660"/>
    </row>
    <row r="6" spans="2:29" ht="12.75" customHeight="1" thickBot="1" x14ac:dyDescent="0.25">
      <c r="B6" s="471"/>
      <c r="C6" s="474"/>
      <c r="D6" s="475"/>
      <c r="E6" s="475"/>
      <c r="F6" s="475"/>
      <c r="G6" s="475"/>
      <c r="H6" s="22"/>
      <c r="I6" s="475"/>
      <c r="J6" s="475"/>
      <c r="K6" s="475"/>
      <c r="L6" s="475"/>
      <c r="M6" s="659"/>
      <c r="N6" s="659"/>
      <c r="O6" s="660"/>
    </row>
    <row r="7" spans="2:29" ht="12.75" customHeight="1" x14ac:dyDescent="0.2">
      <c r="B7" s="471"/>
      <c r="C7" s="459"/>
      <c r="D7" s="654" t="s">
        <v>435</v>
      </c>
      <c r="E7" s="654"/>
      <c r="F7" s="654"/>
      <c r="G7" s="654"/>
      <c r="H7" s="476"/>
      <c r="I7" s="476"/>
      <c r="J7" s="477"/>
      <c r="K7" s="477"/>
      <c r="L7" s="477"/>
      <c r="M7" s="477"/>
      <c r="N7" s="478"/>
      <c r="O7" s="473"/>
      <c r="R7" s="540"/>
      <c r="S7" s="541"/>
      <c r="T7" s="541"/>
      <c r="U7" s="541"/>
      <c r="V7" s="541"/>
      <c r="W7" s="541"/>
      <c r="X7" s="541"/>
      <c r="Y7" s="541"/>
      <c r="Z7" s="541"/>
      <c r="AA7" s="541"/>
      <c r="AB7" s="541"/>
      <c r="AC7" s="542"/>
    </row>
    <row r="8" spans="2:29" ht="12.75" customHeight="1" x14ac:dyDescent="0.2">
      <c r="B8" s="471"/>
      <c r="C8" s="479"/>
      <c r="D8" s="582"/>
      <c r="E8" s="22" t="s">
        <v>436</v>
      </c>
      <c r="F8" s="582"/>
      <c r="G8" s="582"/>
      <c r="H8" s="582"/>
      <c r="I8" s="582"/>
      <c r="J8" s="480"/>
      <c r="K8" s="480"/>
      <c r="L8" s="480"/>
      <c r="M8" s="480"/>
      <c r="N8" s="582"/>
      <c r="O8" s="473"/>
      <c r="R8" s="543"/>
      <c r="S8" s="544" t="s">
        <v>447</v>
      </c>
      <c r="T8" s="545"/>
      <c r="U8" s="545"/>
      <c r="V8" s="545"/>
      <c r="W8" s="545"/>
      <c r="X8" s="545"/>
      <c r="Y8" s="545"/>
      <c r="Z8" s="214"/>
      <c r="AA8" s="214"/>
      <c r="AB8" s="193"/>
      <c r="AC8" s="546"/>
    </row>
    <row r="9" spans="2:29" ht="12.75" customHeight="1" x14ac:dyDescent="0.2">
      <c r="B9" s="471"/>
      <c r="C9" s="479"/>
      <c r="D9" s="582"/>
      <c r="E9" s="582"/>
      <c r="F9" s="582"/>
      <c r="G9" s="22"/>
      <c r="H9" s="582"/>
      <c r="I9" s="582"/>
      <c r="J9" s="480"/>
      <c r="K9" s="480"/>
      <c r="L9" s="480"/>
      <c r="M9" s="480"/>
      <c r="N9" s="582"/>
      <c r="O9" s="473"/>
      <c r="R9" s="543"/>
      <c r="S9" s="214" t="s">
        <v>131</v>
      </c>
      <c r="T9" s="214"/>
      <c r="U9" s="214"/>
      <c r="V9" s="214"/>
      <c r="W9" s="214"/>
      <c r="X9" s="214"/>
      <c r="Y9" s="214"/>
      <c r="Z9" s="214"/>
      <c r="AA9" s="214"/>
      <c r="AB9" s="193"/>
      <c r="AC9" s="546"/>
    </row>
    <row r="10" spans="2:29" ht="12.75" customHeight="1" x14ac:dyDescent="0.2">
      <c r="B10" s="471"/>
      <c r="C10" s="481"/>
      <c r="D10" s="481"/>
      <c r="E10" s="481"/>
      <c r="F10" s="481"/>
      <c r="G10" s="481"/>
      <c r="H10" s="481"/>
      <c r="I10" s="482"/>
      <c r="J10" s="483"/>
      <c r="K10" s="483"/>
      <c r="L10" s="483"/>
      <c r="M10" s="483"/>
      <c r="N10" s="461"/>
      <c r="O10" s="473"/>
      <c r="R10" s="543"/>
      <c r="S10" s="214" t="s">
        <v>132</v>
      </c>
      <c r="T10" s="214"/>
      <c r="U10" s="214"/>
      <c r="V10" s="214"/>
      <c r="W10" s="214"/>
      <c r="X10" s="214"/>
      <c r="Y10" s="214"/>
      <c r="Z10" s="214"/>
      <c r="AA10" s="214"/>
      <c r="AB10" s="193"/>
      <c r="AC10" s="546"/>
    </row>
    <row r="11" spans="2:29" ht="12.75" customHeight="1" x14ac:dyDescent="0.2">
      <c r="B11" s="484"/>
      <c r="C11" s="485"/>
      <c r="D11" s="482"/>
      <c r="E11" s="486"/>
      <c r="F11" s="486"/>
      <c r="G11" s="486"/>
      <c r="H11" s="475"/>
      <c r="I11" s="22"/>
      <c r="J11" s="487"/>
      <c r="K11" s="487"/>
      <c r="L11" s="487"/>
      <c r="M11" s="487"/>
      <c r="N11" s="488"/>
      <c r="O11" s="473"/>
      <c r="R11" s="543"/>
      <c r="S11" s="213"/>
      <c r="T11" s="214"/>
      <c r="U11" s="214"/>
      <c r="V11" s="214"/>
      <c r="W11" s="214"/>
      <c r="X11" s="214"/>
      <c r="Y11" s="214"/>
      <c r="Z11" s="214"/>
      <c r="AA11" s="214"/>
      <c r="AB11" s="193"/>
      <c r="AC11" s="546"/>
    </row>
    <row r="12" spans="2:29" ht="12.75" customHeight="1" x14ac:dyDescent="0.25">
      <c r="B12" s="484"/>
      <c r="C12" s="489"/>
      <c r="D12" s="482"/>
      <c r="E12" s="486"/>
      <c r="F12" s="490" t="s">
        <v>437</v>
      </c>
      <c r="G12" s="491"/>
      <c r="H12" s="492"/>
      <c r="I12" s="493"/>
      <c r="J12" s="487"/>
      <c r="K12" s="487"/>
      <c r="L12" s="487"/>
      <c r="M12" s="487"/>
      <c r="N12" s="488"/>
      <c r="O12" s="473"/>
      <c r="R12" s="543"/>
      <c r="S12" s="547" t="s">
        <v>133</v>
      </c>
      <c r="T12" s="213" t="s">
        <v>134</v>
      </c>
      <c r="U12" s="213"/>
      <c r="V12" s="214"/>
      <c r="W12" s="214"/>
      <c r="X12" s="214"/>
      <c r="Y12" s="214"/>
      <c r="Z12" s="214"/>
      <c r="AA12" s="214"/>
      <c r="AB12" s="193"/>
      <c r="AC12" s="546"/>
    </row>
    <row r="13" spans="2:29" ht="12.75" customHeight="1" x14ac:dyDescent="0.2">
      <c r="B13" s="484"/>
      <c r="C13" s="489"/>
      <c r="D13" s="489"/>
      <c r="E13" s="489"/>
      <c r="F13" s="489"/>
      <c r="G13" s="489"/>
      <c r="H13" s="475"/>
      <c r="I13" s="461"/>
      <c r="J13" s="487"/>
      <c r="K13" s="487"/>
      <c r="L13" s="487"/>
      <c r="M13" s="487"/>
      <c r="N13" s="488"/>
      <c r="O13" s="473"/>
      <c r="R13" s="543"/>
      <c r="S13" s="214"/>
      <c r="T13" s="213"/>
      <c r="U13" s="214"/>
      <c r="V13" s="214"/>
      <c r="W13" s="214"/>
      <c r="X13" s="214"/>
      <c r="Y13" s="214"/>
      <c r="Z13" s="214"/>
      <c r="AA13" s="214"/>
      <c r="AB13" s="193"/>
      <c r="AC13" s="546"/>
    </row>
    <row r="14" spans="2:29" ht="12.75" customHeight="1" x14ac:dyDescent="0.2">
      <c r="B14" s="484"/>
      <c r="C14" s="489"/>
      <c r="D14" s="482"/>
      <c r="E14" s="486"/>
      <c r="F14" s="490"/>
      <c r="G14" s="494"/>
      <c r="H14" s="475"/>
      <c r="I14" s="461"/>
      <c r="J14" s="487"/>
      <c r="K14" s="487"/>
      <c r="L14" s="487"/>
      <c r="M14" s="487"/>
      <c r="N14" s="488"/>
      <c r="O14" s="473"/>
      <c r="R14" s="543"/>
      <c r="S14" s="214"/>
      <c r="T14" s="213"/>
      <c r="U14" s="214"/>
      <c r="V14" s="214"/>
      <c r="W14" s="214"/>
      <c r="X14" s="214"/>
      <c r="Y14" s="214"/>
      <c r="Z14" s="214"/>
      <c r="AA14" s="214"/>
      <c r="AB14" s="193"/>
      <c r="AC14" s="546"/>
    </row>
    <row r="15" spans="2:29" ht="12.75" customHeight="1" x14ac:dyDescent="0.2">
      <c r="B15" s="471"/>
      <c r="C15" s="485"/>
      <c r="D15" s="482"/>
      <c r="E15" s="486"/>
      <c r="F15" s="495" t="s">
        <v>438</v>
      </c>
      <c r="G15" s="496">
        <f>IF(G12&lt;=G27,J27,IF(G12&lt;=G28,J28,IF(G12&lt;=G29,J29,IF(G12&lt;=G30,J30,IF(G12&lt;=G31,J31,IF(G12&lt;=G32,J32,IF(G12&lt;=G33,J33,IF(G12&lt;=G34,J34,IF(G12&lt;=G35,J35,IF(G12&lt;=G36,J36,IF(G12&lt;=G37,(G37-G12),0)))))))))))</f>
        <v>20</v>
      </c>
      <c r="H15" s="475"/>
      <c r="I15" s="466"/>
      <c r="J15" s="487"/>
      <c r="K15" s="487"/>
      <c r="L15" s="487"/>
      <c r="M15" s="487"/>
      <c r="N15" s="488"/>
      <c r="O15" s="473"/>
      <c r="R15" s="543"/>
      <c r="S15" s="548">
        <f>IF(G12&gt;0,0,'Traffic &amp; Accidents'!C7)</f>
        <v>0</v>
      </c>
      <c r="T15" s="549" t="s">
        <v>445</v>
      </c>
      <c r="U15" s="213"/>
      <c r="V15" s="550"/>
      <c r="W15" s="214"/>
      <c r="X15" s="214"/>
      <c r="Y15" s="214"/>
      <c r="Z15" s="551"/>
      <c r="AA15" s="552">
        <f>IF((S15/250)*50&gt;50,50,(S15/250)*50)</f>
        <v>0</v>
      </c>
      <c r="AB15" s="193"/>
      <c r="AC15" s="546"/>
    </row>
    <row r="16" spans="2:29" ht="12.75" customHeight="1" thickBot="1" x14ac:dyDescent="0.25">
      <c r="B16" s="471"/>
      <c r="C16" s="485"/>
      <c r="D16" s="482"/>
      <c r="E16" s="495"/>
      <c r="F16" s="522"/>
      <c r="G16" s="475"/>
      <c r="H16" s="495"/>
      <c r="I16" s="507"/>
      <c r="J16" s="487"/>
      <c r="K16" s="489"/>
      <c r="L16" s="489"/>
      <c r="M16" s="487"/>
      <c r="N16" s="488"/>
      <c r="O16" s="473"/>
      <c r="R16" s="553"/>
      <c r="S16" s="554"/>
      <c r="T16" s="554"/>
      <c r="U16" s="554"/>
      <c r="V16" s="554"/>
      <c r="W16" s="554"/>
      <c r="X16" s="554"/>
      <c r="Y16" s="554"/>
      <c r="Z16" s="554"/>
      <c r="AA16" s="554"/>
      <c r="AB16" s="554"/>
      <c r="AC16" s="555"/>
    </row>
    <row r="17" spans="2:15" ht="12.75" customHeight="1" x14ac:dyDescent="0.2">
      <c r="B17" s="471"/>
      <c r="C17" s="485"/>
      <c r="D17" s="482"/>
      <c r="E17" s="486"/>
      <c r="F17" s="486"/>
      <c r="G17" s="486"/>
      <c r="H17" s="475"/>
      <c r="I17" s="466"/>
      <c r="J17" s="487"/>
      <c r="K17" s="487"/>
      <c r="L17" s="487"/>
      <c r="M17" s="487"/>
      <c r="N17" s="488"/>
      <c r="O17" s="473"/>
    </row>
    <row r="18" spans="2:15" ht="12.75" customHeight="1" thickBot="1" x14ac:dyDescent="0.25">
      <c r="B18" s="471"/>
      <c r="C18" s="485"/>
      <c r="D18" s="482"/>
      <c r="E18" s="486"/>
      <c r="F18" s="486"/>
      <c r="G18" s="486"/>
      <c r="H18" s="475"/>
      <c r="I18" s="461"/>
      <c r="J18" s="461"/>
      <c r="K18" s="461"/>
      <c r="L18" s="461"/>
      <c r="M18" s="461"/>
      <c r="N18" s="461"/>
      <c r="O18" s="497"/>
    </row>
    <row r="19" spans="2:15" ht="12.75" customHeight="1" thickTop="1" x14ac:dyDescent="0.2">
      <c r="B19" s="498"/>
      <c r="C19" s="499"/>
      <c r="D19" s="500"/>
      <c r="E19" s="501"/>
      <c r="F19" s="501"/>
      <c r="G19" s="501"/>
      <c r="H19" s="502"/>
      <c r="I19" s="503"/>
      <c r="J19" s="503"/>
      <c r="K19" s="503"/>
      <c r="L19" s="503"/>
      <c r="M19" s="503"/>
      <c r="N19" s="503"/>
      <c r="O19" s="504"/>
    </row>
    <row r="20" spans="2:15" ht="12.75" customHeight="1" x14ac:dyDescent="0.2">
      <c r="B20" s="471"/>
      <c r="C20" s="655" t="s">
        <v>439</v>
      </c>
      <c r="D20" s="655"/>
      <c r="E20" s="655"/>
      <c r="F20" s="655"/>
      <c r="G20" s="655"/>
      <c r="H20" s="655"/>
      <c r="I20" s="655"/>
      <c r="J20" s="655"/>
      <c r="K20" s="655"/>
      <c r="L20" s="655"/>
      <c r="M20" s="655"/>
      <c r="N20" s="461"/>
      <c r="O20" s="497"/>
    </row>
    <row r="21" spans="2:15" ht="12.75" customHeight="1" x14ac:dyDescent="0.2">
      <c r="B21" s="471"/>
      <c r="C21" s="655"/>
      <c r="D21" s="655"/>
      <c r="E21" s="655"/>
      <c r="F21" s="655"/>
      <c r="G21" s="655"/>
      <c r="H21" s="655"/>
      <c r="I21" s="655"/>
      <c r="J21" s="655"/>
      <c r="K21" s="655"/>
      <c r="L21" s="655"/>
      <c r="M21" s="655"/>
      <c r="N21" s="461"/>
      <c r="O21" s="497"/>
    </row>
    <row r="22" spans="2:15" ht="12.75" customHeight="1" x14ac:dyDescent="0.2">
      <c r="B22" s="471"/>
      <c r="C22" s="655"/>
      <c r="D22" s="655"/>
      <c r="E22" s="655"/>
      <c r="F22" s="655"/>
      <c r="G22" s="655"/>
      <c r="H22" s="655"/>
      <c r="I22" s="655"/>
      <c r="J22" s="655"/>
      <c r="K22" s="655"/>
      <c r="L22" s="655"/>
      <c r="M22" s="655"/>
      <c r="N22" s="461"/>
      <c r="O22" s="497"/>
    </row>
    <row r="23" spans="2:15" ht="12.75" customHeight="1" x14ac:dyDescent="0.2">
      <c r="B23" s="471"/>
      <c r="C23" s="505"/>
      <c r="D23" s="506"/>
      <c r="E23" s="506"/>
      <c r="F23" s="506"/>
      <c r="G23" s="506"/>
      <c r="H23" s="506"/>
      <c r="I23" s="506"/>
      <c r="J23" s="506"/>
      <c r="K23" s="506"/>
      <c r="L23" s="506"/>
      <c r="M23" s="506"/>
      <c r="N23" s="461"/>
      <c r="O23" s="497"/>
    </row>
    <row r="24" spans="2:15" ht="12.75" customHeight="1" x14ac:dyDescent="0.2">
      <c r="B24" s="471"/>
      <c r="C24" s="489"/>
      <c r="D24" s="489"/>
      <c r="E24" s="475"/>
      <c r="F24" s="507"/>
      <c r="G24" s="656" t="s">
        <v>63</v>
      </c>
      <c r="H24" s="656"/>
      <c r="I24" s="656"/>
      <c r="J24" s="656"/>
      <c r="K24" s="656"/>
      <c r="L24" s="461"/>
      <c r="M24" s="461"/>
      <c r="N24" s="461"/>
      <c r="O24" s="497"/>
    </row>
    <row r="25" spans="2:15" ht="12.75" customHeight="1" x14ac:dyDescent="0.2">
      <c r="B25" s="471"/>
      <c r="C25" s="489"/>
      <c r="D25" s="489"/>
      <c r="E25" s="489"/>
      <c r="F25" s="489"/>
      <c r="G25" s="489"/>
      <c r="H25" s="508"/>
      <c r="I25" s="508"/>
      <c r="J25" s="508"/>
      <c r="K25" s="508"/>
      <c r="L25" s="461"/>
      <c r="M25" s="461"/>
      <c r="N25" s="461"/>
      <c r="O25" s="497"/>
    </row>
    <row r="26" spans="2:15" ht="12.75" customHeight="1" x14ac:dyDescent="0.2">
      <c r="B26" s="471"/>
      <c r="C26" s="485"/>
      <c r="D26" s="489"/>
      <c r="E26" s="489"/>
      <c r="F26" s="489"/>
      <c r="G26" s="509" t="s">
        <v>440</v>
      </c>
      <c r="H26" s="509"/>
      <c r="I26" s="510"/>
      <c r="J26" s="510" t="s">
        <v>441</v>
      </c>
      <c r="K26" s="489"/>
      <c r="L26" s="461"/>
      <c r="M26" s="461"/>
      <c r="N26" s="461"/>
      <c r="O26" s="497"/>
    </row>
    <row r="27" spans="2:15" ht="12.75" customHeight="1" x14ac:dyDescent="0.2">
      <c r="B27" s="471"/>
      <c r="C27" s="485"/>
      <c r="D27" s="489"/>
      <c r="E27" s="489"/>
      <c r="F27" s="489"/>
      <c r="G27" s="511">
        <v>0</v>
      </c>
      <c r="H27" s="512"/>
      <c r="I27" s="455"/>
      <c r="J27" s="455">
        <v>20</v>
      </c>
      <c r="K27" s="489"/>
      <c r="L27" s="461"/>
      <c r="M27" s="461"/>
      <c r="N27" s="461"/>
      <c r="O27" s="497"/>
    </row>
    <row r="28" spans="2:15" ht="12.75" customHeight="1" x14ac:dyDescent="0.2">
      <c r="B28" s="471"/>
      <c r="C28" s="485"/>
      <c r="D28" s="489"/>
      <c r="E28" s="489"/>
      <c r="F28" s="489"/>
      <c r="G28" s="511">
        <v>10</v>
      </c>
      <c r="H28" s="512"/>
      <c r="I28" s="455"/>
      <c r="J28" s="455">
        <v>25</v>
      </c>
      <c r="K28" s="489"/>
      <c r="L28" s="461"/>
      <c r="M28" s="461"/>
      <c r="N28" s="461"/>
      <c r="O28" s="497"/>
    </row>
    <row r="29" spans="2:15" ht="12.75" customHeight="1" x14ac:dyDescent="0.2">
      <c r="B29" s="471"/>
      <c r="C29" s="485"/>
      <c r="D29" s="489"/>
      <c r="E29" s="489"/>
      <c r="F29" s="489"/>
      <c r="G29" s="511">
        <v>20</v>
      </c>
      <c r="H29" s="512"/>
      <c r="I29" s="455"/>
      <c r="J29" s="455">
        <v>30</v>
      </c>
      <c r="K29" s="489"/>
      <c r="L29" s="461"/>
      <c r="M29" s="461"/>
      <c r="N29" s="461"/>
      <c r="O29" s="497"/>
    </row>
    <row r="30" spans="2:15" ht="12.75" customHeight="1" x14ac:dyDescent="0.2">
      <c r="B30" s="471"/>
      <c r="C30" s="485"/>
      <c r="D30" s="489"/>
      <c r="E30" s="489"/>
      <c r="F30" s="489"/>
      <c r="G30" s="511">
        <v>30</v>
      </c>
      <c r="H30" s="512"/>
      <c r="I30" s="455"/>
      <c r="J30" s="455">
        <v>35</v>
      </c>
      <c r="K30" s="489"/>
      <c r="L30" s="478"/>
      <c r="M30" s="478"/>
      <c r="N30" s="461"/>
      <c r="O30" s="497"/>
    </row>
    <row r="31" spans="2:15" ht="12.75" customHeight="1" x14ac:dyDescent="0.2">
      <c r="B31" s="471"/>
      <c r="C31" s="485"/>
      <c r="D31" s="489"/>
      <c r="E31" s="489"/>
      <c r="F31" s="489"/>
      <c r="G31" s="511">
        <v>40</v>
      </c>
      <c r="H31" s="512"/>
      <c r="I31" s="513"/>
      <c r="J31" s="513">
        <v>40</v>
      </c>
      <c r="K31" s="489"/>
      <c r="L31" s="461"/>
      <c r="M31" s="461"/>
      <c r="N31" s="461"/>
      <c r="O31" s="497"/>
    </row>
    <row r="32" spans="2:15" ht="12.75" customHeight="1" x14ac:dyDescent="0.2">
      <c r="B32" s="471"/>
      <c r="C32" s="485"/>
      <c r="D32" s="489"/>
      <c r="E32" s="489"/>
      <c r="F32" s="489"/>
      <c r="G32" s="511">
        <v>50</v>
      </c>
      <c r="H32" s="512"/>
      <c r="I32" s="455"/>
      <c r="J32" s="455">
        <v>45</v>
      </c>
      <c r="K32" s="489"/>
      <c r="L32" s="461"/>
      <c r="M32" s="461"/>
      <c r="N32" s="461"/>
      <c r="O32" s="497"/>
    </row>
    <row r="33" spans="2:15" ht="12.75" customHeight="1" x14ac:dyDescent="0.2">
      <c r="B33" s="471"/>
      <c r="C33" s="485"/>
      <c r="D33" s="489"/>
      <c r="E33" s="489"/>
      <c r="F33" s="489"/>
      <c r="G33" s="511">
        <v>60</v>
      </c>
      <c r="H33" s="512"/>
      <c r="I33" s="514"/>
      <c r="J33" s="514">
        <v>50</v>
      </c>
      <c r="K33" s="489"/>
      <c r="L33" s="461"/>
      <c r="M33" s="461"/>
      <c r="N33" s="461"/>
      <c r="O33" s="497"/>
    </row>
    <row r="34" spans="2:15" ht="12.75" customHeight="1" x14ac:dyDescent="0.2">
      <c r="B34" s="471"/>
      <c r="C34" s="485"/>
      <c r="D34" s="489"/>
      <c r="E34" s="489"/>
      <c r="F34" s="489"/>
      <c r="G34" s="511">
        <v>70</v>
      </c>
      <c r="H34" s="512"/>
      <c r="I34" s="455"/>
      <c r="J34" s="455">
        <v>40</v>
      </c>
      <c r="K34" s="489"/>
      <c r="L34" s="461"/>
      <c r="M34" s="461"/>
      <c r="N34" s="461"/>
      <c r="O34" s="497"/>
    </row>
    <row r="35" spans="2:15" ht="12.75" customHeight="1" x14ac:dyDescent="0.2">
      <c r="B35" s="471"/>
      <c r="C35" s="485"/>
      <c r="D35" s="489"/>
      <c r="E35" s="489"/>
      <c r="F35" s="489"/>
      <c r="G35" s="511">
        <v>80</v>
      </c>
      <c r="H35" s="512"/>
      <c r="I35" s="455"/>
      <c r="J35" s="455">
        <v>25</v>
      </c>
      <c r="K35" s="489"/>
      <c r="L35" s="461"/>
      <c r="M35" s="461"/>
      <c r="N35" s="461"/>
      <c r="O35" s="497"/>
    </row>
    <row r="36" spans="2:15" ht="12.75" customHeight="1" x14ac:dyDescent="0.2">
      <c r="B36" s="471"/>
      <c r="C36" s="485"/>
      <c r="D36" s="489"/>
      <c r="E36" s="489"/>
      <c r="F36" s="489"/>
      <c r="G36" s="511">
        <v>90</v>
      </c>
      <c r="H36" s="512"/>
      <c r="I36" s="455"/>
      <c r="J36" s="455">
        <v>15</v>
      </c>
      <c r="K36" s="489"/>
      <c r="L36" s="461"/>
      <c r="M36" s="461"/>
      <c r="N36" s="461"/>
      <c r="O36" s="497"/>
    </row>
    <row r="37" spans="2:15" ht="12.75" customHeight="1" x14ac:dyDescent="0.2">
      <c r="B37" s="471"/>
      <c r="C37" s="485"/>
      <c r="D37" s="489"/>
      <c r="E37" s="489"/>
      <c r="F37" s="489"/>
      <c r="G37" s="511">
        <v>100</v>
      </c>
      <c r="H37" s="512"/>
      <c r="I37" s="455"/>
      <c r="J37" s="455">
        <v>0</v>
      </c>
      <c r="K37" s="489"/>
      <c r="L37" s="461"/>
      <c r="M37" s="461"/>
      <c r="N37" s="461"/>
      <c r="O37" s="497"/>
    </row>
    <row r="38" spans="2:15" ht="12.75" customHeight="1" thickBot="1" x14ac:dyDescent="0.25">
      <c r="B38" s="515"/>
      <c r="C38" s="516"/>
      <c r="D38" s="517"/>
      <c r="E38" s="518"/>
      <c r="F38" s="518"/>
      <c r="G38" s="518"/>
      <c r="H38" s="519"/>
      <c r="I38" s="520"/>
      <c r="J38" s="520"/>
      <c r="K38" s="520"/>
      <c r="L38" s="520"/>
      <c r="M38" s="520"/>
      <c r="N38" s="520"/>
      <c r="O38" s="521"/>
    </row>
  </sheetData>
  <sheetProtection algorithmName="SHA-512" hashValue="vWiYxriI7deQKFiJXGR8crQG5Lav35bFERbE576b44fJwqXHVaMDSBF5Yn28d+E7SCzVwjsSWUe0U/S1kNlkGw==" saltValue="XAUm9EreEYB7yavbJgFjGg==" spinCount="100000" sheet="1" selectLockedCells="1"/>
  <mergeCells count="5">
    <mergeCell ref="E4:L5"/>
    <mergeCell ref="D7:G7"/>
    <mergeCell ref="C20:M22"/>
    <mergeCell ref="G24:K24"/>
    <mergeCell ref="M4:O6"/>
  </mergeCells>
  <conditionalFormatting sqref="I12">
    <cfRule type="containsErrors" dxfId="7" priority="1" stopIfTrue="1">
      <formula>ISERROR(I12)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132"/>
  <sheetViews>
    <sheetView showGridLines="0" zoomScale="93" zoomScaleNormal="93" workbookViewId="0">
      <selection activeCell="C24" sqref="C24"/>
    </sheetView>
  </sheetViews>
  <sheetFormatPr defaultColWidth="7.7109375" defaultRowHeight="12.95" customHeight="1" outlineLevelCol="1" x14ac:dyDescent="0.2"/>
  <cols>
    <col min="1" max="9" width="7.7109375" style="264"/>
    <col min="10" max="10" width="8" style="264" customWidth="1"/>
    <col min="11" max="11" width="7.140625" style="264" customWidth="1"/>
    <col min="12" max="13" width="7.7109375" style="264"/>
    <col min="14" max="14" width="8" style="264" customWidth="1" outlineLevel="1"/>
    <col min="15" max="16384" width="7.7109375" style="264"/>
  </cols>
  <sheetData>
    <row r="1" spans="2:70" s="144" customFormat="1" ht="12.95" customHeight="1" x14ac:dyDescent="0.2"/>
    <row r="2" spans="2:70" s="144" customFormat="1" ht="12.95" customHeight="1" x14ac:dyDescent="0.2"/>
    <row r="3" spans="2:70" s="144" customFormat="1" ht="12.95" customHeight="1" thickBot="1" x14ac:dyDescent="0.25">
      <c r="R3" s="627"/>
      <c r="S3" s="627"/>
      <c r="T3" s="627"/>
      <c r="U3" s="627"/>
      <c r="V3" s="627"/>
      <c r="W3" s="627"/>
      <c r="X3" s="627"/>
      <c r="Y3" s="627"/>
      <c r="Z3" s="627"/>
      <c r="AA3" s="627"/>
      <c r="AB3" s="627"/>
      <c r="AC3" s="627"/>
      <c r="AD3" s="627"/>
      <c r="AE3" s="627"/>
      <c r="AF3" s="627"/>
      <c r="AG3" s="627"/>
      <c r="AH3" s="627"/>
      <c r="AI3" s="627"/>
      <c r="AJ3" s="627"/>
      <c r="AK3" s="627"/>
      <c r="AL3" s="627"/>
      <c r="AM3" s="627"/>
      <c r="AN3" s="627"/>
      <c r="AO3" s="627"/>
      <c r="AP3" s="627"/>
    </row>
    <row r="4" spans="2:70" s="144" customFormat="1" ht="12.95" customHeight="1" x14ac:dyDescent="0.2">
      <c r="B4" s="41"/>
      <c r="C4" s="84"/>
      <c r="D4" s="43"/>
      <c r="E4" s="43"/>
      <c r="F4" s="65"/>
      <c r="G4" s="85"/>
      <c r="H4" s="85"/>
      <c r="I4" s="86"/>
      <c r="J4" s="43"/>
      <c r="K4" s="43"/>
      <c r="L4" s="68"/>
      <c r="M4" s="45"/>
      <c r="P4" s="264"/>
      <c r="Q4" s="454"/>
      <c r="R4" s="310" t="s">
        <v>135</v>
      </c>
      <c r="S4" s="148"/>
      <c r="T4" s="148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309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</row>
    <row r="5" spans="2:70" s="144" customFormat="1" ht="12.95" customHeight="1" thickBot="1" x14ac:dyDescent="0.25">
      <c r="B5" s="87" t="s">
        <v>283</v>
      </c>
      <c r="C5" s="17"/>
      <c r="D5" s="7"/>
      <c r="E5" s="7"/>
      <c r="F5" s="22"/>
      <c r="G5" s="20"/>
      <c r="H5" s="20"/>
      <c r="I5" s="73"/>
      <c r="J5" s="7"/>
      <c r="K5" s="7"/>
      <c r="L5" s="7"/>
      <c r="M5" s="47"/>
      <c r="P5" s="264"/>
      <c r="Q5" s="454"/>
      <c r="V5" s="145"/>
      <c r="W5" s="145"/>
      <c r="X5" s="145"/>
      <c r="Y5" s="145"/>
      <c r="Z5" s="145"/>
      <c r="AA5" s="145"/>
      <c r="AB5" s="145"/>
      <c r="AC5" s="145"/>
      <c r="AD5" s="145"/>
      <c r="AE5" s="348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145"/>
      <c r="AR5" s="145"/>
      <c r="AS5" s="145"/>
      <c r="AT5" s="309"/>
      <c r="BF5" s="145"/>
      <c r="BG5" s="145"/>
      <c r="BH5" s="145"/>
      <c r="BI5" s="145"/>
      <c r="BJ5" s="145"/>
      <c r="BK5" s="145"/>
      <c r="BM5" s="145"/>
      <c r="BN5" s="145"/>
      <c r="BO5" s="145"/>
      <c r="BP5" s="145"/>
      <c r="BQ5" s="145"/>
      <c r="BR5" s="145"/>
    </row>
    <row r="6" spans="2:70" s="144" customFormat="1" ht="12.95" customHeight="1" thickTop="1" x14ac:dyDescent="0.2">
      <c r="B6" s="48"/>
      <c r="C6" s="7"/>
      <c r="D6" s="7"/>
      <c r="E6" s="7"/>
      <c r="F6" s="23" t="s">
        <v>300</v>
      </c>
      <c r="G6" s="662" t="s">
        <v>431</v>
      </c>
      <c r="H6" s="662"/>
      <c r="I6" s="17" t="s">
        <v>301</v>
      </c>
      <c r="J6" s="7"/>
      <c r="K6" s="7"/>
      <c r="L6" s="18" t="s">
        <v>302</v>
      </c>
      <c r="M6" s="88"/>
      <c r="N6" s="150"/>
      <c r="O6" s="150"/>
      <c r="P6" s="264"/>
      <c r="Q6" s="454"/>
      <c r="R6" s="402"/>
      <c r="S6" s="403"/>
      <c r="T6" s="404" t="s">
        <v>136</v>
      </c>
      <c r="U6" s="405">
        <f>Geometry!F7</f>
        <v>0</v>
      </c>
      <c r="V6" s="406"/>
      <c r="W6" s="403"/>
      <c r="X6" s="403"/>
      <c r="Y6" s="404" t="s">
        <v>269</v>
      </c>
      <c r="Z6" s="405">
        <f>Geometry!F8</f>
        <v>0</v>
      </c>
      <c r="AA6" s="403"/>
      <c r="AB6" s="407"/>
      <c r="AC6" s="145"/>
      <c r="AD6" s="427"/>
      <c r="AE6" s="425" t="s">
        <v>421</v>
      </c>
      <c r="AF6" s="403"/>
      <c r="AG6" s="403"/>
      <c r="AH6" s="403"/>
      <c r="AI6" s="403"/>
      <c r="AJ6" s="403"/>
      <c r="AK6" s="403"/>
      <c r="AL6" s="403"/>
      <c r="AM6" s="403"/>
      <c r="AN6" s="403"/>
      <c r="AO6" s="403"/>
      <c r="AP6" s="403"/>
      <c r="AQ6" s="403"/>
      <c r="AR6" s="407"/>
      <c r="AS6" s="145"/>
      <c r="AT6" s="414"/>
      <c r="AU6" s="415"/>
      <c r="AV6" s="415"/>
      <c r="AW6" s="415"/>
      <c r="AX6" s="415"/>
      <c r="AY6" s="415"/>
      <c r="AZ6" s="415"/>
      <c r="BA6" s="415"/>
      <c r="BB6" s="415"/>
      <c r="BC6" s="415"/>
      <c r="BD6" s="415"/>
      <c r="BE6" s="416"/>
      <c r="BF6" s="145"/>
      <c r="BG6" s="427"/>
      <c r="BH6" s="403"/>
      <c r="BI6" s="403"/>
      <c r="BJ6" s="403"/>
      <c r="BK6" s="403"/>
      <c r="BL6" s="403"/>
      <c r="BM6" s="403"/>
      <c r="BN6" s="403"/>
      <c r="BO6" s="403"/>
      <c r="BP6" s="403"/>
      <c r="BQ6" s="403"/>
      <c r="BR6" s="407"/>
    </row>
    <row r="7" spans="2:70" s="144" customFormat="1" ht="12.95" customHeight="1" x14ac:dyDescent="0.2">
      <c r="B7" s="48"/>
      <c r="C7" s="285" t="s">
        <v>319</v>
      </c>
      <c r="D7" s="286"/>
      <c r="E7" s="669" t="s">
        <v>331</v>
      </c>
      <c r="F7" s="143"/>
      <c r="G7" s="7"/>
      <c r="H7" s="7"/>
      <c r="I7" s="143"/>
      <c r="J7" s="89" t="str">
        <f>IF(AND(I7&lt;&gt;0,I7&lt;L7,'Traffic &amp; Accidents'!K11=0),"May need Dev. Approval","")</f>
        <v/>
      </c>
      <c r="K7" s="7"/>
      <c r="L7" s="21">
        <f>Geometry!AU38</f>
        <v>22</v>
      </c>
      <c r="M7" s="47" t="s">
        <v>303</v>
      </c>
      <c r="P7" s="264"/>
      <c r="Q7" s="454"/>
      <c r="R7" s="676" t="s">
        <v>422</v>
      </c>
      <c r="S7" s="677"/>
      <c r="T7" s="677"/>
      <c r="U7" s="677"/>
      <c r="V7" s="677"/>
      <c r="W7" s="677"/>
      <c r="X7" s="677"/>
      <c r="Y7" s="677"/>
      <c r="Z7" s="677"/>
      <c r="AA7" s="677"/>
      <c r="AB7" s="678"/>
      <c r="AC7" s="388"/>
      <c r="AD7" s="408"/>
      <c r="AE7" s="300"/>
      <c r="AF7" s="300"/>
      <c r="AG7" s="300"/>
      <c r="AH7" s="300"/>
      <c r="AI7" s="300"/>
      <c r="AJ7" s="300"/>
      <c r="AK7" s="300"/>
      <c r="AL7" s="300"/>
      <c r="AM7" s="300"/>
      <c r="AN7" s="300"/>
      <c r="AO7" s="300"/>
      <c r="AP7" s="300"/>
      <c r="AQ7" s="301"/>
      <c r="AR7" s="392"/>
      <c r="AS7" s="145"/>
      <c r="AT7" s="417"/>
      <c r="AU7" s="418" t="s">
        <v>426</v>
      </c>
      <c r="AV7" s="419"/>
      <c r="AW7" s="419"/>
      <c r="AX7" s="300"/>
      <c r="AY7" s="671" t="s">
        <v>427</v>
      </c>
      <c r="AZ7" s="671"/>
      <c r="BA7" s="671"/>
      <c r="BB7" s="671"/>
      <c r="BC7" s="671"/>
      <c r="BD7" s="671"/>
      <c r="BE7" s="672"/>
      <c r="BF7" s="145"/>
      <c r="BG7" s="408"/>
      <c r="BH7" s="300"/>
      <c r="BI7" s="300"/>
      <c r="BJ7" s="185"/>
      <c r="BK7" s="357"/>
      <c r="BL7" s="370" t="s">
        <v>420</v>
      </c>
      <c r="BM7" s="357"/>
      <c r="BN7" s="300"/>
      <c r="BO7" s="300"/>
      <c r="BP7" s="300"/>
      <c r="BQ7" s="300"/>
      <c r="BR7" s="392"/>
    </row>
    <row r="8" spans="2:70" s="144" customFormat="1" ht="12.95" customHeight="1" x14ac:dyDescent="0.25">
      <c r="B8" s="48"/>
      <c r="C8" s="285" t="s">
        <v>299</v>
      </c>
      <c r="D8" s="286"/>
      <c r="E8" s="670"/>
      <c r="F8" s="143"/>
      <c r="G8" s="673" t="s">
        <v>11</v>
      </c>
      <c r="H8" s="90"/>
      <c r="I8" s="143"/>
      <c r="J8" s="89" t="str">
        <f>IF(AND(I8&lt;&gt;0,I8&lt;L8,'Traffic &amp; Accidents'!K11=0),"May need Dev. Approval","")</f>
        <v/>
      </c>
      <c r="K8" s="7"/>
      <c r="L8" s="21">
        <f>Geometry!AU19</f>
        <v>30</v>
      </c>
      <c r="M8" s="47" t="s">
        <v>304</v>
      </c>
      <c r="P8" s="264"/>
      <c r="Q8" s="454"/>
      <c r="R8" s="676"/>
      <c r="S8" s="677"/>
      <c r="T8" s="677"/>
      <c r="U8" s="677"/>
      <c r="V8" s="677"/>
      <c r="W8" s="677"/>
      <c r="X8" s="677"/>
      <c r="Y8" s="677"/>
      <c r="Z8" s="677"/>
      <c r="AA8" s="677"/>
      <c r="AB8" s="678"/>
      <c r="AC8" s="388"/>
      <c r="AD8" s="408"/>
      <c r="AE8" s="426" t="s">
        <v>423</v>
      </c>
      <c r="AF8" s="353"/>
      <c r="AG8" s="353"/>
      <c r="AH8" s="353"/>
      <c r="AI8" s="353"/>
      <c r="AJ8" s="300"/>
      <c r="AK8" s="300"/>
      <c r="AL8" s="300"/>
      <c r="AM8" s="300"/>
      <c r="AN8" s="300"/>
      <c r="AO8" s="300"/>
      <c r="AP8" s="300"/>
      <c r="AQ8" s="300"/>
      <c r="AR8" s="392"/>
      <c r="AS8" s="145"/>
      <c r="AT8" s="417"/>
      <c r="AU8" s="314"/>
      <c r="AV8" s="314"/>
      <c r="AW8" s="185"/>
      <c r="AX8" s="185"/>
      <c r="AY8" s="671"/>
      <c r="AZ8" s="671"/>
      <c r="BA8" s="671"/>
      <c r="BB8" s="671"/>
      <c r="BC8" s="671"/>
      <c r="BD8" s="671"/>
      <c r="BE8" s="672"/>
      <c r="BF8" s="145"/>
      <c r="BG8" s="408"/>
      <c r="BH8" s="300"/>
      <c r="BI8" s="300"/>
      <c r="BJ8" s="300"/>
      <c r="BK8" s="300"/>
      <c r="BL8" s="300"/>
      <c r="BM8" s="300"/>
      <c r="BN8" s="300"/>
      <c r="BO8" s="300"/>
      <c r="BP8" s="300"/>
      <c r="BQ8" s="300"/>
      <c r="BR8" s="392"/>
    </row>
    <row r="9" spans="2:70" s="144" customFormat="1" ht="12.95" customHeight="1" x14ac:dyDescent="0.2">
      <c r="B9" s="48"/>
      <c r="C9" s="276"/>
      <c r="D9" s="276"/>
      <c r="E9" s="276"/>
      <c r="F9" s="346"/>
      <c r="G9" s="673"/>
      <c r="H9" s="453"/>
      <c r="I9" s="346"/>
      <c r="J9" s="276"/>
      <c r="K9" s="91"/>
      <c r="L9" s="276"/>
      <c r="M9" s="47"/>
      <c r="P9" s="264"/>
      <c r="Q9" s="454"/>
      <c r="R9" s="676"/>
      <c r="S9" s="677"/>
      <c r="T9" s="677"/>
      <c r="U9" s="677"/>
      <c r="V9" s="677"/>
      <c r="W9" s="677"/>
      <c r="X9" s="677"/>
      <c r="Y9" s="677"/>
      <c r="Z9" s="677"/>
      <c r="AA9" s="677"/>
      <c r="AB9" s="678"/>
      <c r="AC9" s="388"/>
      <c r="AD9" s="408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300"/>
      <c r="AR9" s="392"/>
      <c r="AS9" s="145"/>
      <c r="AT9" s="417"/>
      <c r="AU9" s="312">
        <f>'Traffic &amp; Accidents'!C9</f>
        <v>0</v>
      </c>
      <c r="AV9" s="313" t="s">
        <v>289</v>
      </c>
      <c r="AW9" s="314"/>
      <c r="AX9" s="300"/>
      <c r="AY9" s="300"/>
      <c r="AZ9" s="300"/>
      <c r="BA9" s="300"/>
      <c r="BB9" s="300"/>
      <c r="BC9" s="419"/>
      <c r="BD9" s="314"/>
      <c r="BE9" s="392"/>
      <c r="BF9" s="145"/>
      <c r="BG9" s="408"/>
      <c r="BH9" s="301"/>
      <c r="BI9" s="357" t="s">
        <v>293</v>
      </c>
      <c r="BJ9" s="301"/>
      <c r="BK9" s="301"/>
      <c r="BL9" s="300"/>
      <c r="BM9" s="300"/>
      <c r="BN9" s="301"/>
      <c r="BO9" s="357" t="s">
        <v>293</v>
      </c>
      <c r="BP9" s="301"/>
      <c r="BQ9" s="301"/>
      <c r="BR9" s="392"/>
    </row>
    <row r="10" spans="2:70" s="144" customFormat="1" ht="12.95" customHeight="1" x14ac:dyDescent="0.2">
      <c r="B10" s="48"/>
      <c r="C10" s="287" t="s">
        <v>413</v>
      </c>
      <c r="D10" s="286"/>
      <c r="E10" s="286"/>
      <c r="F10" s="295"/>
      <c r="G10" s="7"/>
      <c r="H10" s="7"/>
      <c r="I10" s="143"/>
      <c r="J10" s="89" t="str">
        <f>IF(AND(I10&lt;&gt;0,I10&lt;L8,'Traffic &amp; Accidents'!K11=0),"Needs Dev. Approval","")</f>
        <v/>
      </c>
      <c r="K10" s="7"/>
      <c r="L10" s="21" t="str">
        <f>IF(F10&lt;&gt;0,Geometry!AU19,"")</f>
        <v/>
      </c>
      <c r="M10" s="47" t="s">
        <v>304</v>
      </c>
      <c r="P10" s="264"/>
      <c r="Q10" s="454"/>
      <c r="R10" s="390"/>
      <c r="S10" s="391" t="s">
        <v>137</v>
      </c>
      <c r="T10" s="391"/>
      <c r="U10" s="391"/>
      <c r="V10" s="391"/>
      <c r="W10" s="305"/>
      <c r="X10" s="377" t="s">
        <v>138</v>
      </c>
      <c r="Y10" s="377"/>
      <c r="Z10" s="377"/>
      <c r="AA10" s="377"/>
      <c r="AB10" s="392"/>
      <c r="AC10" s="145"/>
      <c r="AD10" s="408"/>
      <c r="AE10" s="340" t="s">
        <v>4</v>
      </c>
      <c r="AF10" s="164" t="s">
        <v>61</v>
      </c>
      <c r="AG10" s="163"/>
      <c r="AH10" s="163"/>
      <c r="AI10" s="163"/>
      <c r="AJ10" s="163"/>
      <c r="AK10" s="163"/>
      <c r="AL10" s="163"/>
      <c r="AM10" s="163"/>
      <c r="AN10" s="163"/>
      <c r="AO10" s="164"/>
      <c r="AP10" s="344"/>
      <c r="AQ10" s="300"/>
      <c r="AR10" s="392"/>
      <c r="AS10" s="145"/>
      <c r="AT10" s="417"/>
      <c r="AU10" s="300"/>
      <c r="AV10" s="300"/>
      <c r="AW10" s="314"/>
      <c r="AX10" s="300"/>
      <c r="AY10" s="300"/>
      <c r="AZ10" s="313"/>
      <c r="BA10" s="314"/>
      <c r="BB10" s="313"/>
      <c r="BC10" s="314"/>
      <c r="BD10" s="314"/>
      <c r="BE10" s="392"/>
      <c r="BF10" s="145"/>
      <c r="BG10" s="408"/>
      <c r="BH10" s="300"/>
      <c r="BI10" s="300"/>
      <c r="BJ10" s="300"/>
      <c r="BK10" s="300"/>
      <c r="BL10" s="300"/>
      <c r="BM10" s="300"/>
      <c r="BN10" s="300"/>
      <c r="BO10" s="300"/>
      <c r="BP10" s="300"/>
      <c r="BQ10" s="300"/>
      <c r="BR10" s="392"/>
    </row>
    <row r="11" spans="2:70" s="144" customFormat="1" ht="12.95" customHeight="1" x14ac:dyDescent="0.2">
      <c r="B11" s="48"/>
      <c r="C11" s="287"/>
      <c r="D11" s="286"/>
      <c r="E11" s="286"/>
      <c r="F11" s="455"/>
      <c r="G11" s="276"/>
      <c r="H11" s="7"/>
      <c r="I11" s="7"/>
      <c r="J11" s="7"/>
      <c r="K11" s="7"/>
      <c r="L11" s="92"/>
      <c r="M11" s="47"/>
      <c r="P11" s="264"/>
      <c r="Q11" s="454"/>
      <c r="R11" s="390"/>
      <c r="S11" s="300"/>
      <c r="T11" s="300" t="s">
        <v>139</v>
      </c>
      <c r="U11" s="300"/>
      <c r="V11" s="300"/>
      <c r="W11" s="305"/>
      <c r="X11" s="300"/>
      <c r="Y11" s="300" t="s">
        <v>140</v>
      </c>
      <c r="Z11" s="300"/>
      <c r="AA11" s="300"/>
      <c r="AB11" s="392"/>
      <c r="AC11" s="145"/>
      <c r="AD11" s="408"/>
      <c r="AE11" s="317">
        <f>AE13</f>
        <v>0</v>
      </c>
      <c r="AF11" s="301" t="s">
        <v>150</v>
      </c>
      <c r="AG11" s="300"/>
      <c r="AH11" s="300"/>
      <c r="AI11" s="300"/>
      <c r="AJ11" s="300"/>
      <c r="AK11" s="300"/>
      <c r="AL11" s="300"/>
      <c r="AM11" s="300"/>
      <c r="AN11" s="300"/>
      <c r="AO11" s="301"/>
      <c r="AP11" s="168"/>
      <c r="AQ11" s="300"/>
      <c r="AR11" s="392"/>
      <c r="AS11" s="145"/>
      <c r="AT11" s="417"/>
      <c r="AU11" s="350"/>
      <c r="AV11" s="314"/>
      <c r="AW11" s="314"/>
      <c r="AX11" s="420" t="s">
        <v>429</v>
      </c>
      <c r="AY11" s="420"/>
      <c r="AZ11" s="420"/>
      <c r="BA11" s="420"/>
      <c r="BB11" s="314"/>
      <c r="BC11" s="314"/>
      <c r="BD11" s="314"/>
      <c r="BE11" s="392"/>
      <c r="BF11" s="145"/>
      <c r="BG11" s="428" t="s">
        <v>309</v>
      </c>
      <c r="BH11" s="300"/>
      <c r="BI11" s="301" t="s">
        <v>310</v>
      </c>
      <c r="BJ11" s="305"/>
      <c r="BK11" s="305"/>
      <c r="BL11" s="300"/>
      <c r="BM11" s="327" t="s">
        <v>309</v>
      </c>
      <c r="BN11" s="300"/>
      <c r="BO11" s="301" t="s">
        <v>311</v>
      </c>
      <c r="BP11" s="305"/>
      <c r="BQ11" s="305"/>
      <c r="BR11" s="392"/>
    </row>
    <row r="12" spans="2:70" s="144" customFormat="1" ht="12.95" customHeight="1" x14ac:dyDescent="0.2">
      <c r="B12" s="48"/>
      <c r="C12" s="287"/>
      <c r="D12" s="286"/>
      <c r="E12" s="286"/>
      <c r="F12" s="455"/>
      <c r="G12" s="347" t="s">
        <v>432</v>
      </c>
      <c r="H12" s="7"/>
      <c r="I12" s="7"/>
      <c r="J12" s="7"/>
      <c r="K12" s="7"/>
      <c r="L12" s="92"/>
      <c r="M12" s="47"/>
      <c r="P12" s="264"/>
      <c r="Q12" s="454"/>
      <c r="R12" s="390"/>
      <c r="S12" s="162"/>
      <c r="T12" s="164" t="s">
        <v>61</v>
      </c>
      <c r="U12" s="163"/>
      <c r="V12" s="165"/>
      <c r="W12" s="305"/>
      <c r="X12" s="162"/>
      <c r="Y12" s="164" t="s">
        <v>61</v>
      </c>
      <c r="Z12" s="163"/>
      <c r="AA12" s="165"/>
      <c r="AB12" s="392"/>
      <c r="AC12" s="145"/>
      <c r="AD12" s="408"/>
      <c r="AE12" s="171"/>
      <c r="AF12" s="300"/>
      <c r="AG12" s="300"/>
      <c r="AH12" s="300"/>
      <c r="AI12" s="300"/>
      <c r="AJ12" s="300"/>
      <c r="AK12" s="300"/>
      <c r="AL12" s="300"/>
      <c r="AM12" s="300"/>
      <c r="AN12" s="300"/>
      <c r="AO12" s="301"/>
      <c r="AP12" s="168"/>
      <c r="AQ12" s="300"/>
      <c r="AR12" s="392"/>
      <c r="AS12" s="145"/>
      <c r="AT12" s="417"/>
      <c r="AU12" s="300"/>
      <c r="AV12" s="300"/>
      <c r="AW12" s="314"/>
      <c r="AX12" s="420"/>
      <c r="AY12" s="420"/>
      <c r="AZ12" s="420"/>
      <c r="BA12" s="420"/>
      <c r="BB12" s="314"/>
      <c r="BC12" s="314"/>
      <c r="BD12" s="314"/>
      <c r="BE12" s="392"/>
      <c r="BF12" s="145"/>
      <c r="BG12" s="428" t="s">
        <v>312</v>
      </c>
      <c r="BH12" s="174" t="s">
        <v>141</v>
      </c>
      <c r="BI12" s="174" t="s">
        <v>295</v>
      </c>
      <c r="BJ12" s="174" t="s">
        <v>296</v>
      </c>
      <c r="BK12" s="174" t="s">
        <v>143</v>
      </c>
      <c r="BL12" s="300"/>
      <c r="BM12" s="327" t="s">
        <v>312</v>
      </c>
      <c r="BN12" s="174" t="s">
        <v>141</v>
      </c>
      <c r="BO12" s="174" t="s">
        <v>295</v>
      </c>
      <c r="BP12" s="174" t="s">
        <v>296</v>
      </c>
      <c r="BQ12" s="174" t="s">
        <v>143</v>
      </c>
      <c r="BR12" s="392"/>
    </row>
    <row r="13" spans="2:70" s="144" customFormat="1" ht="12.95" customHeight="1" x14ac:dyDescent="0.2">
      <c r="B13" s="48"/>
      <c r="C13" s="7"/>
      <c r="D13" s="93" t="s">
        <v>212</v>
      </c>
      <c r="E13" s="7"/>
      <c r="F13" s="22"/>
      <c r="G13" s="7"/>
      <c r="H13" s="7"/>
      <c r="I13" s="7"/>
      <c r="J13" s="663" t="str">
        <f>IF(OR(AND(I7&lt;&gt;0,I7&lt;L7),AND(I8&lt;&gt;0,I8&lt;L8),AND(I10&lt;&gt;0,I10&lt;L8)),"Points are reduced for 
below Std proposals","")</f>
        <v/>
      </c>
      <c r="K13" s="663"/>
      <c r="L13" s="92"/>
      <c r="M13" s="47"/>
      <c r="P13" s="264"/>
      <c r="Q13" s="454"/>
      <c r="R13" s="390"/>
      <c r="S13" s="169" t="s">
        <v>141</v>
      </c>
      <c r="T13" s="303" t="s">
        <v>142</v>
      </c>
      <c r="U13" s="303" t="s">
        <v>143</v>
      </c>
      <c r="V13" s="319" t="s">
        <v>63</v>
      </c>
      <c r="W13" s="305"/>
      <c r="X13" s="169" t="s">
        <v>141</v>
      </c>
      <c r="Y13" s="303" t="s">
        <v>142</v>
      </c>
      <c r="Z13" s="303" t="s">
        <v>143</v>
      </c>
      <c r="AA13" s="319" t="s">
        <v>63</v>
      </c>
      <c r="AB13" s="392"/>
      <c r="AC13" s="145"/>
      <c r="AD13" s="408"/>
      <c r="AE13" s="171">
        <f>IF(AND(U6&lt;&gt;0,'Traffic &amp; Accidents'!F22&lt;400),AG13,AE14)</f>
        <v>0</v>
      </c>
      <c r="AF13" s="301" t="s">
        <v>151</v>
      </c>
      <c r="AG13" s="301">
        <f>IF(U6&gt;=20,1,AH13)</f>
        <v>10</v>
      </c>
      <c r="AH13" s="301">
        <f>IF(U6&gt;=19.75,2,AI13)</f>
        <v>10</v>
      </c>
      <c r="AI13" s="301">
        <f>IF(U6&gt;=19.5,3,AJ13)</f>
        <v>10</v>
      </c>
      <c r="AJ13" s="301">
        <f>IF(U6&gt;=19.25,4,AK13)</f>
        <v>10</v>
      </c>
      <c r="AK13" s="301">
        <f>IF(U6&gt;=19,5,AL13)</f>
        <v>10</v>
      </c>
      <c r="AL13" s="301">
        <f>IF(U6&gt;=18.75,6,AM13)</f>
        <v>10</v>
      </c>
      <c r="AM13" s="301">
        <f>IF(U6&gt;=18.5,7,AN13)</f>
        <v>10</v>
      </c>
      <c r="AN13" s="301">
        <f>IF(U6&gt;=18.25,8,AO13)</f>
        <v>10</v>
      </c>
      <c r="AO13" s="301">
        <f>IF(U6&gt;=18,9,AP13)</f>
        <v>10</v>
      </c>
      <c r="AP13" s="168">
        <f>IF(U6&lt;18,10,0)</f>
        <v>10</v>
      </c>
      <c r="AQ13" s="300"/>
      <c r="AR13" s="392"/>
      <c r="AS13" s="145"/>
      <c r="AT13" s="417"/>
      <c r="AU13" s="315">
        <f>Geometry!F8</f>
        <v>0</v>
      </c>
      <c r="AV13" s="313" t="s">
        <v>290</v>
      </c>
      <c r="AW13" s="314"/>
      <c r="AX13" s="314"/>
      <c r="AY13" s="300"/>
      <c r="AZ13" s="314"/>
      <c r="BA13" s="314"/>
      <c r="BB13" s="314"/>
      <c r="BC13" s="316"/>
      <c r="BD13" s="314"/>
      <c r="BE13" s="392"/>
      <c r="BF13" s="145"/>
      <c r="BG13" s="408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92"/>
    </row>
    <row r="14" spans="2:70" s="144" customFormat="1" ht="12.95" customHeight="1" x14ac:dyDescent="0.2">
      <c r="B14" s="48"/>
      <c r="C14" s="17" t="s">
        <v>218</v>
      </c>
      <c r="D14" s="7"/>
      <c r="E14" s="143"/>
      <c r="F14" s="22"/>
      <c r="G14" s="18" t="s">
        <v>276</v>
      </c>
      <c r="H14" s="7"/>
      <c r="I14" s="7"/>
      <c r="J14" s="663"/>
      <c r="K14" s="663"/>
      <c r="L14" s="92"/>
      <c r="M14" s="47"/>
      <c r="P14" s="264"/>
      <c r="Q14" s="454"/>
      <c r="R14" s="390"/>
      <c r="S14" s="169"/>
      <c r="T14" s="303"/>
      <c r="U14" s="303"/>
      <c r="V14" s="319"/>
      <c r="W14" s="305"/>
      <c r="X14" s="169"/>
      <c r="Y14" s="303"/>
      <c r="Z14" s="303"/>
      <c r="AA14" s="319"/>
      <c r="AB14" s="392"/>
      <c r="AC14" s="145"/>
      <c r="AD14" s="408"/>
      <c r="AE14" s="171">
        <f>IF(AND(U6&lt;&gt;0,'Traffic &amp; Accidents'!F22&lt;=2000),AG14,AE15)</f>
        <v>0</v>
      </c>
      <c r="AF14" s="300" t="s">
        <v>142</v>
      </c>
      <c r="AG14" s="301">
        <f>IF(U6&gt;=22,1,AH14)</f>
        <v>10</v>
      </c>
      <c r="AH14" s="301">
        <f>IF(U6&gt;=21.75,2,AI14)</f>
        <v>10</v>
      </c>
      <c r="AI14" s="301">
        <f>IF(U6&gt;=21.5,3,AJ14)</f>
        <v>10</v>
      </c>
      <c r="AJ14" s="301">
        <f>IF(U6&gt;=21.25,4,AK14)</f>
        <v>10</v>
      </c>
      <c r="AK14" s="301">
        <f>IF(U6&gt;=21,5,AL14)</f>
        <v>10</v>
      </c>
      <c r="AL14" s="301">
        <f>IF(U6&gt;=20.75,6,AM14)</f>
        <v>10</v>
      </c>
      <c r="AM14" s="301">
        <f>IF(U6&gt;=20.5,7,AN14)</f>
        <v>10</v>
      </c>
      <c r="AN14" s="301">
        <f>IF(U6&gt;=20.25,8,AO14)</f>
        <v>10</v>
      </c>
      <c r="AO14" s="301">
        <f>IF(U6&gt;=20,9,AP14)</f>
        <v>10</v>
      </c>
      <c r="AP14" s="168">
        <f>IF(U6&lt;20,10,0)</f>
        <v>10</v>
      </c>
      <c r="AQ14" s="300"/>
      <c r="AR14" s="392"/>
      <c r="AS14" s="145"/>
      <c r="AT14" s="417"/>
      <c r="AU14" s="314"/>
      <c r="AV14" s="314"/>
      <c r="AW14" s="314"/>
      <c r="AX14" s="314"/>
      <c r="AY14" s="300"/>
      <c r="AZ14" s="318"/>
      <c r="BA14" s="318"/>
      <c r="BB14" s="313"/>
      <c r="BC14" s="314"/>
      <c r="BD14" s="314"/>
      <c r="BE14" s="392"/>
      <c r="BF14" s="145"/>
      <c r="BG14" s="399">
        <v>20</v>
      </c>
      <c r="BH14" s="301">
        <v>20</v>
      </c>
      <c r="BI14" s="301">
        <v>20</v>
      </c>
      <c r="BJ14" s="301">
        <v>22</v>
      </c>
      <c r="BK14" s="301">
        <v>24</v>
      </c>
      <c r="BL14" s="300"/>
      <c r="BM14" s="327" t="s">
        <v>313</v>
      </c>
      <c r="BN14" s="301">
        <v>2</v>
      </c>
      <c r="BO14" s="301">
        <v>4</v>
      </c>
      <c r="BP14" s="301">
        <v>6</v>
      </c>
      <c r="BQ14" s="301">
        <v>8</v>
      </c>
      <c r="BR14" s="392"/>
    </row>
    <row r="15" spans="2:70" s="144" customFormat="1" ht="12.95" customHeight="1" x14ac:dyDescent="0.2">
      <c r="B15" s="48"/>
      <c r="C15" s="17" t="s">
        <v>219</v>
      </c>
      <c r="D15" s="7"/>
      <c r="E15" s="296"/>
      <c r="F15" s="7"/>
      <c r="G15" s="5">
        <f>Geometry!Q60</f>
        <v>40</v>
      </c>
      <c r="H15" s="7"/>
      <c r="I15" s="7"/>
      <c r="J15" s="7"/>
      <c r="K15" s="7"/>
      <c r="L15" s="7"/>
      <c r="M15" s="47"/>
      <c r="O15" s="262"/>
      <c r="P15" s="264"/>
      <c r="Q15" s="454"/>
      <c r="R15" s="390"/>
      <c r="S15" s="320" t="s">
        <v>144</v>
      </c>
      <c r="T15" s="393" t="s">
        <v>145</v>
      </c>
      <c r="U15" s="393" t="s">
        <v>146</v>
      </c>
      <c r="V15" s="321">
        <v>1</v>
      </c>
      <c r="W15" s="305"/>
      <c r="X15" s="322" t="s">
        <v>147</v>
      </c>
      <c r="Y15" s="394" t="s">
        <v>148</v>
      </c>
      <c r="Z15" s="394" t="s">
        <v>149</v>
      </c>
      <c r="AA15" s="321">
        <v>1</v>
      </c>
      <c r="AB15" s="392"/>
      <c r="AC15" s="145"/>
      <c r="AD15" s="408"/>
      <c r="AE15" s="171">
        <f>IF(AND(U6&lt;&gt;0,'Traffic &amp; Accidents'!F22&gt;2000),AG15,0)</f>
        <v>0</v>
      </c>
      <c r="AF15" s="301" t="s">
        <v>152</v>
      </c>
      <c r="AG15" s="301">
        <f>IF(U6&gt;=24,1,AH15)</f>
        <v>10</v>
      </c>
      <c r="AH15" s="301">
        <f>IF(U6&gt;=23.75,2,AI15)</f>
        <v>10</v>
      </c>
      <c r="AI15" s="301">
        <f>IF(U6&gt;=23.5,3,AJ15)</f>
        <v>10</v>
      </c>
      <c r="AJ15" s="301">
        <f>IF(U6&gt;=23.25,4,AK15)</f>
        <v>10</v>
      </c>
      <c r="AK15" s="301">
        <f>IF(U6&gt;=23,5,AL15)</f>
        <v>10</v>
      </c>
      <c r="AL15" s="301">
        <f>IF(U6&gt;=22.75,6,AM15)</f>
        <v>10</v>
      </c>
      <c r="AM15" s="301">
        <f>IF(U6&gt;=22.5,7,AN15)</f>
        <v>10</v>
      </c>
      <c r="AN15" s="301">
        <f>IF(U6&gt;=22.25,8,AO15)</f>
        <v>10</v>
      </c>
      <c r="AO15" s="301">
        <f>IF(U6&gt;=22,9,AP15)</f>
        <v>10</v>
      </c>
      <c r="AP15" s="168">
        <f>IF(U6&lt;22,10,0)</f>
        <v>10</v>
      </c>
      <c r="AQ15" s="300"/>
      <c r="AR15" s="392"/>
      <c r="AS15" s="145"/>
      <c r="AT15" s="417"/>
      <c r="AU15" s="315">
        <f>IF(Geometry!I8&gt;Geometry!AU19,Geometry!AU19,Geometry!I8)</f>
        <v>0</v>
      </c>
      <c r="AV15" s="313" t="s">
        <v>291</v>
      </c>
      <c r="AW15" s="314"/>
      <c r="AX15" s="314"/>
      <c r="AY15" s="300"/>
      <c r="AZ15" s="318"/>
      <c r="BA15" s="318"/>
      <c r="BB15" s="314"/>
      <c r="BC15" s="314"/>
      <c r="BD15" s="314"/>
      <c r="BE15" s="392"/>
      <c r="BF15" s="145"/>
      <c r="BG15" s="399">
        <v>25</v>
      </c>
      <c r="BH15" s="301">
        <v>20</v>
      </c>
      <c r="BI15" s="301">
        <v>20</v>
      </c>
      <c r="BJ15" s="301">
        <v>22</v>
      </c>
      <c r="BK15" s="301">
        <v>24</v>
      </c>
      <c r="BL15" s="300"/>
      <c r="BM15" s="301"/>
      <c r="BN15" s="301"/>
      <c r="BO15" s="301"/>
      <c r="BP15" s="301"/>
      <c r="BQ15" s="301"/>
      <c r="BR15" s="392"/>
    </row>
    <row r="16" spans="2:70" s="144" customFormat="1" ht="12.95" customHeight="1" x14ac:dyDescent="0.2">
      <c r="B16" s="48"/>
      <c r="C16" s="17" t="s">
        <v>220</v>
      </c>
      <c r="D16" s="7"/>
      <c r="E16" s="143"/>
      <c r="F16" s="7"/>
      <c r="G16" s="19"/>
      <c r="H16" s="19"/>
      <c r="I16" s="7"/>
      <c r="J16" s="7"/>
      <c r="K16" s="7"/>
      <c r="L16" s="7"/>
      <c r="M16" s="47"/>
      <c r="O16" s="262"/>
      <c r="P16" s="264"/>
      <c r="Q16" s="454"/>
      <c r="R16" s="390"/>
      <c r="S16" s="323">
        <v>19.75</v>
      </c>
      <c r="T16" s="395">
        <v>21.75</v>
      </c>
      <c r="U16" s="395">
        <v>23.75</v>
      </c>
      <c r="V16" s="321">
        <v>2</v>
      </c>
      <c r="W16" s="305"/>
      <c r="X16" s="324">
        <v>27.5</v>
      </c>
      <c r="Y16" s="396">
        <v>33.5</v>
      </c>
      <c r="Z16" s="396">
        <v>39.5</v>
      </c>
      <c r="AA16" s="321">
        <v>2</v>
      </c>
      <c r="AB16" s="392"/>
      <c r="AC16" s="145"/>
      <c r="AD16" s="408"/>
      <c r="AE16" s="172"/>
      <c r="AF16" s="173"/>
      <c r="AG16" s="173"/>
      <c r="AH16" s="173"/>
      <c r="AI16" s="173"/>
      <c r="AJ16" s="173"/>
      <c r="AK16" s="173"/>
      <c r="AL16" s="173"/>
      <c r="AM16" s="173"/>
      <c r="AN16" s="173"/>
      <c r="AO16" s="174"/>
      <c r="AP16" s="175"/>
      <c r="AQ16" s="300"/>
      <c r="AR16" s="392"/>
      <c r="AS16" s="145"/>
      <c r="AT16" s="421"/>
      <c r="AU16" s="314"/>
      <c r="AV16" s="314"/>
      <c r="AW16" s="314"/>
      <c r="AX16" s="314"/>
      <c r="AY16" s="300"/>
      <c r="AZ16" s="318"/>
      <c r="BA16" s="318"/>
      <c r="BB16" s="314"/>
      <c r="BC16" s="314"/>
      <c r="BD16" s="314"/>
      <c r="BE16" s="392"/>
      <c r="BF16" s="145"/>
      <c r="BG16" s="399">
        <v>30</v>
      </c>
      <c r="BH16" s="301">
        <v>20</v>
      </c>
      <c r="BI16" s="301">
        <v>20</v>
      </c>
      <c r="BJ16" s="301">
        <v>22</v>
      </c>
      <c r="BK16" s="301">
        <v>24</v>
      </c>
      <c r="BL16" s="300"/>
      <c r="BM16" s="301"/>
      <c r="BN16" s="301"/>
      <c r="BO16" s="301"/>
      <c r="BP16" s="301"/>
      <c r="BQ16" s="301"/>
      <c r="BR16" s="392"/>
    </row>
    <row r="17" spans="2:70" s="144" customFormat="1" ht="12.95" customHeight="1" x14ac:dyDescent="0.2">
      <c r="B17" s="48"/>
      <c r="C17" s="7"/>
      <c r="D17" s="7"/>
      <c r="E17" s="7"/>
      <c r="F17" s="7"/>
      <c r="G17" s="19"/>
      <c r="H17" s="19"/>
      <c r="I17" s="7"/>
      <c r="J17" s="7"/>
      <c r="K17" s="7"/>
      <c r="L17" s="7"/>
      <c r="M17" s="47"/>
      <c r="N17" s="262"/>
      <c r="P17" s="264"/>
      <c r="Q17" s="454"/>
      <c r="R17" s="390"/>
      <c r="S17" s="323">
        <v>19.5</v>
      </c>
      <c r="T17" s="395">
        <v>21.5</v>
      </c>
      <c r="U17" s="395">
        <v>23.5</v>
      </c>
      <c r="V17" s="321">
        <v>3</v>
      </c>
      <c r="W17" s="305"/>
      <c r="X17" s="324">
        <v>27</v>
      </c>
      <c r="Y17" s="396">
        <v>33</v>
      </c>
      <c r="Z17" s="396">
        <v>39</v>
      </c>
      <c r="AA17" s="321">
        <v>3</v>
      </c>
      <c r="AB17" s="392"/>
      <c r="AC17" s="145"/>
      <c r="AD17" s="408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92"/>
      <c r="AS17" s="145"/>
      <c r="AT17" s="417"/>
      <c r="AU17" s="422" t="s">
        <v>430</v>
      </c>
      <c r="AV17" s="314"/>
      <c r="AW17" s="314"/>
      <c r="AX17" s="314"/>
      <c r="AY17" s="300"/>
      <c r="AZ17" s="300"/>
      <c r="BA17" s="300"/>
      <c r="BB17" s="314"/>
      <c r="BC17" s="314"/>
      <c r="BD17" s="314"/>
      <c r="BE17" s="392"/>
      <c r="BF17" s="145"/>
      <c r="BG17" s="399">
        <v>35</v>
      </c>
      <c r="BH17" s="301">
        <v>20</v>
      </c>
      <c r="BI17" s="301">
        <v>22</v>
      </c>
      <c r="BJ17" s="301">
        <v>22</v>
      </c>
      <c r="BK17" s="301">
        <v>24</v>
      </c>
      <c r="BL17" s="300"/>
      <c r="BM17" s="301"/>
      <c r="BN17" s="301"/>
      <c r="BO17" s="301"/>
      <c r="BP17" s="301"/>
      <c r="BQ17" s="301"/>
      <c r="BR17" s="392"/>
    </row>
    <row r="18" spans="2:70" s="144" customFormat="1" ht="12.95" customHeight="1" x14ac:dyDescent="0.2">
      <c r="B18" s="48"/>
      <c r="C18" s="7"/>
      <c r="D18" s="661" t="s">
        <v>342</v>
      </c>
      <c r="E18" s="661"/>
      <c r="F18" s="661"/>
      <c r="G18" s="661"/>
      <c r="H18" s="661"/>
      <c r="I18" s="661"/>
      <c r="J18" s="661"/>
      <c r="K18" s="7"/>
      <c r="L18" s="7"/>
      <c r="M18" s="47"/>
      <c r="N18" s="262"/>
      <c r="P18" s="264"/>
      <c r="Q18" s="454"/>
      <c r="R18" s="390"/>
      <c r="S18" s="323">
        <v>19.25</v>
      </c>
      <c r="T18" s="395">
        <v>21.25</v>
      </c>
      <c r="U18" s="395">
        <v>23.25</v>
      </c>
      <c r="V18" s="321">
        <v>4</v>
      </c>
      <c r="W18" s="305"/>
      <c r="X18" s="324">
        <v>26.5</v>
      </c>
      <c r="Y18" s="396">
        <v>32.5</v>
      </c>
      <c r="Z18" s="396">
        <v>38.5</v>
      </c>
      <c r="AA18" s="321">
        <v>4</v>
      </c>
      <c r="AB18" s="392"/>
      <c r="AC18" s="145"/>
      <c r="AD18" s="408"/>
      <c r="AE18" s="426" t="s">
        <v>424</v>
      </c>
      <c r="AF18" s="353"/>
      <c r="AG18" s="353"/>
      <c r="AH18" s="353"/>
      <c r="AI18" s="300"/>
      <c r="AJ18" s="300"/>
      <c r="AK18" s="300"/>
      <c r="AL18" s="300"/>
      <c r="AM18" s="300"/>
      <c r="AN18" s="300"/>
      <c r="AO18" s="300"/>
      <c r="AP18" s="300"/>
      <c r="AQ18" s="300"/>
      <c r="AR18" s="392"/>
      <c r="AS18" s="145"/>
      <c r="AT18" s="417"/>
      <c r="AU18" s="300"/>
      <c r="AV18" s="300"/>
      <c r="AW18" s="300"/>
      <c r="AX18" s="300"/>
      <c r="AY18" s="300"/>
      <c r="AZ18" s="300"/>
      <c r="BA18" s="350"/>
      <c r="BB18" s="350"/>
      <c r="BC18" s="350"/>
      <c r="BD18" s="350"/>
      <c r="BE18" s="392"/>
      <c r="BF18" s="145"/>
      <c r="BG18" s="399">
        <v>40</v>
      </c>
      <c r="BH18" s="301">
        <v>20</v>
      </c>
      <c r="BI18" s="301">
        <v>22</v>
      </c>
      <c r="BJ18" s="301">
        <v>22</v>
      </c>
      <c r="BK18" s="301">
        <v>24</v>
      </c>
      <c r="BL18" s="300"/>
      <c r="BM18" s="301"/>
      <c r="BN18" s="301"/>
      <c r="BO18" s="301"/>
      <c r="BP18" s="301"/>
      <c r="BQ18" s="301"/>
      <c r="BR18" s="392"/>
    </row>
    <row r="19" spans="2:70" s="144" customFormat="1" ht="12.95" customHeight="1" x14ac:dyDescent="0.2">
      <c r="B19" s="48"/>
      <c r="C19" s="17"/>
      <c r="D19" s="7"/>
      <c r="E19" s="7"/>
      <c r="F19" s="7"/>
      <c r="G19" s="7"/>
      <c r="H19" s="7"/>
      <c r="I19" s="7"/>
      <c r="J19" s="7"/>
      <c r="K19" s="7"/>
      <c r="L19" s="7"/>
      <c r="M19" s="47"/>
      <c r="P19" s="264"/>
      <c r="Q19" s="454"/>
      <c r="R19" s="390"/>
      <c r="S19" s="323">
        <v>19</v>
      </c>
      <c r="T19" s="395">
        <v>21</v>
      </c>
      <c r="U19" s="395">
        <v>23</v>
      </c>
      <c r="V19" s="321">
        <v>5</v>
      </c>
      <c r="W19" s="305"/>
      <c r="X19" s="324">
        <v>26</v>
      </c>
      <c r="Y19" s="396">
        <v>32</v>
      </c>
      <c r="Z19" s="396">
        <v>38</v>
      </c>
      <c r="AA19" s="321">
        <v>5</v>
      </c>
      <c r="AB19" s="392"/>
      <c r="AC19" s="145"/>
      <c r="AD19" s="408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92"/>
      <c r="AS19" s="145"/>
      <c r="AT19" s="417"/>
      <c r="AU19" s="325">
        <f>IF(OR(AU9=7,AU9=8),AU25,AZ25)</f>
        <v>30</v>
      </c>
      <c r="AV19" s="326" t="s">
        <v>428</v>
      </c>
      <c r="AW19" s="314"/>
      <c r="AX19" s="314"/>
      <c r="AY19" s="300"/>
      <c r="AZ19" s="300"/>
      <c r="BA19" s="350"/>
      <c r="BB19" s="350"/>
      <c r="BC19" s="350"/>
      <c r="BD19" s="350"/>
      <c r="BE19" s="392"/>
      <c r="BF19" s="145"/>
      <c r="BG19" s="399">
        <v>45</v>
      </c>
      <c r="BH19" s="301">
        <v>20</v>
      </c>
      <c r="BI19" s="301">
        <v>22</v>
      </c>
      <c r="BJ19" s="301">
        <v>22</v>
      </c>
      <c r="BK19" s="301">
        <v>24</v>
      </c>
      <c r="BL19" s="300"/>
      <c r="BM19" s="301"/>
      <c r="BN19" s="301"/>
      <c r="BO19" s="301"/>
      <c r="BP19" s="301"/>
      <c r="BQ19" s="301"/>
      <c r="BR19" s="392"/>
    </row>
    <row r="20" spans="2:70" s="144" customFormat="1" ht="12.95" customHeight="1" x14ac:dyDescent="0.2">
      <c r="B20" s="48"/>
      <c r="C20" s="668" t="s">
        <v>284</v>
      </c>
      <c r="D20" s="668"/>
      <c r="E20" s="667"/>
      <c r="F20" s="667"/>
      <c r="G20" s="667"/>
      <c r="H20" s="667"/>
      <c r="I20" s="7"/>
      <c r="J20" s="94" t="s">
        <v>285</v>
      </c>
      <c r="K20" s="7"/>
      <c r="L20" s="94"/>
      <c r="M20" s="47"/>
      <c r="O20" s="150"/>
      <c r="P20" s="264"/>
      <c r="Q20" s="454"/>
      <c r="R20" s="390"/>
      <c r="S20" s="323">
        <v>18.75</v>
      </c>
      <c r="T20" s="395">
        <v>20.75</v>
      </c>
      <c r="U20" s="395">
        <v>22.75</v>
      </c>
      <c r="V20" s="321">
        <v>6</v>
      </c>
      <c r="W20" s="305"/>
      <c r="X20" s="324">
        <v>25.5</v>
      </c>
      <c r="Y20" s="396">
        <v>31.5</v>
      </c>
      <c r="Z20" s="396">
        <v>37.5</v>
      </c>
      <c r="AA20" s="321">
        <v>6</v>
      </c>
      <c r="AB20" s="392"/>
      <c r="AC20" s="145"/>
      <c r="AD20" s="408"/>
      <c r="AE20" s="340" t="s">
        <v>4</v>
      </c>
      <c r="AF20" s="164" t="s">
        <v>61</v>
      </c>
      <c r="AG20" s="163"/>
      <c r="AH20" s="163"/>
      <c r="AI20" s="163"/>
      <c r="AJ20" s="163"/>
      <c r="AK20" s="163"/>
      <c r="AL20" s="163"/>
      <c r="AM20" s="163"/>
      <c r="AN20" s="163"/>
      <c r="AO20" s="164"/>
      <c r="AP20" s="344"/>
      <c r="AQ20" s="300"/>
      <c r="AR20" s="392"/>
      <c r="AS20" s="145"/>
      <c r="AT20" s="417"/>
      <c r="AU20" s="327"/>
      <c r="AV20" s="301"/>
      <c r="AW20" s="300"/>
      <c r="AX20" s="350"/>
      <c r="AY20" s="350"/>
      <c r="AZ20" s="350"/>
      <c r="BA20" s="350"/>
      <c r="BB20" s="350"/>
      <c r="BC20" s="350"/>
      <c r="BD20" s="300"/>
      <c r="BE20" s="392"/>
      <c r="BF20" s="145"/>
      <c r="BG20" s="399">
        <v>50</v>
      </c>
      <c r="BH20" s="301">
        <v>20</v>
      </c>
      <c r="BI20" s="301">
        <v>22</v>
      </c>
      <c r="BJ20" s="301">
        <v>22</v>
      </c>
      <c r="BK20" s="301">
        <v>24</v>
      </c>
      <c r="BL20" s="300"/>
      <c r="BM20" s="301"/>
      <c r="BN20" s="301"/>
      <c r="BO20" s="301"/>
      <c r="BP20" s="301"/>
      <c r="BQ20" s="301"/>
      <c r="BR20" s="392"/>
    </row>
    <row r="21" spans="2:70" s="144" customFormat="1" ht="12.95" customHeight="1" x14ac:dyDescent="0.2">
      <c r="B21" s="664"/>
      <c r="C21" s="662" t="s">
        <v>433</v>
      </c>
      <c r="D21" s="662"/>
      <c r="E21" s="7"/>
      <c r="F21" s="7"/>
      <c r="G21" s="666" t="s">
        <v>339</v>
      </c>
      <c r="H21" s="665"/>
      <c r="I21" s="18"/>
      <c r="J21" s="662" t="s">
        <v>433</v>
      </c>
      <c r="K21" s="662"/>
      <c r="L21" s="7"/>
      <c r="M21" s="88"/>
      <c r="O21" s="170"/>
      <c r="P21" s="264"/>
      <c r="Q21" s="454"/>
      <c r="R21" s="390"/>
      <c r="S21" s="323">
        <v>18.5</v>
      </c>
      <c r="T21" s="395">
        <v>20.5</v>
      </c>
      <c r="U21" s="395">
        <v>22.5</v>
      </c>
      <c r="V21" s="321">
        <v>7</v>
      </c>
      <c r="W21" s="305"/>
      <c r="X21" s="324">
        <v>25</v>
      </c>
      <c r="Y21" s="396">
        <v>31</v>
      </c>
      <c r="Z21" s="396">
        <v>37</v>
      </c>
      <c r="AA21" s="321">
        <v>7</v>
      </c>
      <c r="AB21" s="392"/>
      <c r="AC21" s="145"/>
      <c r="AD21" s="408"/>
      <c r="AE21" s="317">
        <f>AE23</f>
        <v>0</v>
      </c>
      <c r="AF21" s="301" t="s">
        <v>150</v>
      </c>
      <c r="AG21" s="300"/>
      <c r="AH21" s="300"/>
      <c r="AI21" s="300"/>
      <c r="AJ21" s="300"/>
      <c r="AK21" s="300"/>
      <c r="AL21" s="300"/>
      <c r="AM21" s="300"/>
      <c r="AN21" s="300"/>
      <c r="AO21" s="301"/>
      <c r="AP21" s="168"/>
      <c r="AQ21" s="300"/>
      <c r="AR21" s="392"/>
      <c r="AS21" s="145"/>
      <c r="AT21" s="417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92"/>
      <c r="BF21" s="145"/>
      <c r="BG21" s="399">
        <v>55</v>
      </c>
      <c r="BH21" s="301">
        <v>22</v>
      </c>
      <c r="BI21" s="301">
        <v>22</v>
      </c>
      <c r="BJ21" s="301">
        <v>24</v>
      </c>
      <c r="BK21" s="301">
        <v>24</v>
      </c>
      <c r="BL21" s="300"/>
      <c r="BM21" s="301"/>
      <c r="BN21" s="301"/>
      <c r="BO21" s="301"/>
      <c r="BP21" s="301"/>
      <c r="BQ21" s="301"/>
      <c r="BR21" s="392"/>
    </row>
    <row r="22" spans="2:70" s="144" customFormat="1" ht="12.95" customHeight="1" x14ac:dyDescent="0.2">
      <c r="B22" s="664"/>
      <c r="C22" s="95" t="s">
        <v>166</v>
      </c>
      <c r="D22" s="95" t="s">
        <v>335</v>
      </c>
      <c r="E22" s="96" t="s">
        <v>336</v>
      </c>
      <c r="F22" s="7"/>
      <c r="G22" s="666"/>
      <c r="H22" s="665"/>
      <c r="I22" s="95" t="s">
        <v>232</v>
      </c>
      <c r="J22" s="97" t="s">
        <v>334</v>
      </c>
      <c r="K22" s="96" t="s">
        <v>335</v>
      </c>
      <c r="L22" s="288" t="s">
        <v>336</v>
      </c>
      <c r="M22" s="289" t="s">
        <v>378</v>
      </c>
      <c r="N22" s="150"/>
      <c r="O22" s="263"/>
      <c r="P22" s="264"/>
      <c r="Q22" s="454"/>
      <c r="R22" s="390"/>
      <c r="S22" s="323">
        <v>18.25</v>
      </c>
      <c r="T22" s="395">
        <v>20.25</v>
      </c>
      <c r="U22" s="395">
        <v>22.25</v>
      </c>
      <c r="V22" s="321">
        <v>8</v>
      </c>
      <c r="W22" s="305"/>
      <c r="X22" s="324">
        <v>24.5</v>
      </c>
      <c r="Y22" s="396">
        <v>30.5</v>
      </c>
      <c r="Z22" s="396">
        <v>36.5</v>
      </c>
      <c r="AA22" s="321">
        <v>8</v>
      </c>
      <c r="AB22" s="392"/>
      <c r="AC22" s="145"/>
      <c r="AD22" s="408"/>
      <c r="AE22" s="171"/>
      <c r="AF22" s="300"/>
      <c r="AG22" s="300"/>
      <c r="AH22" s="300"/>
      <c r="AI22" s="300"/>
      <c r="AJ22" s="300"/>
      <c r="AK22" s="300"/>
      <c r="AL22" s="300"/>
      <c r="AM22" s="300"/>
      <c r="AN22" s="300"/>
      <c r="AO22" s="301"/>
      <c r="AP22" s="168"/>
      <c r="AQ22" s="300"/>
      <c r="AR22" s="392"/>
      <c r="AS22" s="145"/>
      <c r="AT22" s="417"/>
      <c r="AU22" s="681" t="s">
        <v>293</v>
      </c>
      <c r="AV22" s="682"/>
      <c r="AW22" s="682"/>
      <c r="AX22" s="682"/>
      <c r="AY22" s="163"/>
      <c r="AZ22" s="682" t="s">
        <v>294</v>
      </c>
      <c r="BA22" s="682"/>
      <c r="BB22" s="682"/>
      <c r="BC22" s="682"/>
      <c r="BD22" s="165"/>
      <c r="BE22" s="392"/>
      <c r="BF22" s="145"/>
      <c r="BG22" s="399">
        <v>60</v>
      </c>
      <c r="BH22" s="301">
        <v>22</v>
      </c>
      <c r="BI22" s="301">
        <v>22</v>
      </c>
      <c r="BJ22" s="301">
        <v>24</v>
      </c>
      <c r="BK22" s="301">
        <v>24</v>
      </c>
      <c r="BL22" s="300"/>
      <c r="BM22" s="301"/>
      <c r="BN22" s="301"/>
      <c r="BO22" s="301"/>
      <c r="BP22" s="301"/>
      <c r="BQ22" s="301"/>
      <c r="BR22" s="392"/>
    </row>
    <row r="23" spans="2:70" s="144" customFormat="1" ht="12.95" customHeight="1" x14ac:dyDescent="0.2">
      <c r="B23" s="664"/>
      <c r="C23" s="95" t="s">
        <v>210</v>
      </c>
      <c r="D23" s="95" t="s">
        <v>210</v>
      </c>
      <c r="E23" s="98" t="s">
        <v>338</v>
      </c>
      <c r="F23" s="7"/>
      <c r="G23" s="666"/>
      <c r="H23" s="665"/>
      <c r="I23" s="99" t="s">
        <v>214</v>
      </c>
      <c r="J23" s="97" t="s">
        <v>337</v>
      </c>
      <c r="K23" s="96" t="s">
        <v>210</v>
      </c>
      <c r="L23" s="290" t="s">
        <v>338</v>
      </c>
      <c r="M23" s="291" t="s">
        <v>210</v>
      </c>
      <c r="N23" s="170"/>
      <c r="O23" s="263"/>
      <c r="P23" s="264"/>
      <c r="Q23" s="454"/>
      <c r="R23" s="390"/>
      <c r="S23" s="323">
        <v>18</v>
      </c>
      <c r="T23" s="395">
        <v>20</v>
      </c>
      <c r="U23" s="395">
        <v>22</v>
      </c>
      <c r="V23" s="321">
        <v>9</v>
      </c>
      <c r="W23" s="305"/>
      <c r="X23" s="324">
        <v>24</v>
      </c>
      <c r="Y23" s="396">
        <v>30</v>
      </c>
      <c r="Z23" s="396">
        <v>36</v>
      </c>
      <c r="AA23" s="321">
        <v>9</v>
      </c>
      <c r="AB23" s="392"/>
      <c r="AC23" s="145"/>
      <c r="AD23" s="408"/>
      <c r="AE23" s="171">
        <f>IF(AND(Z6&lt;&gt;0,'Traffic &amp; Accidents'!F22&lt;400),AG23,AE24)</f>
        <v>0</v>
      </c>
      <c r="AF23" s="301" t="s">
        <v>151</v>
      </c>
      <c r="AG23" s="301">
        <f>IF(Z6&gt;=28,1,AH23)</f>
        <v>10</v>
      </c>
      <c r="AH23" s="301">
        <f>IF(Z6&gt;=27.5,2,AI23)</f>
        <v>10</v>
      </c>
      <c r="AI23" s="301">
        <f>IF(Z6&gt;=27,3,AJ23)</f>
        <v>10</v>
      </c>
      <c r="AJ23" s="301">
        <f>IF(Z6&gt;=26.5,4,AK23)</f>
        <v>10</v>
      </c>
      <c r="AK23" s="301">
        <f>IF(Z6&gt;=26,5,AL23)</f>
        <v>10</v>
      </c>
      <c r="AL23" s="301">
        <f>IF(Z6&gt;=25.5,6,AM23)</f>
        <v>10</v>
      </c>
      <c r="AM23" s="301">
        <f>IF(Z6&gt;=25,7,AN23)</f>
        <v>10</v>
      </c>
      <c r="AN23" s="301">
        <f>IF(Z6&gt;=24.5,8,AO23)</f>
        <v>10</v>
      </c>
      <c r="AO23" s="301">
        <f>IF(Z6&gt;=24,9,AP23)</f>
        <v>10</v>
      </c>
      <c r="AP23" s="168">
        <f>IF(Z6&lt;24,10,0)</f>
        <v>10</v>
      </c>
      <c r="AQ23" s="300"/>
      <c r="AR23" s="392"/>
      <c r="AS23" s="145"/>
      <c r="AT23" s="417"/>
      <c r="AU23" s="328"/>
      <c r="AV23" s="301"/>
      <c r="AW23" s="300"/>
      <c r="AX23" s="300"/>
      <c r="AY23" s="300"/>
      <c r="AZ23" s="300"/>
      <c r="BA23" s="300"/>
      <c r="BB23" s="300"/>
      <c r="BC23" s="300"/>
      <c r="BD23" s="167"/>
      <c r="BE23" s="392"/>
      <c r="BF23" s="145"/>
      <c r="BG23" s="408"/>
      <c r="BH23" s="300"/>
      <c r="BI23" s="300"/>
      <c r="BJ23" s="300"/>
      <c r="BK23" s="300"/>
      <c r="BL23" s="300"/>
      <c r="BM23" s="300"/>
      <c r="BN23" s="300"/>
      <c r="BO23" s="300"/>
      <c r="BP23" s="300"/>
      <c r="BQ23" s="300"/>
      <c r="BR23" s="392"/>
    </row>
    <row r="24" spans="2:70" s="144" customFormat="1" ht="12.95" customHeight="1" x14ac:dyDescent="0.2">
      <c r="B24" s="100" t="str">
        <f>IF(AND(D24&lt;&gt;0,D24&lt;G15),"*","")</f>
        <v/>
      </c>
      <c r="C24" s="143"/>
      <c r="D24" s="143"/>
      <c r="E24" s="101" t="str">
        <f>IF(AND(D24&gt;=C24,C24&lt;G15,D24&lt;&gt;0),F24,"")</f>
        <v/>
      </c>
      <c r="F24" s="102">
        <f>IF(D24&gt;G15,1,(D24-C24)/(G15-C24))</f>
        <v>0</v>
      </c>
      <c r="G24" s="17">
        <v>1</v>
      </c>
      <c r="H24" s="103" t="str">
        <f>IF(AND(K24&lt;&gt;0,K24&lt;G15),"*","")</f>
        <v/>
      </c>
      <c r="I24" s="143"/>
      <c r="J24" s="143"/>
      <c r="K24" s="143"/>
      <c r="L24" s="101" t="str">
        <f>IF(AND(K24&gt;=M24,M24&lt;G15,K24&lt;&gt;0),N24*(J24/L39),"")</f>
        <v/>
      </c>
      <c r="M24" s="88" t="str">
        <f>Geometry!T86</f>
        <v/>
      </c>
      <c r="N24" s="267" t="e">
        <f>IF(K24&gt;=G15,1,(K24-M24)/(G15-M24))</f>
        <v>#VALUE!</v>
      </c>
      <c r="O24" s="263"/>
      <c r="P24" s="264"/>
      <c r="Q24" s="454"/>
      <c r="R24" s="390"/>
      <c r="S24" s="334" t="s">
        <v>153</v>
      </c>
      <c r="T24" s="335" t="s">
        <v>154</v>
      </c>
      <c r="U24" s="335" t="s">
        <v>155</v>
      </c>
      <c r="V24" s="336">
        <v>10</v>
      </c>
      <c r="W24" s="305"/>
      <c r="X24" s="337" t="s">
        <v>156</v>
      </c>
      <c r="Y24" s="338" t="s">
        <v>157</v>
      </c>
      <c r="Z24" s="338" t="s">
        <v>158</v>
      </c>
      <c r="AA24" s="336">
        <v>10</v>
      </c>
      <c r="AB24" s="392"/>
      <c r="AC24" s="145"/>
      <c r="AD24" s="408"/>
      <c r="AE24" s="171">
        <f>IF(AND(Z6&lt;&gt;0,'Traffic &amp; Accidents'!F22&lt;=2000),AG24,AE25)</f>
        <v>0</v>
      </c>
      <c r="AF24" s="300" t="s">
        <v>142</v>
      </c>
      <c r="AG24" s="301">
        <f>IF(Z6&gt;=34,1,AH24)</f>
        <v>10</v>
      </c>
      <c r="AH24" s="301">
        <f>IF(Z6&gt;=33.5,2,AI24)</f>
        <v>10</v>
      </c>
      <c r="AI24" s="301">
        <f>IF(Z6&gt;=33,3,AJ24)</f>
        <v>10</v>
      </c>
      <c r="AJ24" s="301">
        <f>IF(Z6&gt;=32.5,4,AK24)</f>
        <v>10</v>
      </c>
      <c r="AK24" s="301">
        <f>IF(Z6&gt;=32,5,AL24)</f>
        <v>10</v>
      </c>
      <c r="AL24" s="301">
        <f>IF(Z6&gt;=31.5,6,AM24)</f>
        <v>10</v>
      </c>
      <c r="AM24" s="301">
        <f>IF(Z6&gt;=31,7,AN24)</f>
        <v>10</v>
      </c>
      <c r="AN24" s="301">
        <f>IF(Z6&gt;=30.5,8,AO24)</f>
        <v>10</v>
      </c>
      <c r="AO24" s="301">
        <f>IF(Z6&gt;=30,9,AP24)</f>
        <v>10</v>
      </c>
      <c r="AP24" s="168">
        <f>IF(Z6&lt;30,10,0)</f>
        <v>10</v>
      </c>
      <c r="AQ24" s="300"/>
      <c r="AR24" s="392"/>
      <c r="AS24" s="145"/>
      <c r="AT24" s="408"/>
      <c r="AU24" s="329" t="s">
        <v>141</v>
      </c>
      <c r="AV24" s="330" t="s">
        <v>295</v>
      </c>
      <c r="AW24" s="330" t="s">
        <v>296</v>
      </c>
      <c r="AX24" s="330" t="s">
        <v>143</v>
      </c>
      <c r="AY24" s="331"/>
      <c r="AZ24" s="330" t="s">
        <v>141</v>
      </c>
      <c r="BA24" s="330" t="s">
        <v>295</v>
      </c>
      <c r="BB24" s="330" t="s">
        <v>298</v>
      </c>
      <c r="BC24" s="330" t="s">
        <v>143</v>
      </c>
      <c r="BD24" s="167"/>
      <c r="BE24" s="392"/>
      <c r="BF24" s="145"/>
      <c r="BG24" s="408"/>
      <c r="BH24" s="300"/>
      <c r="BI24" s="300"/>
      <c r="BJ24" s="300"/>
      <c r="BK24" s="300"/>
      <c r="BL24" s="300"/>
      <c r="BM24" s="300"/>
      <c r="BN24" s="300"/>
      <c r="BO24" s="300"/>
      <c r="BP24" s="300"/>
      <c r="BQ24" s="300"/>
      <c r="BR24" s="392"/>
    </row>
    <row r="25" spans="2:70" s="144" customFormat="1" ht="12.95" customHeight="1" x14ac:dyDescent="0.2">
      <c r="B25" s="100" t="str">
        <f>IF(AND(D25&lt;&gt;0,D25&lt;G15),"*","")</f>
        <v/>
      </c>
      <c r="C25" s="297"/>
      <c r="D25" s="297"/>
      <c r="E25" s="101" t="str">
        <f>IF(AND(D25&gt;=C25,C25&lt;G15,D25&lt;&gt;0),F25,"")</f>
        <v/>
      </c>
      <c r="F25" s="102">
        <f>IF(D25&gt;G15,1,(D25-C25)/(G15-C25))</f>
        <v>0</v>
      </c>
      <c r="G25" s="17">
        <v>2</v>
      </c>
      <c r="H25" s="103" t="str">
        <f>IF(AND(K25&lt;&gt;0,K25&lt;G15),"*","")</f>
        <v/>
      </c>
      <c r="I25" s="143"/>
      <c r="J25" s="143"/>
      <c r="K25" s="143"/>
      <c r="L25" s="101" t="str">
        <f>IF(AND(K25&gt;=M25,M25&lt;G15,K25&lt;&gt;0),N25*(J25/L39),"")</f>
        <v/>
      </c>
      <c r="M25" s="88" t="str">
        <f>Geometry!T87</f>
        <v/>
      </c>
      <c r="N25" s="267" t="e">
        <f>IF(K25&gt;=G15,1,(K25-M25)/(G15-M25))</f>
        <v>#VALUE!</v>
      </c>
      <c r="O25" s="263"/>
      <c r="P25" s="264"/>
      <c r="Q25" s="454"/>
      <c r="R25" s="397" t="s">
        <v>288</v>
      </c>
      <c r="S25" s="398">
        <v>20</v>
      </c>
      <c r="T25" s="398">
        <v>22</v>
      </c>
      <c r="U25" s="398">
        <v>24</v>
      </c>
      <c r="V25" s="349"/>
      <c r="W25" s="305"/>
      <c r="X25" s="398">
        <v>24</v>
      </c>
      <c r="Y25" s="398">
        <v>34</v>
      </c>
      <c r="Z25" s="398">
        <v>40</v>
      </c>
      <c r="AA25" s="349"/>
      <c r="AB25" s="392"/>
      <c r="AC25" s="145"/>
      <c r="AD25" s="408"/>
      <c r="AE25" s="171">
        <f>IF(AND(Z6&lt;&gt;0,'Traffic &amp; Accidents'!F22&gt;2000),AG25,0)</f>
        <v>0</v>
      </c>
      <c r="AF25" s="301" t="s">
        <v>152</v>
      </c>
      <c r="AG25" s="301">
        <f>IF(Z6&gt;=40,1,AH25)</f>
        <v>10</v>
      </c>
      <c r="AH25" s="301">
        <f>IF(Z6&gt;=39.5,2,AI25)</f>
        <v>10</v>
      </c>
      <c r="AI25" s="301">
        <f>IF(Z6&gt;=39,3,AJ25)</f>
        <v>10</v>
      </c>
      <c r="AJ25" s="301">
        <f>IF(Z6&gt;=38.5,4,AK25)</f>
        <v>10</v>
      </c>
      <c r="AK25" s="301">
        <f>IF(Z6&gt;=38,5,AL25)</f>
        <v>10</v>
      </c>
      <c r="AL25" s="301">
        <f>IF(Z6&gt;=37.5,6,AM25)</f>
        <v>10</v>
      </c>
      <c r="AM25" s="301">
        <f>IF(Z6&gt;=37,7,AN25)</f>
        <v>10</v>
      </c>
      <c r="AN25" s="301">
        <f>IF(Z6&gt;=36.5,8,AO25)</f>
        <v>10</v>
      </c>
      <c r="AO25" s="301">
        <f>IF(Z6&gt;=36,9,AP25)</f>
        <v>10</v>
      </c>
      <c r="AP25" s="168">
        <f>IF(Z6&lt;36,10,0)</f>
        <v>10</v>
      </c>
      <c r="AQ25" s="300"/>
      <c r="AR25" s="392"/>
      <c r="AS25" s="145"/>
      <c r="AT25" s="408"/>
      <c r="AU25" s="332">
        <f>IF(AND(Geometry!Q60&lt;=50,'Traffic &amp; Accidents'!F22&lt;400),24,AU26)</f>
        <v>24</v>
      </c>
      <c r="AV25" s="301">
        <f>IF(AND(Geometry!Q60&lt;=30,'Traffic &amp; Accidents'!F22&lt;1501),28,AV26)</f>
        <v>30</v>
      </c>
      <c r="AW25" s="301">
        <f>IF(AND(Geometry!Q60&lt;=50,'Traffic &amp; Accidents'!F22&lt;=2000),34,AW26)</f>
        <v>34</v>
      </c>
      <c r="AX25" s="301">
        <f>IF('Traffic &amp; Accidents'!F22&gt;2000,40,0)</f>
        <v>0</v>
      </c>
      <c r="AY25" s="300"/>
      <c r="AZ25" s="333">
        <f>IF(AND(Geometry!Q60&lt;60,'Traffic &amp; Accidents'!F22&lt;400),30,AZ26)</f>
        <v>30</v>
      </c>
      <c r="BA25" s="301">
        <f>IF(AND(Geometry!Q60&lt;60,'Traffic &amp; Accidents'!F22&lt;1501),34,BA26)</f>
        <v>34</v>
      </c>
      <c r="BB25" s="301">
        <f>IF(AND(Geometry!Q60&lt;50,'Traffic &amp; Accidents'!F22&lt;=2000),34,BB26)</f>
        <v>34</v>
      </c>
      <c r="BC25" s="301">
        <f>IF('Traffic &amp; Accidents'!F22&gt;2000,40,0)</f>
        <v>0</v>
      </c>
      <c r="BD25" s="167"/>
      <c r="BE25" s="392"/>
      <c r="BF25" s="145"/>
      <c r="BG25" s="408"/>
      <c r="BH25" s="300"/>
      <c r="BI25" s="300"/>
      <c r="BJ25" s="300"/>
      <c r="BK25" s="300"/>
      <c r="BL25" s="300"/>
      <c r="BM25" s="300"/>
      <c r="BN25" s="300"/>
      <c r="BO25" s="300"/>
      <c r="BP25" s="300"/>
      <c r="BQ25" s="300"/>
      <c r="BR25" s="392"/>
    </row>
    <row r="26" spans="2:70" s="144" customFormat="1" ht="12.95" customHeight="1" x14ac:dyDescent="0.2">
      <c r="B26" s="100" t="str">
        <f>IF(AND(D26&lt;&gt;0,D26&lt;G15),"*","")</f>
        <v/>
      </c>
      <c r="C26" s="297"/>
      <c r="D26" s="297"/>
      <c r="E26" s="101" t="str">
        <f>IF(AND(D26&gt;=C26,C26&lt;G15,D26&lt;&gt;0),F26,"")</f>
        <v/>
      </c>
      <c r="F26" s="102">
        <f>IF(D26&gt;G15,1,(D26-C26)/(G15-C26))</f>
        <v>0</v>
      </c>
      <c r="G26" s="17">
        <v>3</v>
      </c>
      <c r="H26" s="103" t="str">
        <f>IF(AND(K26&lt;&gt;0,K26&lt;G15),"*","")</f>
        <v/>
      </c>
      <c r="I26" s="143"/>
      <c r="J26" s="143"/>
      <c r="K26" s="143"/>
      <c r="L26" s="101" t="str">
        <f>IF(AND(K26&gt;=M26,M26&lt;G15,K26&lt;&gt;0),N26*(J26/L39),"")</f>
        <v/>
      </c>
      <c r="M26" s="88" t="str">
        <f>Geometry!T88</f>
        <v/>
      </c>
      <c r="N26" s="267" t="e">
        <f>IF(K26&gt;=G15,1,(K26-M26)/(G15-M26))</f>
        <v>#VALUE!</v>
      </c>
      <c r="O26" s="263"/>
      <c r="P26" s="264"/>
      <c r="Q26" s="454"/>
      <c r="R26" s="390"/>
      <c r="S26" s="301"/>
      <c r="T26" s="300" t="s">
        <v>159</v>
      </c>
      <c r="U26" s="300"/>
      <c r="V26" s="298">
        <f>AE11</f>
        <v>0</v>
      </c>
      <c r="W26" s="305"/>
      <c r="X26" s="301"/>
      <c r="Y26" s="300" t="s">
        <v>159</v>
      </c>
      <c r="Z26" s="300"/>
      <c r="AA26" s="298">
        <f>AE21</f>
        <v>0</v>
      </c>
      <c r="AB26" s="392"/>
      <c r="AC26" s="145"/>
      <c r="AD26" s="408"/>
      <c r="AE26" s="172"/>
      <c r="AF26" s="173"/>
      <c r="AG26" s="173"/>
      <c r="AH26" s="173"/>
      <c r="AI26" s="173"/>
      <c r="AJ26" s="173"/>
      <c r="AK26" s="173"/>
      <c r="AL26" s="173"/>
      <c r="AM26" s="173"/>
      <c r="AN26" s="173"/>
      <c r="AO26" s="174"/>
      <c r="AP26" s="175"/>
      <c r="AQ26" s="300"/>
      <c r="AR26" s="392"/>
      <c r="AS26" s="145"/>
      <c r="AT26" s="408"/>
      <c r="AU26" s="171">
        <f>IF(AND(Geometry!Q60&gt;50,'Traffic &amp; Accidents'!F22&lt;400),26,AV25)</f>
        <v>30</v>
      </c>
      <c r="AV26" s="301">
        <f>IF(AND(Geometry!Q60&gt;=35,'Traffic &amp; Accidents'!F22&lt;1501),30,AW25)</f>
        <v>30</v>
      </c>
      <c r="AW26" s="301">
        <f>IF(AND(Geometry!Q60&gt;=55,'Traffic &amp; Accidents'!F22&lt;=2000),36,AX25)</f>
        <v>0</v>
      </c>
      <c r="AX26" s="327"/>
      <c r="AY26" s="300"/>
      <c r="AZ26" s="301">
        <f>IF(AND(Geometry!Q60&gt;55,'Traffic &amp; Accidents'!F22&lt;400),32,BA25)</f>
        <v>34</v>
      </c>
      <c r="BA26" s="301">
        <f>IF(AND(Geometry!Q60&gt;50,'Traffic &amp; Accidents'!F22&lt;1501),36,BB25)</f>
        <v>34</v>
      </c>
      <c r="BB26" s="301">
        <f>IF(AND(Geometry!Q60&gt;=50,'Traffic &amp; Accidents'!F22&lt;=2000),36,BC25)</f>
        <v>0</v>
      </c>
      <c r="BC26" s="300"/>
      <c r="BD26" s="167"/>
      <c r="BE26" s="392"/>
      <c r="BF26" s="145"/>
      <c r="BG26" s="408"/>
      <c r="BH26" s="301"/>
      <c r="BI26" s="357" t="s">
        <v>294</v>
      </c>
      <c r="BJ26" s="301"/>
      <c r="BK26" s="301"/>
      <c r="BL26" s="300"/>
      <c r="BM26" s="300"/>
      <c r="BN26" s="301"/>
      <c r="BO26" s="357" t="s">
        <v>294</v>
      </c>
      <c r="BP26" s="301"/>
      <c r="BQ26" s="301"/>
      <c r="BR26" s="392"/>
    </row>
    <row r="27" spans="2:70" s="144" customFormat="1" ht="12.95" customHeight="1" x14ac:dyDescent="0.2">
      <c r="B27" s="100" t="str">
        <f>IF(AND(D27&lt;&gt;0,D27&lt;G15),"*","")</f>
        <v/>
      </c>
      <c r="C27" s="297"/>
      <c r="D27" s="297"/>
      <c r="E27" s="101" t="str">
        <f>IF(AND(D27&gt;=C27,C27&lt;G15,D27&lt;&gt;0),F27,"")</f>
        <v/>
      </c>
      <c r="F27" s="102">
        <f>IF(D27&gt;G15,1,(D27-C27)/(G15-C27))</f>
        <v>0</v>
      </c>
      <c r="G27" s="17">
        <v>4</v>
      </c>
      <c r="H27" s="103" t="str">
        <f>IF(AND(K27&lt;&gt;0,K27&lt;G15),"*","")</f>
        <v/>
      </c>
      <c r="I27" s="143"/>
      <c r="J27" s="143"/>
      <c r="K27" s="143"/>
      <c r="L27" s="101" t="str">
        <f>IF(AND(K27&gt;=M27,M27&lt;G15,K27&lt;&gt;0),N27*(J27/L39),"")</f>
        <v/>
      </c>
      <c r="M27" s="88" t="str">
        <f>Geometry!T89</f>
        <v/>
      </c>
      <c r="N27" s="267" t="e">
        <f>IF(K27&gt;=G15,1,(K27-M27)/(G15-M27))</f>
        <v>#VALUE!</v>
      </c>
      <c r="O27" s="263"/>
      <c r="P27" s="264"/>
      <c r="Q27" s="454"/>
      <c r="R27" s="399"/>
      <c r="S27" s="300"/>
      <c r="T27" s="301"/>
      <c r="U27" s="349"/>
      <c r="V27" s="300"/>
      <c r="W27" s="301"/>
      <c r="X27" s="300"/>
      <c r="Y27" s="301"/>
      <c r="Z27" s="349"/>
      <c r="AA27" s="300"/>
      <c r="AB27" s="392"/>
      <c r="AC27" s="145"/>
      <c r="AD27" s="408"/>
      <c r="AE27" s="301"/>
      <c r="AF27" s="300"/>
      <c r="AG27" s="300"/>
      <c r="AH27" s="300"/>
      <c r="AI27" s="300"/>
      <c r="AJ27" s="300"/>
      <c r="AK27" s="300"/>
      <c r="AL27" s="300"/>
      <c r="AM27" s="300"/>
      <c r="AN27" s="300"/>
      <c r="AO27" s="301"/>
      <c r="AP27" s="301"/>
      <c r="AQ27" s="300"/>
      <c r="AR27" s="392"/>
      <c r="AS27" s="145"/>
      <c r="AT27" s="408"/>
      <c r="AU27" s="172"/>
      <c r="AV27" s="174"/>
      <c r="AW27" s="174"/>
      <c r="AX27" s="339"/>
      <c r="AY27" s="173"/>
      <c r="AZ27" s="173"/>
      <c r="BA27" s="174"/>
      <c r="BB27" s="174"/>
      <c r="BC27" s="174"/>
      <c r="BD27" s="308"/>
      <c r="BE27" s="392"/>
      <c r="BF27" s="145"/>
      <c r="BG27" s="408"/>
      <c r="BH27" s="300"/>
      <c r="BI27" s="300"/>
      <c r="BJ27" s="300"/>
      <c r="BK27" s="300"/>
      <c r="BL27" s="300"/>
      <c r="BM27" s="300"/>
      <c r="BN27" s="300"/>
      <c r="BO27" s="300"/>
      <c r="BP27" s="300"/>
      <c r="BQ27" s="300"/>
      <c r="BR27" s="392"/>
    </row>
    <row r="28" spans="2:70" s="144" customFormat="1" ht="12.95" customHeight="1" x14ac:dyDescent="0.2">
      <c r="B28" s="100" t="str">
        <f>IF(AND(D28&lt;&gt;0,D28&lt;G15),"*","")</f>
        <v/>
      </c>
      <c r="C28" s="297"/>
      <c r="D28" s="297"/>
      <c r="E28" s="101" t="str">
        <f>IF(AND(D28&gt;=C28,C28&lt;G15,D28&lt;&gt;0),F28,"")</f>
        <v/>
      </c>
      <c r="F28" s="102">
        <f>IF(D28&gt;G15,1,(D28-C28)/(G15-C28))</f>
        <v>0</v>
      </c>
      <c r="G28" s="17">
        <v>5</v>
      </c>
      <c r="H28" s="103" t="str">
        <f>IF(AND(K28&lt;&gt;0,K28&lt;G15),"*","")</f>
        <v/>
      </c>
      <c r="I28" s="143"/>
      <c r="J28" s="143"/>
      <c r="K28" s="143"/>
      <c r="L28" s="101" t="str">
        <f>IF(AND(K28&gt;=M28,M28&lt;G15,K28&lt;&gt;0),N28*(J28/L39),"")</f>
        <v/>
      </c>
      <c r="M28" s="88" t="str">
        <f>Geometry!T90</f>
        <v/>
      </c>
      <c r="N28" s="267" t="e">
        <f>IF(K28&gt;=G15,1,(K28-M28)/(G15-M28))</f>
        <v>#VALUE!</v>
      </c>
      <c r="O28" s="263"/>
      <c r="P28" s="264"/>
      <c r="Q28" s="454"/>
      <c r="R28" s="583"/>
      <c r="S28" s="584" t="s">
        <v>160</v>
      </c>
      <c r="T28" s="585"/>
      <c r="U28" s="585"/>
      <c r="V28" s="585"/>
      <c r="W28" s="585"/>
      <c r="X28" s="585"/>
      <c r="Y28" s="586"/>
      <c r="Z28" s="586"/>
      <c r="AA28" s="586"/>
      <c r="AB28" s="587"/>
      <c r="AC28" s="145"/>
      <c r="AD28" s="408"/>
      <c r="AE28" s="301"/>
      <c r="AF28" s="300"/>
      <c r="AG28" s="300"/>
      <c r="AH28" s="300"/>
      <c r="AI28" s="300"/>
      <c r="AJ28" s="300"/>
      <c r="AK28" s="300"/>
      <c r="AL28" s="300"/>
      <c r="AM28" s="300"/>
      <c r="AN28" s="300"/>
      <c r="AO28" s="301"/>
      <c r="AP28" s="301"/>
      <c r="AQ28" s="300"/>
      <c r="AR28" s="392"/>
      <c r="AS28" s="145"/>
      <c r="AT28" s="408"/>
      <c r="AU28" s="300"/>
      <c r="AV28" s="300"/>
      <c r="AW28" s="300"/>
      <c r="AX28" s="300"/>
      <c r="AY28" s="300"/>
      <c r="AZ28" s="300"/>
      <c r="BA28" s="300"/>
      <c r="BB28" s="300"/>
      <c r="BC28" s="300"/>
      <c r="BD28" s="300"/>
      <c r="BE28" s="392"/>
      <c r="BF28" s="145"/>
      <c r="BG28" s="428" t="s">
        <v>309</v>
      </c>
      <c r="BH28" s="300"/>
      <c r="BI28" s="301" t="s">
        <v>310</v>
      </c>
      <c r="BJ28" s="305"/>
      <c r="BK28" s="305"/>
      <c r="BL28" s="300"/>
      <c r="BM28" s="327" t="s">
        <v>309</v>
      </c>
      <c r="BN28" s="300"/>
      <c r="BO28" s="301" t="s">
        <v>311</v>
      </c>
      <c r="BP28" s="305"/>
      <c r="BQ28" s="305"/>
      <c r="BR28" s="392"/>
    </row>
    <row r="29" spans="2:70" s="144" customFormat="1" ht="12.95" customHeight="1" x14ac:dyDescent="0.2">
      <c r="B29" s="100" t="str">
        <f>IF(AND(D29&lt;&gt;0,D29&lt;G15),"*","")</f>
        <v/>
      </c>
      <c r="C29" s="297"/>
      <c r="D29" s="297"/>
      <c r="E29" s="101" t="str">
        <f>IF(AND(D29&gt;=C29,C29&lt;G15,D29&lt;&gt;0),F29,"")</f>
        <v/>
      </c>
      <c r="F29" s="102">
        <f>IF(D29&gt;G15,1,(D29-C29)/(G15-C29))</f>
        <v>0</v>
      </c>
      <c r="G29" s="17">
        <v>6</v>
      </c>
      <c r="H29" s="103" t="str">
        <f>IF(AND(K29&lt;&gt;0,K29&lt;G15),"*","")</f>
        <v/>
      </c>
      <c r="I29" s="143"/>
      <c r="J29" s="143"/>
      <c r="K29" s="143"/>
      <c r="L29" s="101" t="str">
        <f>IF(AND(K29&gt;=M29,M29&lt;G15,K29&lt;&gt;0),N29*(J29/L39),"")</f>
        <v/>
      </c>
      <c r="M29" s="88" t="str">
        <f>Geometry!T91</f>
        <v/>
      </c>
      <c r="N29" s="267" t="e">
        <f>IF(K29&gt;=G15,1,(K29-M29)/(G15-M29))</f>
        <v>#VALUE!</v>
      </c>
      <c r="O29" s="263"/>
      <c r="P29" s="264"/>
      <c r="Q29" s="454"/>
      <c r="R29" s="583"/>
      <c r="S29" s="588"/>
      <c r="T29" s="589" t="s">
        <v>61</v>
      </c>
      <c r="U29" s="590"/>
      <c r="V29" s="591"/>
      <c r="W29" s="586"/>
      <c r="X29" s="586"/>
      <c r="Y29" s="586"/>
      <c r="Z29" s="586"/>
      <c r="AA29" s="586"/>
      <c r="AB29" s="587"/>
      <c r="AC29" s="145"/>
      <c r="AD29" s="408"/>
      <c r="AE29" s="301"/>
      <c r="AF29" s="300"/>
      <c r="AG29" s="300"/>
      <c r="AH29" s="300"/>
      <c r="AI29" s="300"/>
      <c r="AJ29" s="300"/>
      <c r="AK29" s="300"/>
      <c r="AL29" s="300"/>
      <c r="AM29" s="300"/>
      <c r="AN29" s="300"/>
      <c r="AO29" s="301"/>
      <c r="AP29" s="301"/>
      <c r="AQ29" s="300"/>
      <c r="AR29" s="392"/>
      <c r="AS29" s="145"/>
      <c r="AT29" s="408"/>
      <c r="AU29" s="300"/>
      <c r="AV29" s="300"/>
      <c r="AW29" s="300"/>
      <c r="AX29" s="679" t="s">
        <v>307</v>
      </c>
      <c r="AY29" s="679"/>
      <c r="AZ29" s="679"/>
      <c r="BA29" s="679"/>
      <c r="BB29" s="300"/>
      <c r="BC29" s="300"/>
      <c r="BD29" s="300"/>
      <c r="BE29" s="392"/>
      <c r="BF29" s="145"/>
      <c r="BG29" s="428" t="s">
        <v>312</v>
      </c>
      <c r="BH29" s="174" t="s">
        <v>141</v>
      </c>
      <c r="BI29" s="174" t="s">
        <v>295</v>
      </c>
      <c r="BJ29" s="174" t="s">
        <v>296</v>
      </c>
      <c r="BK29" s="174" t="s">
        <v>143</v>
      </c>
      <c r="BL29" s="300"/>
      <c r="BM29" s="327" t="s">
        <v>312</v>
      </c>
      <c r="BN29" s="174" t="s">
        <v>141</v>
      </c>
      <c r="BO29" s="174" t="s">
        <v>295</v>
      </c>
      <c r="BP29" s="174" t="s">
        <v>296</v>
      </c>
      <c r="BQ29" s="174" t="s">
        <v>143</v>
      </c>
      <c r="BR29" s="392"/>
    </row>
    <row r="30" spans="2:70" s="144" customFormat="1" ht="12.95" customHeight="1" x14ac:dyDescent="0.2">
      <c r="B30" s="100" t="str">
        <f>IF(AND(D30&lt;&gt;0,D30&lt;G15),"*","")</f>
        <v/>
      </c>
      <c r="C30" s="297"/>
      <c r="D30" s="297"/>
      <c r="E30" s="101" t="str">
        <f>IF(AND(D30&gt;=C30,C30&lt;G15,D30&lt;&gt;0),F30,"")</f>
        <v/>
      </c>
      <c r="F30" s="102">
        <f>IF(D30&gt;G15,1,(D30-C30)/(G15-C30))</f>
        <v>0</v>
      </c>
      <c r="G30" s="17">
        <v>7</v>
      </c>
      <c r="H30" s="103" t="str">
        <f>IF(AND(K30&lt;&gt;0,K30&lt;G15),"*","")</f>
        <v/>
      </c>
      <c r="I30" s="297"/>
      <c r="J30" s="143"/>
      <c r="K30" s="143"/>
      <c r="L30" s="101" t="str">
        <f>IF(AND(K30&gt;=M30,M30&lt;G15,K30&lt;&gt;0),N30*(J30/L39),"")</f>
        <v/>
      </c>
      <c r="M30" s="88" t="str">
        <f>Geometry!T92</f>
        <v/>
      </c>
      <c r="N30" s="267" t="e">
        <f>IF(K30&gt;=G15,1,(K30-M30)/(G15-M30))</f>
        <v>#VALUE!</v>
      </c>
      <c r="O30" s="263"/>
      <c r="P30" s="264"/>
      <c r="Q30" s="454"/>
      <c r="R30" s="583"/>
      <c r="S30" s="592" t="s">
        <v>141</v>
      </c>
      <c r="T30" s="593" t="s">
        <v>142</v>
      </c>
      <c r="U30" s="593" t="s">
        <v>143</v>
      </c>
      <c r="V30" s="594" t="s">
        <v>63</v>
      </c>
      <c r="W30" s="586"/>
      <c r="X30" s="586"/>
      <c r="Y30" s="586"/>
      <c r="Z30" s="586"/>
      <c r="AA30" s="586"/>
      <c r="AB30" s="587"/>
      <c r="AC30" s="145"/>
      <c r="AD30" s="408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92"/>
      <c r="AS30" s="145"/>
      <c r="AT30" s="408"/>
      <c r="AU30" s="350"/>
      <c r="AV30" s="300"/>
      <c r="AW30" s="300"/>
      <c r="AX30" s="679"/>
      <c r="AY30" s="679"/>
      <c r="AZ30" s="679"/>
      <c r="BA30" s="679"/>
      <c r="BB30" s="300"/>
      <c r="BC30" s="300"/>
      <c r="BD30" s="300"/>
      <c r="BE30" s="392"/>
      <c r="BF30" s="145"/>
      <c r="BG30" s="408"/>
      <c r="BH30" s="300"/>
      <c r="BI30" s="300"/>
      <c r="BJ30" s="300"/>
      <c r="BK30" s="300"/>
      <c r="BL30" s="300"/>
      <c r="BM30" s="300"/>
      <c r="BN30" s="300"/>
      <c r="BO30" s="300"/>
      <c r="BP30" s="300"/>
      <c r="BQ30" s="300"/>
      <c r="BR30" s="392"/>
    </row>
    <row r="31" spans="2:70" s="144" customFormat="1" ht="12.95" customHeight="1" x14ac:dyDescent="0.2">
      <c r="B31" s="100" t="str">
        <f>IF(AND(D31&lt;&gt;0,D31&lt;G15),"*","")</f>
        <v/>
      </c>
      <c r="C31" s="297"/>
      <c r="D31" s="297"/>
      <c r="E31" s="101" t="str">
        <f>IF(AND(D31&gt;=C31,C31&lt;G15,D31&lt;&gt;0),F31,"")</f>
        <v/>
      </c>
      <c r="F31" s="102">
        <f>IF(D31&gt;G15,1,(D31-C31)/(G15-C31))</f>
        <v>0</v>
      </c>
      <c r="G31" s="17">
        <v>8</v>
      </c>
      <c r="H31" s="103" t="str">
        <f>IF(AND(K31&lt;&gt;0,K31&lt;G15),"*","")</f>
        <v/>
      </c>
      <c r="I31" s="297"/>
      <c r="J31" s="143"/>
      <c r="K31" s="143"/>
      <c r="L31" s="101" t="str">
        <f>IF(AND(K31&gt;=M31,M31&lt;G15,K31&lt;&gt;0),N31*(J31/L39),"")</f>
        <v/>
      </c>
      <c r="M31" s="88" t="str">
        <f>Geometry!T93</f>
        <v/>
      </c>
      <c r="N31" s="267" t="e">
        <f>IF(K31&gt;=G15,1,(K31-M31)/(G15-M31))</f>
        <v>#VALUE!</v>
      </c>
      <c r="O31" s="263"/>
      <c r="P31" s="264"/>
      <c r="Q31" s="454"/>
      <c r="R31" s="583"/>
      <c r="S31" s="595"/>
      <c r="T31" s="596"/>
      <c r="U31" s="596"/>
      <c r="V31" s="597"/>
      <c r="W31" s="586"/>
      <c r="X31" s="586"/>
      <c r="Y31" s="586"/>
      <c r="Z31" s="586"/>
      <c r="AA31" s="586"/>
      <c r="AB31" s="587"/>
      <c r="AC31" s="145"/>
      <c r="AD31" s="408"/>
      <c r="AE31" s="426" t="s">
        <v>425</v>
      </c>
      <c r="AF31" s="353"/>
      <c r="AG31" s="353"/>
      <c r="AH31" s="353"/>
      <c r="AI31" s="353"/>
      <c r="AJ31" s="300"/>
      <c r="AK31" s="300"/>
      <c r="AL31" s="300"/>
      <c r="AM31" s="300"/>
      <c r="AN31" s="300"/>
      <c r="AO31" s="300"/>
      <c r="AP31" s="300"/>
      <c r="AQ31" s="300"/>
      <c r="AR31" s="392"/>
      <c r="AS31" s="145"/>
      <c r="AT31" s="408"/>
      <c r="AU31" s="300"/>
      <c r="AV31" s="300"/>
      <c r="AW31" s="300"/>
      <c r="AX31" s="300"/>
      <c r="AY31" s="300"/>
      <c r="AZ31" s="300"/>
      <c r="BA31" s="300"/>
      <c r="BB31" s="300"/>
      <c r="BC31" s="300"/>
      <c r="BD31" s="300"/>
      <c r="BE31" s="392"/>
      <c r="BF31" s="145"/>
      <c r="BG31" s="399">
        <v>40</v>
      </c>
      <c r="BH31" s="301">
        <v>22</v>
      </c>
      <c r="BI31" s="301">
        <v>22</v>
      </c>
      <c r="BJ31" s="301">
        <v>22</v>
      </c>
      <c r="BK31" s="301">
        <v>24</v>
      </c>
      <c r="BL31" s="300"/>
      <c r="BM31" s="327" t="s">
        <v>313</v>
      </c>
      <c r="BN31" s="301">
        <v>4</v>
      </c>
      <c r="BO31" s="301">
        <v>6</v>
      </c>
      <c r="BP31" s="301">
        <v>6</v>
      </c>
      <c r="BQ31" s="301">
        <v>8</v>
      </c>
      <c r="BR31" s="392"/>
    </row>
    <row r="32" spans="2:70" s="144" customFormat="1" ht="12.95" customHeight="1" x14ac:dyDescent="0.2">
      <c r="B32" s="100" t="str">
        <f>IF(AND(D32&lt;&gt;0,D32&lt;G15),"*","")</f>
        <v/>
      </c>
      <c r="C32" s="297"/>
      <c r="D32" s="297"/>
      <c r="E32" s="101" t="str">
        <f>IF(AND(D32&gt;=C32,C32&lt;G15,D32&lt;&gt;0),F32,"")</f>
        <v/>
      </c>
      <c r="F32" s="102">
        <f>IF(D32&gt;G15,1,(D32-C32)/(G15-C32))</f>
        <v>0</v>
      </c>
      <c r="G32" s="17">
        <v>9</v>
      </c>
      <c r="H32" s="103" t="str">
        <f>IF(AND(K32&lt;&gt;0,K32&lt;G15),"*","")</f>
        <v/>
      </c>
      <c r="I32" s="297"/>
      <c r="J32" s="143"/>
      <c r="K32" s="143"/>
      <c r="L32" s="101" t="str">
        <f>IF(AND(K32&gt;=M32,M32&lt;G15,K32&lt;&gt;0),N32*(J32/L39),"")</f>
        <v/>
      </c>
      <c r="M32" s="88" t="str">
        <f>Geometry!T94</f>
        <v/>
      </c>
      <c r="N32" s="267" t="e">
        <f>IF(K32&gt;=G15,1,(K32-M32)/(G15-M32))</f>
        <v>#VALUE!</v>
      </c>
      <c r="O32" s="263"/>
      <c r="P32" s="264"/>
      <c r="Q32" s="454"/>
      <c r="R32" s="583"/>
      <c r="S32" s="598" t="s">
        <v>147</v>
      </c>
      <c r="T32" s="599" t="s">
        <v>148</v>
      </c>
      <c r="U32" s="599" t="s">
        <v>149</v>
      </c>
      <c r="V32" s="600">
        <v>5</v>
      </c>
      <c r="W32" s="586"/>
      <c r="X32" s="601">
        <f>Geometry!F10</f>
        <v>0</v>
      </c>
      <c r="Y32" s="586" t="s">
        <v>161</v>
      </c>
      <c r="Z32" s="586"/>
      <c r="AA32" s="586"/>
      <c r="AB32" s="587"/>
      <c r="AC32" s="145"/>
      <c r="AD32" s="408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92"/>
      <c r="AS32" s="145"/>
      <c r="AT32" s="408"/>
      <c r="AU32" s="315">
        <f>Geometry!F7</f>
        <v>0</v>
      </c>
      <c r="AV32" s="313" t="s">
        <v>305</v>
      </c>
      <c r="AW32" s="300"/>
      <c r="AX32" s="300"/>
      <c r="AY32" s="300"/>
      <c r="AZ32" s="300"/>
      <c r="BA32" s="300"/>
      <c r="BB32" s="300"/>
      <c r="BC32" s="300"/>
      <c r="BD32" s="300"/>
      <c r="BE32" s="392"/>
      <c r="BF32" s="145"/>
      <c r="BG32" s="399">
        <v>45</v>
      </c>
      <c r="BH32" s="301">
        <v>22</v>
      </c>
      <c r="BI32" s="301">
        <v>22</v>
      </c>
      <c r="BJ32" s="301">
        <v>22</v>
      </c>
      <c r="BK32" s="301">
        <v>24</v>
      </c>
      <c r="BL32" s="300"/>
      <c r="BM32" s="301"/>
      <c r="BN32" s="301"/>
      <c r="BO32" s="301"/>
      <c r="BP32" s="301"/>
      <c r="BQ32" s="301"/>
      <c r="BR32" s="392"/>
    </row>
    <row r="33" spans="1:72" s="144" customFormat="1" ht="12.95" customHeight="1" x14ac:dyDescent="0.2">
      <c r="B33" s="100" t="str">
        <f>IF(AND(D33&lt;&gt;0,D33&lt;G15),"*","")</f>
        <v/>
      </c>
      <c r="C33" s="297"/>
      <c r="D33" s="297"/>
      <c r="E33" s="101" t="str">
        <f>IF(AND(D33&gt;=C33,C33&lt;G15,D33&lt;&gt;0),F33,"")</f>
        <v/>
      </c>
      <c r="F33" s="102">
        <f>IF(D33&gt;G15,1,(D33-C33)/(G15-C33))</f>
        <v>0</v>
      </c>
      <c r="G33" s="17">
        <v>10</v>
      </c>
      <c r="H33" s="103" t="str">
        <f>IF(AND(K33&lt;&gt;0,K33&lt;G15),"*","")</f>
        <v/>
      </c>
      <c r="I33" s="297"/>
      <c r="J33" s="143"/>
      <c r="K33" s="143"/>
      <c r="L33" s="101" t="str">
        <f>IF(AND(K33&gt;=M33,M33&lt;G15,K33&lt;&gt;0),N33*(J33/L39),"")</f>
        <v/>
      </c>
      <c r="M33" s="88" t="str">
        <f>Geometry!T95</f>
        <v/>
      </c>
      <c r="N33" s="267" t="e">
        <f>IF(K33&gt;=G15,1,(K33-M33)/(G15-M33))</f>
        <v>#VALUE!</v>
      </c>
      <c r="O33" s="263"/>
      <c r="P33" s="264"/>
      <c r="Q33" s="454"/>
      <c r="R33" s="583"/>
      <c r="S33" s="602">
        <v>27.6</v>
      </c>
      <c r="T33" s="603">
        <v>33.6</v>
      </c>
      <c r="U33" s="603">
        <v>39.6</v>
      </c>
      <c r="V33" s="600">
        <v>6</v>
      </c>
      <c r="W33" s="586"/>
      <c r="X33" s="586"/>
      <c r="Y33" s="586"/>
      <c r="Z33" s="586"/>
      <c r="AA33" s="586"/>
      <c r="AB33" s="587"/>
      <c r="AC33" s="145"/>
      <c r="AD33" s="408"/>
      <c r="AE33" s="340" t="s">
        <v>4</v>
      </c>
      <c r="AF33" s="164" t="s">
        <v>61</v>
      </c>
      <c r="AG33" s="163"/>
      <c r="AH33" s="163"/>
      <c r="AI33" s="163"/>
      <c r="AJ33" s="163"/>
      <c r="AK33" s="163"/>
      <c r="AL33" s="163"/>
      <c r="AM33" s="163"/>
      <c r="AN33" s="163"/>
      <c r="AO33" s="164"/>
      <c r="AP33" s="164"/>
      <c r="AQ33" s="165"/>
      <c r="AR33" s="392"/>
      <c r="AS33" s="145"/>
      <c r="AT33" s="408"/>
      <c r="AU33" s="314"/>
      <c r="AV33" s="314"/>
      <c r="AW33" s="300"/>
      <c r="AX33" s="300"/>
      <c r="AY33" s="300"/>
      <c r="AZ33" s="300"/>
      <c r="BA33" s="300"/>
      <c r="BB33" s="300"/>
      <c r="BC33" s="300"/>
      <c r="BD33" s="300"/>
      <c r="BE33" s="392"/>
      <c r="BF33" s="145"/>
      <c r="BG33" s="399">
        <v>50</v>
      </c>
      <c r="BH33" s="301">
        <v>22</v>
      </c>
      <c r="BI33" s="301">
        <v>22</v>
      </c>
      <c r="BJ33" s="301">
        <v>24</v>
      </c>
      <c r="BK33" s="301">
        <v>24</v>
      </c>
      <c r="BL33" s="300"/>
      <c r="BM33" s="301"/>
      <c r="BN33" s="301"/>
      <c r="BO33" s="301"/>
      <c r="BP33" s="301"/>
      <c r="BQ33" s="301"/>
      <c r="BR33" s="392"/>
    </row>
    <row r="34" spans="1:72" s="144" customFormat="1" ht="12.95" customHeight="1" x14ac:dyDescent="0.2">
      <c r="B34" s="100" t="str">
        <f>IF(AND(D34&lt;&gt;0,D34&lt;G15),"*","")</f>
        <v/>
      </c>
      <c r="C34" s="297"/>
      <c r="D34" s="297"/>
      <c r="E34" s="101" t="str">
        <f>IF(AND(D34&gt;=C34,C34&lt;G15,D34&lt;&gt;0),F34,"")</f>
        <v/>
      </c>
      <c r="F34" s="102">
        <f>IF(D34&gt;G15,1,(D34-C34)/(G15-C34))</f>
        <v>0</v>
      </c>
      <c r="G34" s="17">
        <v>11</v>
      </c>
      <c r="H34" s="103" t="str">
        <f>IF(AND(K34&lt;&gt;0,K34&lt;G15),"*","")</f>
        <v/>
      </c>
      <c r="I34" s="297"/>
      <c r="J34" s="143"/>
      <c r="K34" s="143"/>
      <c r="L34" s="101" t="str">
        <f>IF(AND(K34&gt;=M34,M34&lt;G15,K34&lt;&gt;0),N34*(J34/L39),"")</f>
        <v/>
      </c>
      <c r="M34" s="88" t="str">
        <f>Geometry!T96</f>
        <v/>
      </c>
      <c r="N34" s="267" t="e">
        <f>IF(K34&gt;=G15,1,(K34-M34)/(G15-M34))</f>
        <v>#VALUE!</v>
      </c>
      <c r="O34" s="263"/>
      <c r="P34" s="264"/>
      <c r="Q34" s="454"/>
      <c r="R34" s="583"/>
      <c r="S34" s="602">
        <v>27.2</v>
      </c>
      <c r="T34" s="603">
        <v>33.200000000000003</v>
      </c>
      <c r="U34" s="603">
        <v>39.200000000000003</v>
      </c>
      <c r="V34" s="600">
        <v>7</v>
      </c>
      <c r="W34" s="586"/>
      <c r="X34" s="586"/>
      <c r="Y34" s="586"/>
      <c r="Z34" s="586"/>
      <c r="AA34" s="586"/>
      <c r="AB34" s="587"/>
      <c r="AC34" s="145"/>
      <c r="AD34" s="408"/>
      <c r="AE34" s="317">
        <f>AE36</f>
        <v>0</v>
      </c>
      <c r="AF34" s="301" t="s">
        <v>150</v>
      </c>
      <c r="AG34" s="300"/>
      <c r="AH34" s="300"/>
      <c r="AI34" s="300"/>
      <c r="AJ34" s="300"/>
      <c r="AK34" s="300"/>
      <c r="AL34" s="300"/>
      <c r="AM34" s="300"/>
      <c r="AN34" s="300"/>
      <c r="AO34" s="301"/>
      <c r="AP34" s="301"/>
      <c r="AQ34" s="167"/>
      <c r="AR34" s="392"/>
      <c r="AS34" s="300"/>
      <c r="AT34" s="408"/>
      <c r="AU34" s="315">
        <f>IF(Geometry!I7&gt;AU38,AU38,Geometry!I7)</f>
        <v>0</v>
      </c>
      <c r="AV34" s="313" t="s">
        <v>306</v>
      </c>
      <c r="AW34" s="300"/>
      <c r="AX34" s="300"/>
      <c r="AY34" s="300"/>
      <c r="AZ34" s="300"/>
      <c r="BA34" s="300"/>
      <c r="BB34" s="300"/>
      <c r="BC34" s="300"/>
      <c r="BD34" s="300"/>
      <c r="BE34" s="392"/>
      <c r="BF34" s="145"/>
      <c r="BG34" s="399">
        <v>55</v>
      </c>
      <c r="BH34" s="301">
        <v>22</v>
      </c>
      <c r="BI34" s="301">
        <v>22</v>
      </c>
      <c r="BJ34" s="301">
        <v>24</v>
      </c>
      <c r="BK34" s="301">
        <v>24</v>
      </c>
      <c r="BL34" s="300"/>
      <c r="BM34" s="301"/>
      <c r="BN34" s="301"/>
      <c r="BO34" s="301"/>
      <c r="BP34" s="301"/>
      <c r="BQ34" s="301"/>
      <c r="BR34" s="392"/>
    </row>
    <row r="35" spans="1:72" s="144" customFormat="1" ht="12.95" customHeight="1" x14ac:dyDescent="0.2">
      <c r="B35" s="100" t="str">
        <f>IF(AND(D35&lt;&gt;0,D35&lt;G15),"*","")</f>
        <v/>
      </c>
      <c r="C35" s="297"/>
      <c r="D35" s="297"/>
      <c r="E35" s="101" t="str">
        <f>IF(AND(D35&gt;=C35,C35&lt;G15,D35&lt;&gt;0),F35,"")</f>
        <v/>
      </c>
      <c r="F35" s="102">
        <f>IF(D35&gt;G15,1,(D35-C35)/(G15-C35))</f>
        <v>0</v>
      </c>
      <c r="G35" s="17">
        <v>12</v>
      </c>
      <c r="H35" s="103" t="str">
        <f>IF(AND(K35&lt;&gt;0,K35&lt;G15),"*","")</f>
        <v/>
      </c>
      <c r="I35" s="297"/>
      <c r="J35" s="143"/>
      <c r="K35" s="143"/>
      <c r="L35" s="101" t="str">
        <f>IF(AND(K35&gt;=M35,M35&lt;G15,K35&lt;&gt;0),N35*(J35/L39),"")</f>
        <v/>
      </c>
      <c r="M35" s="88" t="str">
        <f>Geometry!T97</f>
        <v/>
      </c>
      <c r="N35" s="267" t="e">
        <f>IF(K35&gt;=G15,1,(K35-M35)/(G15-M35))</f>
        <v>#VALUE!</v>
      </c>
      <c r="O35" s="263"/>
      <c r="P35" s="264"/>
      <c r="Q35" s="454"/>
      <c r="R35" s="583"/>
      <c r="S35" s="602">
        <v>26.8</v>
      </c>
      <c r="T35" s="603">
        <v>32.799999999999997</v>
      </c>
      <c r="U35" s="603">
        <v>38.799999999999997</v>
      </c>
      <c r="V35" s="600">
        <v>8</v>
      </c>
      <c r="W35" s="604"/>
      <c r="X35" s="604"/>
      <c r="Y35" s="604"/>
      <c r="Z35" s="604"/>
      <c r="AA35" s="586"/>
      <c r="AB35" s="587"/>
      <c r="AC35" s="145"/>
      <c r="AD35" s="408"/>
      <c r="AE35" s="171"/>
      <c r="AF35" s="300"/>
      <c r="AG35" s="300"/>
      <c r="AH35" s="300"/>
      <c r="AI35" s="300"/>
      <c r="AJ35" s="300"/>
      <c r="AK35" s="300"/>
      <c r="AL35" s="300"/>
      <c r="AM35" s="300"/>
      <c r="AN35" s="300"/>
      <c r="AO35" s="301"/>
      <c r="AP35" s="301"/>
      <c r="AQ35" s="167"/>
      <c r="AR35" s="409"/>
      <c r="AS35" s="264"/>
      <c r="AT35" s="408"/>
      <c r="AU35" s="314"/>
      <c r="AV35" s="314"/>
      <c r="AW35" s="300"/>
      <c r="AX35" s="300"/>
      <c r="AY35" s="300"/>
      <c r="AZ35" s="300"/>
      <c r="BA35" s="300"/>
      <c r="BB35" s="300"/>
      <c r="BC35" s="300"/>
      <c r="BD35" s="300"/>
      <c r="BE35" s="392"/>
      <c r="BF35" s="145"/>
      <c r="BG35" s="399">
        <v>60</v>
      </c>
      <c r="BH35" s="301">
        <v>24</v>
      </c>
      <c r="BI35" s="301">
        <v>24</v>
      </c>
      <c r="BJ35" s="301">
        <v>24</v>
      </c>
      <c r="BK35" s="301">
        <v>24</v>
      </c>
      <c r="BL35" s="300"/>
      <c r="BM35" s="301"/>
      <c r="BN35" s="301"/>
      <c r="BO35" s="301"/>
      <c r="BP35" s="301"/>
      <c r="BQ35" s="301"/>
      <c r="BR35" s="392"/>
      <c r="BS35" s="264"/>
      <c r="BT35" s="264"/>
    </row>
    <row r="36" spans="1:72" s="144" customFormat="1" ht="12.95" customHeight="1" x14ac:dyDescent="0.2">
      <c r="B36" s="100" t="str">
        <f>IF(AND(D36&lt;&gt;0,D36&lt;G15),"*","")</f>
        <v/>
      </c>
      <c r="C36" s="297"/>
      <c r="D36" s="297"/>
      <c r="E36" s="101" t="str">
        <f>IF(AND(D36&gt;=C36,C36&lt;G15,D36&lt;&gt;0),F36,"")</f>
        <v/>
      </c>
      <c r="F36" s="102">
        <f>IF(D36&gt;G15,1,(D36-C36)/(G15-C36))</f>
        <v>0</v>
      </c>
      <c r="G36" s="17">
        <v>13</v>
      </c>
      <c r="H36" s="103" t="str">
        <f>IF(AND(K36&lt;&gt;0,K36&lt;G15),"*","")</f>
        <v/>
      </c>
      <c r="I36" s="297"/>
      <c r="J36" s="143"/>
      <c r="K36" s="143"/>
      <c r="L36" s="101" t="str">
        <f>IF(AND(K36&gt;=M36,M36&lt;G15,K36&lt;&gt;0),N36*(J36/L39),"")</f>
        <v/>
      </c>
      <c r="M36" s="88" t="str">
        <f>Geometry!T98</f>
        <v/>
      </c>
      <c r="N36" s="267" t="e">
        <f>IF(K36&gt;=G15,1,(K36-M36)/(G15-M36))</f>
        <v>#VALUE!</v>
      </c>
      <c r="O36" s="181"/>
      <c r="P36" s="264"/>
      <c r="Q36" s="454"/>
      <c r="R36" s="583"/>
      <c r="S36" s="602">
        <v>26.4</v>
      </c>
      <c r="T36" s="603">
        <v>32.4</v>
      </c>
      <c r="U36" s="603">
        <v>38.4</v>
      </c>
      <c r="V36" s="600">
        <v>9</v>
      </c>
      <c r="W36" s="586"/>
      <c r="X36" s="586"/>
      <c r="Y36" s="586"/>
      <c r="Z36" s="586"/>
      <c r="AA36" s="586"/>
      <c r="AB36" s="587"/>
      <c r="AC36" s="145"/>
      <c r="AD36" s="408"/>
      <c r="AE36" s="171">
        <f>IF(AND(X32&lt;&gt;0,'Traffic &amp; Accidents'!F22&lt;400),AG36,AE37)</f>
        <v>0</v>
      </c>
      <c r="AF36" s="301" t="s">
        <v>151</v>
      </c>
      <c r="AG36" s="301">
        <f>IF(X32&gt;=28,5,AH36)</f>
        <v>15</v>
      </c>
      <c r="AH36" s="301">
        <f>IF(X32&gt;=27.6,6,AI36)</f>
        <v>15</v>
      </c>
      <c r="AI36" s="301">
        <f>IF(X32&gt;=27.2,7,AJ36)</f>
        <v>15</v>
      </c>
      <c r="AJ36" s="301">
        <f>IF(X32&gt;=26.8,8,AK36)</f>
        <v>15</v>
      </c>
      <c r="AK36" s="301">
        <f>IF(X32&gt;=26.4,9,AL36)</f>
        <v>15</v>
      </c>
      <c r="AL36" s="301">
        <f>IF(X32&gt;=26,10,AM36)</f>
        <v>15</v>
      </c>
      <c r="AM36" s="301">
        <f>IF(X32&gt;=25.6,11,AN36)</f>
        <v>15</v>
      </c>
      <c r="AN36" s="301">
        <f>IF(X32&gt;=25.2,12,AO36)</f>
        <v>15</v>
      </c>
      <c r="AO36" s="301">
        <f>IF(X32&gt;=24.8,13,AP36)</f>
        <v>15</v>
      </c>
      <c r="AP36" s="301">
        <f>IF(X32&gt;=24.4,14,AQ36)</f>
        <v>15</v>
      </c>
      <c r="AQ36" s="168">
        <f>IF(X32&lt;24.4,15,0)</f>
        <v>15</v>
      </c>
      <c r="AR36" s="409"/>
      <c r="AS36" s="264"/>
      <c r="AT36" s="408"/>
      <c r="AU36" s="313" t="s">
        <v>292</v>
      </c>
      <c r="AV36" s="314"/>
      <c r="AW36" s="300"/>
      <c r="AX36" s="300"/>
      <c r="AY36" s="300"/>
      <c r="AZ36" s="300"/>
      <c r="BA36" s="300"/>
      <c r="BB36" s="300"/>
      <c r="BC36" s="300"/>
      <c r="BD36" s="300"/>
      <c r="BE36" s="392"/>
      <c r="BF36" s="145"/>
      <c r="BG36" s="399">
        <v>65</v>
      </c>
      <c r="BH36" s="301">
        <v>24</v>
      </c>
      <c r="BI36" s="301">
        <v>24</v>
      </c>
      <c r="BJ36" s="301">
        <v>24</v>
      </c>
      <c r="BK36" s="301">
        <v>24</v>
      </c>
      <c r="BL36" s="300"/>
      <c r="BM36" s="301"/>
      <c r="BN36" s="301"/>
      <c r="BO36" s="301"/>
      <c r="BP36" s="301"/>
      <c r="BQ36" s="301"/>
      <c r="BR36" s="392"/>
      <c r="BS36" s="264"/>
      <c r="BT36" s="264"/>
    </row>
    <row r="37" spans="1:72" s="144" customFormat="1" ht="12.95" customHeight="1" x14ac:dyDescent="0.2">
      <c r="B37" s="100" t="str">
        <f>IF(AND(D37&lt;&gt;0,D37&lt;G15),"*","")</f>
        <v/>
      </c>
      <c r="C37" s="297"/>
      <c r="D37" s="297"/>
      <c r="E37" s="101" t="str">
        <f>IF(AND(D37&gt;=C37,C37&lt;G15,D37&lt;&gt;0),F37,"")</f>
        <v/>
      </c>
      <c r="F37" s="102">
        <f>IF(D37&gt;G15,1,(D37-C37)/(G15-C37))</f>
        <v>0</v>
      </c>
      <c r="G37" s="17">
        <v>14</v>
      </c>
      <c r="H37" s="103" t="str">
        <f>IF(AND(K37&lt;&gt;0,K37&lt;G15),"*","")</f>
        <v/>
      </c>
      <c r="I37" s="297"/>
      <c r="J37" s="143"/>
      <c r="K37" s="143"/>
      <c r="L37" s="101" t="str">
        <f>IF(AND(K37&gt;=M37,M37&lt;G15,K37&lt;&gt;0),N37*(J37/L39),"")</f>
        <v/>
      </c>
      <c r="M37" s="88" t="str">
        <f>Geometry!T99</f>
        <v/>
      </c>
      <c r="N37" s="267" t="e">
        <f>IF(K37&gt;=G15,1,(K37-M37)/(G15-M37))</f>
        <v>#VALUE!</v>
      </c>
      <c r="P37" s="264"/>
      <c r="Q37" s="454"/>
      <c r="R37" s="583"/>
      <c r="S37" s="602">
        <v>26</v>
      </c>
      <c r="T37" s="603">
        <v>32</v>
      </c>
      <c r="U37" s="603">
        <v>38</v>
      </c>
      <c r="V37" s="600">
        <v>10</v>
      </c>
      <c r="W37" s="586"/>
      <c r="X37" s="586"/>
      <c r="Y37" s="586"/>
      <c r="Z37" s="586"/>
      <c r="AA37" s="586"/>
      <c r="AB37" s="587"/>
      <c r="AC37" s="145"/>
      <c r="AD37" s="408"/>
      <c r="AE37" s="171">
        <f>IF(AND(X32&lt;&gt;0,'Traffic &amp; Accidents'!F22&lt;=2000),AG37,AE38)</f>
        <v>0</v>
      </c>
      <c r="AF37" s="300" t="s">
        <v>142</v>
      </c>
      <c r="AG37" s="301">
        <f>IF(X32&gt;=34,5,AH37)</f>
        <v>15</v>
      </c>
      <c r="AH37" s="301">
        <f>IF(X32&gt;=33.6,6,AI37)</f>
        <v>15</v>
      </c>
      <c r="AI37" s="301">
        <f>IF(X32&gt;=33.2,7,AJ37)</f>
        <v>15</v>
      </c>
      <c r="AJ37" s="301">
        <f>IF(X32&gt;=32.8,8,AK37)</f>
        <v>15</v>
      </c>
      <c r="AK37" s="301">
        <f>IF(X32&gt;=32.4,9,AL37)</f>
        <v>15</v>
      </c>
      <c r="AL37" s="301">
        <f>IF(X32&gt;=32,10,AM37)</f>
        <v>15</v>
      </c>
      <c r="AM37" s="301">
        <f>IF(X32&gt;=31.6,11,AN37)</f>
        <v>15</v>
      </c>
      <c r="AN37" s="301">
        <f>IF(X32&gt;=31.2,12,AO37)</f>
        <v>15</v>
      </c>
      <c r="AO37" s="301">
        <f>IF(X32&gt;=30.8,13,AP37)</f>
        <v>15</v>
      </c>
      <c r="AP37" s="301">
        <f>IF(X32&gt;=30.4,14,AQ37)</f>
        <v>15</v>
      </c>
      <c r="AQ37" s="168">
        <f>IF(X32&lt;30.4,15,0)</f>
        <v>15</v>
      </c>
      <c r="AR37" s="409"/>
      <c r="AS37" s="264"/>
      <c r="AT37" s="408"/>
      <c r="AU37" s="314"/>
      <c r="AV37" s="314"/>
      <c r="AW37" s="300"/>
      <c r="AX37" s="300"/>
      <c r="AY37" s="300"/>
      <c r="AZ37" s="300"/>
      <c r="BA37" s="300"/>
      <c r="BB37" s="300"/>
      <c r="BC37" s="300"/>
      <c r="BD37" s="300"/>
      <c r="BE37" s="392"/>
      <c r="BF37" s="145"/>
      <c r="BG37" s="399">
        <v>70</v>
      </c>
      <c r="BH37" s="301">
        <v>24</v>
      </c>
      <c r="BI37" s="301">
        <v>24</v>
      </c>
      <c r="BJ37" s="301">
        <v>24</v>
      </c>
      <c r="BK37" s="301">
        <v>24</v>
      </c>
      <c r="BL37" s="300"/>
      <c r="BM37" s="301"/>
      <c r="BN37" s="301"/>
      <c r="BO37" s="301"/>
      <c r="BP37" s="301"/>
      <c r="BQ37" s="301"/>
      <c r="BR37" s="392"/>
      <c r="BS37" s="264"/>
      <c r="BT37" s="264"/>
    </row>
    <row r="38" spans="1:72" s="144" customFormat="1" ht="12.95" customHeight="1" x14ac:dyDescent="0.2">
      <c r="B38" s="48"/>
      <c r="C38" s="28">
        <f>IF(F10&lt;&gt;0,0,Geometry!K71*E38)</f>
        <v>0</v>
      </c>
      <c r="D38" s="7" t="s">
        <v>4</v>
      </c>
      <c r="E38" s="27">
        <f>IF(SUM(E24:E37)=0,1,(SUM(E24:E37)/(COUNT(E24:E37))))</f>
        <v>1</v>
      </c>
      <c r="F38" s="70" t="s">
        <v>340</v>
      </c>
      <c r="G38" s="7"/>
      <c r="H38" s="7"/>
      <c r="I38" s="28" t="e">
        <f>IF(F10&lt;&gt;0,0,Geometry!J129*L38)</f>
        <v>#DIV/0!</v>
      </c>
      <c r="J38" s="70" t="s">
        <v>4</v>
      </c>
      <c r="K38" s="7"/>
      <c r="L38" s="27">
        <f>IF(SUM(L24:L37)=0,1,SUM(L24:L37))</f>
        <v>1</v>
      </c>
      <c r="M38" s="292" t="s">
        <v>377</v>
      </c>
      <c r="N38" s="181"/>
      <c r="P38" s="264"/>
      <c r="Q38" s="454"/>
      <c r="R38" s="583"/>
      <c r="S38" s="602">
        <v>25.6</v>
      </c>
      <c r="T38" s="603">
        <v>31.6</v>
      </c>
      <c r="U38" s="603">
        <v>37.6</v>
      </c>
      <c r="V38" s="600">
        <v>11</v>
      </c>
      <c r="W38" s="586"/>
      <c r="X38" s="586"/>
      <c r="Y38" s="683" t="s">
        <v>451</v>
      </c>
      <c r="Z38" s="683"/>
      <c r="AA38" s="683"/>
      <c r="AB38" s="684"/>
      <c r="AC38" s="145"/>
      <c r="AD38" s="410"/>
      <c r="AE38" s="171">
        <f>IF(AND(X32&lt;&gt;0,'Traffic &amp; Accidents'!F22&gt;2000),AG38,0)</f>
        <v>0</v>
      </c>
      <c r="AF38" s="301" t="s">
        <v>152</v>
      </c>
      <c r="AG38" s="301">
        <f>IF(X32&gt;=40,5,AH38)</f>
        <v>15</v>
      </c>
      <c r="AH38" s="301">
        <f>IF(X32&gt;=39.6,6,AI38)</f>
        <v>15</v>
      </c>
      <c r="AI38" s="301">
        <f>IF(X32&gt;=39.2,7,AJ38)</f>
        <v>15</v>
      </c>
      <c r="AJ38" s="301">
        <f>IF(X32&gt;=38.8,8,AK38)</f>
        <v>15</v>
      </c>
      <c r="AK38" s="301">
        <f>IF(X32&gt;=38.4,9,AL38)</f>
        <v>15</v>
      </c>
      <c r="AL38" s="301">
        <f>IF(X32&gt;=38,10,AM38)</f>
        <v>15</v>
      </c>
      <c r="AM38" s="301">
        <f>IF(X32&gt;=37.6,11,AN38)</f>
        <v>15</v>
      </c>
      <c r="AN38" s="301">
        <f>IF(X32&gt;=37.2,12,AO38)</f>
        <v>15</v>
      </c>
      <c r="AO38" s="301">
        <f>IF(X32&gt;=36.8,13,AP38)</f>
        <v>15</v>
      </c>
      <c r="AP38" s="301">
        <f>IF(X32&gt;=36.4,14,AQ38)</f>
        <v>15</v>
      </c>
      <c r="AQ38" s="168">
        <f>IF(X32&lt;36.4,15,0)</f>
        <v>15</v>
      </c>
      <c r="AR38" s="409"/>
      <c r="AS38" s="264"/>
      <c r="AT38" s="399"/>
      <c r="AU38" s="325">
        <f>IF(OR(AU9=7,AU9=8),AU44,AZ44)</f>
        <v>22</v>
      </c>
      <c r="AV38" s="326" t="s">
        <v>308</v>
      </c>
      <c r="AW38" s="300"/>
      <c r="AX38" s="300"/>
      <c r="AY38" s="300"/>
      <c r="AZ38" s="300"/>
      <c r="BA38" s="300"/>
      <c r="BB38" s="300"/>
      <c r="BC38" s="300"/>
      <c r="BD38" s="300"/>
      <c r="BE38" s="392"/>
      <c r="BF38" s="145"/>
      <c r="BG38" s="399">
        <v>75</v>
      </c>
      <c r="BH38" s="301">
        <v>24</v>
      </c>
      <c r="BI38" s="301">
        <v>24</v>
      </c>
      <c r="BJ38" s="301">
        <v>24</v>
      </c>
      <c r="BK38" s="301">
        <v>24</v>
      </c>
      <c r="BL38" s="300"/>
      <c r="BM38" s="301"/>
      <c r="BN38" s="301"/>
      <c r="BO38" s="301"/>
      <c r="BP38" s="301"/>
      <c r="BQ38" s="301"/>
      <c r="BR38" s="392"/>
      <c r="BS38" s="264"/>
      <c r="BT38" s="264"/>
    </row>
    <row r="39" spans="1:72" ht="12.95" customHeight="1" x14ac:dyDescent="0.2">
      <c r="A39" s="144"/>
      <c r="B39" s="104" t="str">
        <f>IF(AND(E38&lt;&gt;0,E38&lt;1),"*","")</f>
        <v/>
      </c>
      <c r="C39" s="105" t="str">
        <f>IF(AND(E38&lt;&gt;0,E38&lt;1),"May need deviation approval","")</f>
        <v/>
      </c>
      <c r="D39" s="105"/>
      <c r="E39" s="105"/>
      <c r="F39" s="7"/>
      <c r="G39" s="7"/>
      <c r="H39" s="106" t="str">
        <f>IF(AND(L38&lt;&gt;0,L38&lt;1),"*","")</f>
        <v/>
      </c>
      <c r="I39" s="105" t="str">
        <f>IF(AND(L38&lt;&gt;0,L38&lt;1),"May need deviation approval","")</f>
        <v/>
      </c>
      <c r="J39" s="105"/>
      <c r="K39" s="76"/>
      <c r="L39" s="19">
        <f>SUM(J24:J37)</f>
        <v>0</v>
      </c>
      <c r="M39" s="293" t="s">
        <v>343</v>
      </c>
      <c r="N39" s="144"/>
      <c r="Q39" s="454"/>
      <c r="R39" s="583"/>
      <c r="S39" s="602">
        <v>25.2</v>
      </c>
      <c r="T39" s="603">
        <v>31.2</v>
      </c>
      <c r="U39" s="603">
        <v>37.200000000000003</v>
      </c>
      <c r="V39" s="600">
        <v>12</v>
      </c>
      <c r="W39" s="586"/>
      <c r="X39" s="586"/>
      <c r="Y39" s="683"/>
      <c r="Z39" s="683"/>
      <c r="AA39" s="683"/>
      <c r="AB39" s="684"/>
      <c r="AC39" s="145"/>
      <c r="AD39" s="410"/>
      <c r="AE39" s="172"/>
      <c r="AF39" s="173"/>
      <c r="AG39" s="173"/>
      <c r="AH39" s="173"/>
      <c r="AI39" s="173"/>
      <c r="AJ39" s="173"/>
      <c r="AK39" s="173"/>
      <c r="AL39" s="173"/>
      <c r="AM39" s="173"/>
      <c r="AN39" s="173"/>
      <c r="AO39" s="174"/>
      <c r="AP39" s="174"/>
      <c r="AQ39" s="308"/>
      <c r="AR39" s="409"/>
      <c r="AT39" s="399"/>
      <c r="AU39" s="300"/>
      <c r="AV39" s="300"/>
      <c r="AW39" s="300"/>
      <c r="AX39" s="300"/>
      <c r="AY39" s="300"/>
      <c r="AZ39" s="300"/>
      <c r="BA39" s="300"/>
      <c r="BB39" s="300"/>
      <c r="BC39" s="300"/>
      <c r="BD39" s="300"/>
      <c r="BE39" s="392"/>
      <c r="BF39" s="145"/>
      <c r="BG39" s="408"/>
      <c r="BH39" s="300"/>
      <c r="BI39" s="300"/>
      <c r="BJ39" s="300"/>
      <c r="BK39" s="300"/>
      <c r="BL39" s="300"/>
      <c r="BM39" s="300"/>
      <c r="BN39" s="300"/>
      <c r="BO39" s="300"/>
      <c r="BP39" s="300"/>
      <c r="BQ39" s="300"/>
      <c r="BR39" s="392"/>
    </row>
    <row r="40" spans="1:72" ht="12.95" customHeight="1" thickBot="1" x14ac:dyDescent="0.25">
      <c r="A40" s="144"/>
      <c r="B40" s="58"/>
      <c r="C40" s="59"/>
      <c r="D40" s="107" t="str">
        <f>IF(AND(F10&lt;&gt;"",SUM(C24:C37,I24:I37)&lt;&gt;0),"You have input a Gravel Roadbed Width. 
Alignment points aren't available for Gravel Roads.","")</f>
        <v/>
      </c>
      <c r="E40" s="107"/>
      <c r="F40" s="107"/>
      <c r="G40" s="107"/>
      <c r="H40" s="107"/>
      <c r="I40" s="107"/>
      <c r="J40" s="107"/>
      <c r="K40" s="59"/>
      <c r="L40" s="59"/>
      <c r="M40" s="294" t="s">
        <v>344</v>
      </c>
      <c r="N40" s="144"/>
      <c r="Q40" s="454"/>
      <c r="R40" s="583"/>
      <c r="S40" s="602">
        <v>24.8</v>
      </c>
      <c r="T40" s="603">
        <v>30.8</v>
      </c>
      <c r="U40" s="603">
        <v>36.799999999999997</v>
      </c>
      <c r="V40" s="600">
        <v>13</v>
      </c>
      <c r="W40" s="586"/>
      <c r="X40" s="586"/>
      <c r="Y40" s="683"/>
      <c r="Z40" s="683"/>
      <c r="AA40" s="683"/>
      <c r="AB40" s="684"/>
      <c r="AC40" s="145"/>
      <c r="AD40" s="410"/>
      <c r="AE40" s="300"/>
      <c r="AF40" s="300"/>
      <c r="AG40" s="300"/>
      <c r="AH40" s="300"/>
      <c r="AI40" s="300"/>
      <c r="AJ40" s="300"/>
      <c r="AK40" s="300"/>
      <c r="AL40" s="300"/>
      <c r="AM40" s="300"/>
      <c r="AN40" s="300"/>
      <c r="AO40" s="300"/>
      <c r="AP40" s="300"/>
      <c r="AQ40" s="300"/>
      <c r="AR40" s="409"/>
      <c r="AT40" s="399"/>
      <c r="AU40" s="301"/>
      <c r="AV40" s="300"/>
      <c r="AW40" s="300"/>
      <c r="AX40" s="300"/>
      <c r="AY40" s="300"/>
      <c r="AZ40" s="300"/>
      <c r="BA40" s="300"/>
      <c r="BB40" s="300"/>
      <c r="BC40" s="300"/>
      <c r="BD40" s="300"/>
      <c r="BE40" s="392"/>
      <c r="BF40" s="145"/>
      <c r="BG40" s="408"/>
      <c r="BH40" s="300"/>
      <c r="BI40" s="300"/>
      <c r="BJ40" s="300"/>
      <c r="BK40" s="300"/>
      <c r="BL40" s="300"/>
      <c r="BM40" s="300"/>
      <c r="BN40" s="300"/>
      <c r="BO40" s="300"/>
      <c r="BP40" s="300"/>
      <c r="BQ40" s="300"/>
      <c r="BR40" s="392"/>
    </row>
    <row r="41" spans="1:72" ht="12.95" customHeight="1" thickBot="1" x14ac:dyDescent="0.25">
      <c r="C41" s="265"/>
      <c r="D41" s="266"/>
      <c r="E41" s="266"/>
      <c r="F41" s="266"/>
      <c r="G41" s="266"/>
      <c r="H41" s="266"/>
      <c r="I41" s="266"/>
      <c r="J41" s="266"/>
      <c r="Q41" s="454"/>
      <c r="R41" s="583"/>
      <c r="S41" s="602">
        <v>24.4</v>
      </c>
      <c r="T41" s="603">
        <v>30.4</v>
      </c>
      <c r="U41" s="603">
        <v>36.4</v>
      </c>
      <c r="V41" s="600">
        <v>14</v>
      </c>
      <c r="W41" s="586"/>
      <c r="X41" s="586"/>
      <c r="Y41" s="586"/>
      <c r="Z41" s="586"/>
      <c r="AA41" s="586"/>
      <c r="AB41" s="587"/>
      <c r="AC41" s="145"/>
      <c r="AD41" s="410"/>
      <c r="AE41" s="350"/>
      <c r="AF41" s="350"/>
      <c r="AG41" s="350"/>
      <c r="AH41" s="350"/>
      <c r="AI41" s="350"/>
      <c r="AJ41" s="350"/>
      <c r="AK41" s="350"/>
      <c r="AL41" s="350"/>
      <c r="AM41" s="350"/>
      <c r="AN41" s="350"/>
      <c r="AO41" s="350"/>
      <c r="AP41" s="350"/>
      <c r="AQ41" s="350"/>
      <c r="AR41" s="409"/>
      <c r="AT41" s="399"/>
      <c r="AU41" s="680" t="s">
        <v>293</v>
      </c>
      <c r="AV41" s="680"/>
      <c r="AW41" s="680"/>
      <c r="AX41" s="680"/>
      <c r="AY41" s="300"/>
      <c r="AZ41" s="680" t="s">
        <v>294</v>
      </c>
      <c r="BA41" s="680"/>
      <c r="BB41" s="680"/>
      <c r="BC41" s="300"/>
      <c r="BD41" s="300"/>
      <c r="BE41" s="392"/>
      <c r="BF41" s="145"/>
      <c r="BG41" s="400"/>
      <c r="BH41" s="341"/>
      <c r="BI41" s="341"/>
      <c r="BJ41" s="341"/>
      <c r="BK41" s="341"/>
      <c r="BL41" s="341"/>
      <c r="BM41" s="341"/>
      <c r="BN41" s="341"/>
      <c r="BO41" s="341"/>
      <c r="BP41" s="341"/>
      <c r="BQ41" s="341"/>
      <c r="BR41" s="401"/>
    </row>
    <row r="42" spans="1:72" ht="12.95" customHeight="1" thickTop="1" x14ac:dyDescent="0.2">
      <c r="Q42" s="454"/>
      <c r="R42" s="583"/>
      <c r="S42" s="605" t="s">
        <v>328</v>
      </c>
      <c r="T42" s="606" t="s">
        <v>329</v>
      </c>
      <c r="U42" s="606" t="s">
        <v>330</v>
      </c>
      <c r="V42" s="607">
        <v>15</v>
      </c>
      <c r="W42" s="586"/>
      <c r="X42" s="586"/>
      <c r="Y42" s="586"/>
      <c r="Z42" s="586"/>
      <c r="AA42" s="586"/>
      <c r="AB42" s="587"/>
      <c r="AC42" s="145"/>
      <c r="AD42" s="410"/>
      <c r="AE42" s="350"/>
      <c r="AF42" s="350"/>
      <c r="AG42" s="350"/>
      <c r="AH42" s="350"/>
      <c r="AI42" s="350"/>
      <c r="AJ42" s="350"/>
      <c r="AK42" s="350"/>
      <c r="AL42" s="350"/>
      <c r="AM42" s="350"/>
      <c r="AN42" s="350"/>
      <c r="AO42" s="350"/>
      <c r="AP42" s="350"/>
      <c r="AQ42" s="350"/>
      <c r="AR42" s="409"/>
      <c r="AT42" s="399"/>
      <c r="AU42" s="327"/>
      <c r="AV42" s="301"/>
      <c r="AW42" s="300"/>
      <c r="AX42" s="300"/>
      <c r="AY42" s="300"/>
      <c r="AZ42" s="300"/>
      <c r="BA42" s="300"/>
      <c r="BB42" s="300"/>
      <c r="BC42" s="300"/>
      <c r="BD42" s="300"/>
      <c r="BE42" s="392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</row>
    <row r="43" spans="1:72" ht="12.95" customHeight="1" x14ac:dyDescent="0.2">
      <c r="R43" s="608" t="s">
        <v>288</v>
      </c>
      <c r="S43" s="609">
        <v>24</v>
      </c>
      <c r="T43" s="609">
        <v>34</v>
      </c>
      <c r="U43" s="609">
        <v>40</v>
      </c>
      <c r="V43" s="586"/>
      <c r="W43" s="586"/>
      <c r="X43" s="586"/>
      <c r="Y43" s="586"/>
      <c r="Z43" s="586"/>
      <c r="AA43" s="586"/>
      <c r="AB43" s="587"/>
      <c r="AC43" s="145"/>
      <c r="AD43" s="41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0"/>
      <c r="AP43" s="350"/>
      <c r="AQ43" s="350"/>
      <c r="AR43" s="409"/>
      <c r="AT43" s="399"/>
      <c r="AU43" s="174" t="s">
        <v>141</v>
      </c>
      <c r="AV43" s="174" t="s">
        <v>295</v>
      </c>
      <c r="AW43" s="174" t="s">
        <v>296</v>
      </c>
      <c r="AX43" s="174" t="s">
        <v>143</v>
      </c>
      <c r="AY43" s="300"/>
      <c r="AZ43" s="174" t="s">
        <v>297</v>
      </c>
      <c r="BA43" s="174" t="s">
        <v>298</v>
      </c>
      <c r="BB43" s="174" t="s">
        <v>143</v>
      </c>
      <c r="BC43" s="300"/>
      <c r="BD43" s="300"/>
      <c r="BE43" s="392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</row>
    <row r="44" spans="1:72" ht="12.95" customHeight="1" x14ac:dyDescent="0.2">
      <c r="R44" s="583"/>
      <c r="S44" s="586"/>
      <c r="T44" s="586" t="s">
        <v>159</v>
      </c>
      <c r="U44" s="586"/>
      <c r="V44" s="601">
        <f>AE34</f>
        <v>0</v>
      </c>
      <c r="W44" s="604"/>
      <c r="X44" s="604"/>
      <c r="Y44" s="604" t="s">
        <v>162</v>
      </c>
      <c r="Z44" s="604"/>
      <c r="AA44" s="604"/>
      <c r="AB44" s="610">
        <f>IF(X32&lt;&gt;0,V44,SUM(V26,AA26))</f>
        <v>0</v>
      </c>
      <c r="AC44" s="389"/>
      <c r="AD44" s="410"/>
      <c r="AE44" s="350"/>
      <c r="AF44" s="350"/>
      <c r="AG44" s="350"/>
      <c r="AH44" s="350"/>
      <c r="AI44" s="350"/>
      <c r="AJ44" s="350"/>
      <c r="AK44" s="350"/>
      <c r="AL44" s="350"/>
      <c r="AM44" s="350"/>
      <c r="AN44" s="350"/>
      <c r="AO44" s="350"/>
      <c r="AP44" s="350"/>
      <c r="AQ44" s="350"/>
      <c r="AR44" s="409"/>
      <c r="AT44" s="399"/>
      <c r="AU44" s="333">
        <f>IF(AND(Geometry!Q60&lt;=50,'Traffic &amp; Accidents'!F22&lt;400),20,AU45)</f>
        <v>20</v>
      </c>
      <c r="AV44" s="301">
        <f>IF(AND(Geometry!Q60&lt;=30,'Traffic &amp; Accidents'!F22&lt;1501),20,AV45)</f>
        <v>22</v>
      </c>
      <c r="AW44" s="301">
        <f>IF(AND(Geometry!Q60&lt;=50,'Traffic &amp; Accidents'!F22&lt;=2000),22,AW45)</f>
        <v>22</v>
      </c>
      <c r="AX44" s="301">
        <f>IF('Traffic &amp; Accidents'!F22&gt;2000,24,0)</f>
        <v>0</v>
      </c>
      <c r="AY44" s="300"/>
      <c r="AZ44" s="333">
        <f>IF(AND(Geometry!Q60&lt;60,'Traffic &amp; Accidents'!F22&lt;1501),22,AZ45)</f>
        <v>22</v>
      </c>
      <c r="BA44" s="301">
        <f>IF(AND(Geometry!Q60&lt;50,'Traffic &amp; Accidents'!F22&lt;2001),22,BA45)</f>
        <v>22</v>
      </c>
      <c r="BB44" s="301">
        <f>IF('Traffic &amp; Accidents'!F22&gt;2000,24,0)</f>
        <v>0</v>
      </c>
      <c r="BC44" s="314"/>
      <c r="BD44" s="314"/>
      <c r="BE44" s="392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</row>
    <row r="45" spans="1:72" ht="12.95" customHeight="1" thickBot="1" x14ac:dyDescent="0.25">
      <c r="R45" s="400"/>
      <c r="S45" s="341"/>
      <c r="T45" s="342"/>
      <c r="U45" s="343"/>
      <c r="V45" s="341"/>
      <c r="W45" s="341"/>
      <c r="X45" s="341"/>
      <c r="Y45" s="341"/>
      <c r="Z45" s="341"/>
      <c r="AA45" s="341"/>
      <c r="AB45" s="401"/>
      <c r="AC45" s="145"/>
      <c r="AD45" s="411"/>
      <c r="AE45" s="412"/>
      <c r="AF45" s="412"/>
      <c r="AG45" s="412"/>
      <c r="AH45" s="412"/>
      <c r="AI45" s="412"/>
      <c r="AJ45" s="412"/>
      <c r="AK45" s="412"/>
      <c r="AL45" s="412"/>
      <c r="AM45" s="412"/>
      <c r="AN45" s="412"/>
      <c r="AO45" s="412"/>
      <c r="AP45" s="412"/>
      <c r="AQ45" s="412"/>
      <c r="AR45" s="413"/>
      <c r="AT45" s="411"/>
      <c r="AU45" s="342">
        <f>IF(AND(Geometry!Q60&gt;50,'Traffic &amp; Accidents'!F22&lt;400),22,AV44)</f>
        <v>22</v>
      </c>
      <c r="AV45" s="342">
        <f>IF(AND(Geometry!Q60&gt;=35,'Traffic &amp; Accidents'!F22&lt;1501),22,AW44)</f>
        <v>22</v>
      </c>
      <c r="AW45" s="342">
        <f>IF(AND(Geometry!Q60&gt;=55,'Traffic &amp; Accidents'!F22&lt;=2001),24,AX44)</f>
        <v>0</v>
      </c>
      <c r="AX45" s="423"/>
      <c r="AY45" s="341"/>
      <c r="AZ45" s="342">
        <f>IF(AND(Geometry!Q60&gt;55,'Traffic &amp; Accidents'!F22&lt;1501),24,BA44)</f>
        <v>22</v>
      </c>
      <c r="BA45" s="342">
        <f>IF(AND(Geometry!Q60&gt;=50,'Traffic &amp; Accidents'!F22&lt;=2001),24,BB44)</f>
        <v>0</v>
      </c>
      <c r="BB45" s="342"/>
      <c r="BC45" s="424"/>
      <c r="BD45" s="341"/>
      <c r="BE45" s="401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</row>
    <row r="46" spans="1:72" ht="12.95" customHeight="1" thickTop="1" x14ac:dyDescent="0.2"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S46" s="150"/>
      <c r="AU46" s="301"/>
      <c r="AV46" s="301"/>
      <c r="AW46" s="301"/>
      <c r="AX46" s="327"/>
      <c r="AY46" s="300"/>
      <c r="AZ46" s="145"/>
      <c r="BA46" s="301"/>
      <c r="BB46" s="301"/>
      <c r="BC46" s="300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</row>
    <row r="47" spans="1:72" ht="12.95" customHeight="1" x14ac:dyDescent="0.2">
      <c r="AS47" s="150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</row>
    <row r="48" spans="1:72" ht="12.95" customHeight="1" x14ac:dyDescent="0.2">
      <c r="AR48" s="150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</row>
    <row r="49" spans="1:68" ht="12.95" customHeight="1" x14ac:dyDescent="0.2">
      <c r="AR49" s="145"/>
      <c r="AT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</row>
    <row r="50" spans="1:68" ht="12.95" customHeight="1" x14ac:dyDescent="0.2">
      <c r="AR50" s="145"/>
      <c r="AS50" s="145"/>
      <c r="AT50" s="145"/>
      <c r="BA50" s="301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</row>
    <row r="51" spans="1:68" ht="12.95" customHeight="1" x14ac:dyDescent="0.2">
      <c r="AR51" s="145"/>
      <c r="AS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</row>
    <row r="52" spans="1:68" ht="12.95" customHeight="1" x14ac:dyDescent="0.2">
      <c r="A52" s="627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</row>
    <row r="53" spans="1:68" ht="12.95" customHeight="1" x14ac:dyDescent="0.2">
      <c r="A53" s="627"/>
      <c r="B53" s="380" t="s">
        <v>163</v>
      </c>
      <c r="C53" s="381"/>
      <c r="D53" s="381"/>
      <c r="E53" s="381"/>
      <c r="F53" s="381"/>
      <c r="G53" s="163"/>
      <c r="H53" s="163"/>
      <c r="I53" s="163"/>
      <c r="J53" s="163"/>
      <c r="K53" s="163"/>
      <c r="L53" s="165"/>
      <c r="M53" s="385"/>
      <c r="N53" s="381"/>
      <c r="O53" s="381"/>
      <c r="P53" s="381"/>
      <c r="Q53" s="381"/>
      <c r="R53" s="163"/>
      <c r="S53" s="165"/>
      <c r="T53" s="351"/>
      <c r="U53" s="162"/>
      <c r="V53" s="163"/>
      <c r="W53" s="163"/>
      <c r="X53" s="163"/>
      <c r="Y53" s="163"/>
      <c r="Z53" s="163"/>
      <c r="AA53" s="163"/>
      <c r="AB53" s="163"/>
      <c r="AC53" s="165"/>
      <c r="AD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</row>
    <row r="54" spans="1:68" ht="12.95" customHeight="1" x14ac:dyDescent="0.2">
      <c r="A54" s="627"/>
      <c r="B54" s="166"/>
      <c r="C54" s="300"/>
      <c r="D54" s="300"/>
      <c r="E54" s="300"/>
      <c r="F54" s="300"/>
      <c r="G54" s="300"/>
      <c r="H54" s="300"/>
      <c r="I54" s="300"/>
      <c r="J54" s="300"/>
      <c r="K54" s="300"/>
      <c r="L54" s="167"/>
      <c r="M54" s="166"/>
      <c r="N54" s="300"/>
      <c r="O54" s="363"/>
      <c r="P54" s="363"/>
      <c r="Q54" s="300"/>
      <c r="R54" s="300"/>
      <c r="S54" s="167"/>
      <c r="T54" s="351"/>
      <c r="U54" s="166"/>
      <c r="V54" s="300" t="s">
        <v>166</v>
      </c>
      <c r="W54" s="300"/>
      <c r="X54" s="300"/>
      <c r="Y54" s="300"/>
      <c r="Z54" s="300"/>
      <c r="AA54" s="300"/>
      <c r="AB54" s="300"/>
      <c r="AC54" s="167"/>
      <c r="AD54" s="145"/>
      <c r="AF54" s="162" t="s">
        <v>333</v>
      </c>
      <c r="AG54" s="163"/>
      <c r="AH54" s="163"/>
      <c r="AI54" s="163"/>
      <c r="AJ54" s="163"/>
      <c r="AK54" s="163"/>
      <c r="AL54" s="163"/>
      <c r="AM54" s="163"/>
      <c r="AN54" s="16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</row>
    <row r="55" spans="1:68" ht="12.95" customHeight="1" x14ac:dyDescent="0.2">
      <c r="A55" s="627"/>
      <c r="B55" s="166" t="s">
        <v>164</v>
      </c>
      <c r="C55" s="350"/>
      <c r="D55" s="300"/>
      <c r="E55" s="300"/>
      <c r="F55" s="300"/>
      <c r="G55" s="300"/>
      <c r="H55" s="300"/>
      <c r="I55" s="300"/>
      <c r="J55" s="300"/>
      <c r="K55" s="300"/>
      <c r="L55" s="167"/>
      <c r="M55" s="166"/>
      <c r="N55" s="300"/>
      <c r="O55" s="300" t="s">
        <v>168</v>
      </c>
      <c r="P55" s="300"/>
      <c r="Q55" s="300"/>
      <c r="R55" s="300"/>
      <c r="S55" s="167"/>
      <c r="T55" s="352"/>
      <c r="U55" s="387" t="s">
        <v>169</v>
      </c>
      <c r="V55" s="326" t="s">
        <v>210</v>
      </c>
      <c r="W55" s="300"/>
      <c r="X55" s="354" t="s">
        <v>170</v>
      </c>
      <c r="Y55" s="355" t="s">
        <v>171</v>
      </c>
      <c r="Z55" s="300"/>
      <c r="AA55" s="300"/>
      <c r="AB55" s="300"/>
      <c r="AC55" s="167"/>
      <c r="AD55" s="145"/>
      <c r="AF55" s="166"/>
      <c r="AG55" s="300"/>
      <c r="AH55" s="300"/>
      <c r="AI55" s="300"/>
      <c r="AJ55" s="300"/>
      <c r="AK55" s="300"/>
      <c r="AL55" s="300"/>
      <c r="AM55" s="300"/>
      <c r="AN55" s="167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</row>
    <row r="56" spans="1:68" ht="12.95" customHeight="1" x14ac:dyDescent="0.2">
      <c r="A56" s="627"/>
      <c r="B56" s="166" t="s">
        <v>165</v>
      </c>
      <c r="C56" s="350"/>
      <c r="D56" s="300"/>
      <c r="E56" s="300"/>
      <c r="F56" s="300"/>
      <c r="G56" s="300"/>
      <c r="H56" s="300"/>
      <c r="I56" s="300"/>
      <c r="J56" s="300"/>
      <c r="K56" s="300"/>
      <c r="L56" s="167"/>
      <c r="M56" s="166"/>
      <c r="N56" s="300"/>
      <c r="O56" s="317">
        <f>Geometry!E14</f>
        <v>0</v>
      </c>
      <c r="P56" s="300" t="s">
        <v>174</v>
      </c>
      <c r="Q56" s="300"/>
      <c r="R56" s="300"/>
      <c r="S56" s="167"/>
      <c r="T56" s="145"/>
      <c r="U56" s="166"/>
      <c r="V56" s="354" t="s">
        <v>175</v>
      </c>
      <c r="W56" s="300"/>
      <c r="X56" s="300"/>
      <c r="Y56" s="300"/>
      <c r="Z56" s="300"/>
      <c r="AA56" s="300"/>
      <c r="AB56" s="300"/>
      <c r="AC56" s="167"/>
      <c r="AD56" s="145"/>
      <c r="AF56" s="356" t="s">
        <v>322</v>
      </c>
      <c r="AG56" s="300"/>
      <c r="AH56" s="675" t="s">
        <v>323</v>
      </c>
      <c r="AI56" s="675"/>
      <c r="AJ56" s="357"/>
      <c r="AK56" s="357" t="s">
        <v>327</v>
      </c>
      <c r="AL56" s="357"/>
      <c r="AM56" s="357"/>
      <c r="AN56" s="167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</row>
    <row r="57" spans="1:68" ht="12.95" customHeight="1" x14ac:dyDescent="0.2">
      <c r="A57" s="627"/>
      <c r="B57" s="166"/>
      <c r="C57" s="350"/>
      <c r="D57" s="300" t="s">
        <v>167</v>
      </c>
      <c r="E57" s="300"/>
      <c r="F57" s="300"/>
      <c r="G57" s="300"/>
      <c r="H57" s="300"/>
      <c r="I57" s="300"/>
      <c r="J57" s="300"/>
      <c r="K57" s="300"/>
      <c r="L57" s="167"/>
      <c r="M57" s="166"/>
      <c r="N57" s="300"/>
      <c r="O57" s="364">
        <f>Geometry!E15</f>
        <v>0</v>
      </c>
      <c r="P57" s="300" t="s">
        <v>180</v>
      </c>
      <c r="Q57" s="300"/>
      <c r="R57" s="300"/>
      <c r="S57" s="167"/>
      <c r="T57" s="145"/>
      <c r="U57" s="171">
        <v>1</v>
      </c>
      <c r="V57" s="317">
        <f>Geometry!C24</f>
        <v>0</v>
      </c>
      <c r="W57" s="300"/>
      <c r="X57" s="301">
        <f>IF(V57&gt;=Q60,0,V57/Q60)</f>
        <v>0</v>
      </c>
      <c r="Y57" s="301">
        <f t="shared" ref="Y57:Y70" si="0">IF(X57&gt;0,1-X57,0)</f>
        <v>0</v>
      </c>
      <c r="Z57" s="300"/>
      <c r="AA57" s="358" t="s">
        <v>172</v>
      </c>
      <c r="AB57" s="301">
        <f>SUM(Y57:Y70)</f>
        <v>0</v>
      </c>
      <c r="AC57" s="167"/>
      <c r="AD57" s="145"/>
      <c r="AF57" s="166"/>
      <c r="AG57" s="300"/>
      <c r="AH57" s="300"/>
      <c r="AI57" s="300"/>
      <c r="AJ57" s="300"/>
      <c r="AK57" s="303" t="s">
        <v>151</v>
      </c>
      <c r="AL57" s="303" t="s">
        <v>142</v>
      </c>
      <c r="AM57" s="303" t="s">
        <v>143</v>
      </c>
      <c r="AN57" s="359" t="s">
        <v>61</v>
      </c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</row>
    <row r="58" spans="1:68" ht="12.95" customHeight="1" x14ac:dyDescent="0.2">
      <c r="A58" s="627"/>
      <c r="B58" s="166"/>
      <c r="C58" s="350"/>
      <c r="D58" s="300" t="s">
        <v>173</v>
      </c>
      <c r="E58" s="300"/>
      <c r="F58" s="300"/>
      <c r="G58" s="300"/>
      <c r="H58" s="300"/>
      <c r="I58" s="300"/>
      <c r="J58" s="300"/>
      <c r="K58" s="300"/>
      <c r="L58" s="167"/>
      <c r="M58" s="166"/>
      <c r="N58" s="300"/>
      <c r="O58" s="364">
        <f>Geometry!E16</f>
        <v>0</v>
      </c>
      <c r="P58" s="300" t="s">
        <v>181</v>
      </c>
      <c r="Q58" s="300"/>
      <c r="R58" s="300"/>
      <c r="S58" s="167"/>
      <c r="T58" s="145"/>
      <c r="U58" s="171">
        <v>2</v>
      </c>
      <c r="V58" s="317">
        <f>Geometry!C25</f>
        <v>0</v>
      </c>
      <c r="W58" s="300"/>
      <c r="X58" s="301">
        <f>IF(V58&gt;=Q60,0,V58/Q60)</f>
        <v>0</v>
      </c>
      <c r="Y58" s="301">
        <f t="shared" si="0"/>
        <v>0</v>
      </c>
      <c r="Z58" s="300"/>
      <c r="AA58" s="358" t="s">
        <v>176</v>
      </c>
      <c r="AB58" s="301">
        <f>'Traffic &amp; Accidents'!E45</f>
        <v>0</v>
      </c>
      <c r="AC58" s="386" t="s">
        <v>177</v>
      </c>
      <c r="AD58" s="145"/>
      <c r="AF58" s="166" t="s">
        <v>174</v>
      </c>
      <c r="AG58" s="300"/>
      <c r="AH58" s="674" t="s">
        <v>324</v>
      </c>
      <c r="AI58" s="674"/>
      <c r="AJ58" s="301"/>
      <c r="AK58" s="301">
        <v>60</v>
      </c>
      <c r="AL58" s="301">
        <v>65</v>
      </c>
      <c r="AM58" s="301">
        <v>70</v>
      </c>
      <c r="AN58" s="167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</row>
    <row r="59" spans="1:68" ht="12.95" customHeight="1" x14ac:dyDescent="0.2">
      <c r="A59" s="627"/>
      <c r="B59" s="166"/>
      <c r="C59" s="350"/>
      <c r="D59" s="300" t="s">
        <v>178</v>
      </c>
      <c r="E59" s="300"/>
      <c r="F59" s="300"/>
      <c r="G59" s="300"/>
      <c r="H59" s="300" t="s">
        <v>179</v>
      </c>
      <c r="I59" s="305"/>
      <c r="J59" s="300"/>
      <c r="K59" s="300"/>
      <c r="L59" s="167"/>
      <c r="M59" s="166"/>
      <c r="N59" s="300"/>
      <c r="O59" s="300"/>
      <c r="P59" s="300"/>
      <c r="Q59" s="300"/>
      <c r="R59" s="300"/>
      <c r="S59" s="167"/>
      <c r="T59" s="145"/>
      <c r="U59" s="171">
        <v>3</v>
      </c>
      <c r="V59" s="317">
        <f>Geometry!C26</f>
        <v>0</v>
      </c>
      <c r="W59" s="300"/>
      <c r="X59" s="301">
        <f>IF(V59&gt;=Q60,0,V59/Q60)</f>
        <v>0</v>
      </c>
      <c r="Y59" s="301">
        <f t="shared" si="0"/>
        <v>0</v>
      </c>
      <c r="Z59" s="300"/>
      <c r="AA59" s="300"/>
      <c r="AB59" s="300"/>
      <c r="AC59" s="167"/>
      <c r="AD59" s="145"/>
      <c r="AF59" s="166" t="s">
        <v>180</v>
      </c>
      <c r="AG59" s="300"/>
      <c r="AH59" s="674" t="s">
        <v>325</v>
      </c>
      <c r="AI59" s="674"/>
      <c r="AJ59" s="301"/>
      <c r="AK59" s="301">
        <v>50</v>
      </c>
      <c r="AL59" s="301">
        <v>55</v>
      </c>
      <c r="AM59" s="301">
        <v>60</v>
      </c>
      <c r="AN59" s="167"/>
      <c r="BD59" s="145"/>
      <c r="BE59" s="145"/>
    </row>
    <row r="60" spans="1:68" ht="12.95" customHeight="1" x14ac:dyDescent="0.2">
      <c r="A60" s="627"/>
      <c r="B60" s="166"/>
      <c r="C60" s="350"/>
      <c r="D60" s="300"/>
      <c r="E60" s="305"/>
      <c r="F60" s="300"/>
      <c r="G60" s="377"/>
      <c r="H60" s="300"/>
      <c r="I60" s="300"/>
      <c r="J60" s="300"/>
      <c r="K60" s="300"/>
      <c r="L60" s="167"/>
      <c r="M60" s="166"/>
      <c r="N60" s="300"/>
      <c r="O60" s="300"/>
      <c r="P60" s="327" t="s">
        <v>187</v>
      </c>
      <c r="Q60" s="317">
        <f>IF(OR('Traffic &amp; Accidents'!C9=7,'Traffic &amp; Accidents'!C9=8),Geometry!O63,Geometry!O68)</f>
        <v>40</v>
      </c>
      <c r="R60" s="300"/>
      <c r="S60" s="167"/>
      <c r="T60" s="145"/>
      <c r="U60" s="171">
        <v>4</v>
      </c>
      <c r="V60" s="317">
        <f>Geometry!C27</f>
        <v>0</v>
      </c>
      <c r="W60" s="300"/>
      <c r="X60" s="301">
        <f>IF(V60&gt;=Q60,0,V60/Q60)</f>
        <v>0</v>
      </c>
      <c r="Y60" s="301">
        <f t="shared" si="0"/>
        <v>0</v>
      </c>
      <c r="Z60" s="300"/>
      <c r="AA60" s="358" t="s">
        <v>182</v>
      </c>
      <c r="AB60" s="300">
        <f>IF('Traffic &amp; Accidents'!C8=0,0,AB57/(3*AB58))</f>
        <v>0</v>
      </c>
      <c r="AC60" s="167"/>
      <c r="AD60" s="145"/>
      <c r="AF60" s="166" t="s">
        <v>181</v>
      </c>
      <c r="AG60" s="300"/>
      <c r="AH60" s="674" t="s">
        <v>326</v>
      </c>
      <c r="AI60" s="674"/>
      <c r="AJ60" s="301"/>
      <c r="AK60" s="301">
        <v>40</v>
      </c>
      <c r="AL60" s="301">
        <v>45</v>
      </c>
      <c r="AM60" s="301">
        <v>50</v>
      </c>
      <c r="AN60" s="167"/>
    </row>
    <row r="61" spans="1:68" ht="12.95" customHeight="1" x14ac:dyDescent="0.2">
      <c r="A61" s="627"/>
      <c r="B61" s="166" t="s">
        <v>183</v>
      </c>
      <c r="C61" s="350"/>
      <c r="D61" s="300"/>
      <c r="E61" s="300"/>
      <c r="F61" s="300"/>
      <c r="G61" s="300" t="s">
        <v>184</v>
      </c>
      <c r="H61" s="300"/>
      <c r="I61" s="300"/>
      <c r="J61" s="300"/>
      <c r="K61" s="300"/>
      <c r="L61" s="167"/>
      <c r="M61" s="166"/>
      <c r="N61" s="300"/>
      <c r="O61" s="300"/>
      <c r="P61" s="300"/>
      <c r="Q61" s="300"/>
      <c r="R61" s="300"/>
      <c r="S61" s="167"/>
      <c r="T61" s="145"/>
      <c r="U61" s="171">
        <v>5</v>
      </c>
      <c r="V61" s="317">
        <f>Geometry!C28</f>
        <v>0</v>
      </c>
      <c r="W61" s="300"/>
      <c r="X61" s="301">
        <f>IF(V61&gt;=Q60,0,V61/Q60)</f>
        <v>0</v>
      </c>
      <c r="Y61" s="301">
        <f t="shared" si="0"/>
        <v>0</v>
      </c>
      <c r="Z61" s="358"/>
      <c r="AA61" s="327" t="s">
        <v>185</v>
      </c>
      <c r="AB61" s="300">
        <f>IF(AB60*20&gt;10,10,AB60*20)</f>
        <v>0</v>
      </c>
      <c r="AC61" s="167"/>
      <c r="AD61" s="145"/>
      <c r="AF61" s="307"/>
      <c r="AG61" s="173"/>
      <c r="AH61" s="173"/>
      <c r="AI61" s="173"/>
      <c r="AJ61" s="173"/>
      <c r="AK61" s="173"/>
      <c r="AL61" s="173"/>
      <c r="AM61" s="173"/>
      <c r="AN61" s="308"/>
    </row>
    <row r="62" spans="1:68" ht="12.95" customHeight="1" x14ac:dyDescent="0.2">
      <c r="A62" s="627"/>
      <c r="B62" s="378"/>
      <c r="C62" s="305"/>
      <c r="D62" s="305"/>
      <c r="E62" s="305"/>
      <c r="F62" s="305"/>
      <c r="G62" s="305"/>
      <c r="H62" s="305"/>
      <c r="I62" s="305"/>
      <c r="J62" s="300"/>
      <c r="K62" s="300"/>
      <c r="L62" s="167"/>
      <c r="M62" s="166"/>
      <c r="N62" s="300"/>
      <c r="O62" s="353" t="s">
        <v>190</v>
      </c>
      <c r="P62" s="353"/>
      <c r="Q62" s="353"/>
      <c r="R62" s="300"/>
      <c r="S62" s="167"/>
      <c r="T62" s="145"/>
      <c r="U62" s="171">
        <v>6</v>
      </c>
      <c r="V62" s="317">
        <f>Geometry!C29</f>
        <v>0</v>
      </c>
      <c r="W62" s="300"/>
      <c r="X62" s="301">
        <f>IF(V62&gt;=Q60,0,V62/Q60)</f>
        <v>0</v>
      </c>
      <c r="Y62" s="301">
        <f t="shared" si="0"/>
        <v>0</v>
      </c>
      <c r="Z62" s="300"/>
      <c r="AA62" s="327" t="s">
        <v>186</v>
      </c>
      <c r="AB62" s="362">
        <f>ROUNDUP(AB61,0)</f>
        <v>0</v>
      </c>
      <c r="AC62" s="167"/>
      <c r="AD62" s="145"/>
    </row>
    <row r="63" spans="1:68" ht="12.95" customHeight="1" x14ac:dyDescent="0.2">
      <c r="A63" s="627"/>
      <c r="B63" s="365" t="s">
        <v>63</v>
      </c>
      <c r="C63" s="366" t="s">
        <v>182</v>
      </c>
      <c r="D63" s="367" t="s">
        <v>63</v>
      </c>
      <c r="E63" s="366" t="s">
        <v>182</v>
      </c>
      <c r="F63" s="368"/>
      <c r="G63" s="300"/>
      <c r="H63" s="300"/>
      <c r="I63" s="300"/>
      <c r="J63" s="300"/>
      <c r="K63" s="300"/>
      <c r="L63" s="167"/>
      <c r="M63" s="166"/>
      <c r="N63" s="327" t="s">
        <v>174</v>
      </c>
      <c r="O63" s="300">
        <f>IF(O56&lt;&gt;0,P63,O64)</f>
        <v>20</v>
      </c>
      <c r="P63" s="300">
        <f>IF('Traffic &amp; Accidents'!F22&lt;400,40,Q63)</f>
        <v>40</v>
      </c>
      <c r="Q63" s="300">
        <f>IF('Traffic &amp; Accidents'!F22&lt;2001,50,60)</f>
        <v>50</v>
      </c>
      <c r="R63" s="300"/>
      <c r="S63" s="167"/>
      <c r="T63" s="145"/>
      <c r="U63" s="171">
        <v>7</v>
      </c>
      <c r="V63" s="317">
        <f>Geometry!C30</f>
        <v>0</v>
      </c>
      <c r="W63" s="300"/>
      <c r="X63" s="301">
        <f>IF(V63&gt;=Q60,0,V63/Q60)</f>
        <v>0</v>
      </c>
      <c r="Y63" s="301">
        <f t="shared" si="0"/>
        <v>0</v>
      </c>
      <c r="Z63" s="300"/>
      <c r="AA63" s="300"/>
      <c r="AB63" s="300"/>
      <c r="AC63" s="167"/>
      <c r="AD63" s="145"/>
    </row>
    <row r="64" spans="1:68" ht="12.95" customHeight="1" x14ac:dyDescent="0.2">
      <c r="A64" s="627"/>
      <c r="B64" s="369"/>
      <c r="C64" s="303"/>
      <c r="D64" s="370"/>
      <c r="E64" s="303"/>
      <c r="F64" s="371"/>
      <c r="G64" s="300"/>
      <c r="H64" s="300"/>
      <c r="I64" s="300"/>
      <c r="J64" s="300"/>
      <c r="K64" s="300"/>
      <c r="L64" s="167"/>
      <c r="M64" s="166"/>
      <c r="N64" s="327" t="s">
        <v>180</v>
      </c>
      <c r="O64" s="300">
        <f>IF(O57&lt;&gt;0,P64,O65)</f>
        <v>20</v>
      </c>
      <c r="P64" s="300">
        <f>IF('Traffic &amp; Accidents'!F22&lt;400,30,Q64)</f>
        <v>30</v>
      </c>
      <c r="Q64" s="300">
        <f>IF('Traffic &amp; Accidents'!F22&lt;2001,40,50)</f>
        <v>40</v>
      </c>
      <c r="R64" s="360" t="s">
        <v>315</v>
      </c>
      <c r="S64" s="386"/>
      <c r="T64" s="145"/>
      <c r="U64" s="171">
        <v>8</v>
      </c>
      <c r="V64" s="317">
        <f>Geometry!C31</f>
        <v>0</v>
      </c>
      <c r="W64" s="300"/>
      <c r="X64" s="301">
        <f>IF(V64&gt;=Q60,0,V64/Q60)</f>
        <v>0</v>
      </c>
      <c r="Y64" s="301">
        <f t="shared" si="0"/>
        <v>0</v>
      </c>
      <c r="Z64" s="300"/>
      <c r="AA64" s="300"/>
      <c r="AB64" s="300"/>
      <c r="AC64" s="167"/>
      <c r="AD64" s="145"/>
    </row>
    <row r="65" spans="1:30" ht="12.95" customHeight="1" x14ac:dyDescent="0.2">
      <c r="A65" s="627"/>
      <c r="B65" s="372">
        <v>1</v>
      </c>
      <c r="C65" s="373" t="s">
        <v>188</v>
      </c>
      <c r="D65" s="373">
        <v>6</v>
      </c>
      <c r="E65" s="373" t="s">
        <v>189</v>
      </c>
      <c r="F65" s="371"/>
      <c r="G65" s="300"/>
      <c r="H65" s="300"/>
      <c r="I65" s="300"/>
      <c r="J65" s="300"/>
      <c r="K65" s="300"/>
      <c r="L65" s="167"/>
      <c r="M65" s="166"/>
      <c r="N65" s="327" t="s">
        <v>332</v>
      </c>
      <c r="O65" s="300">
        <f>P65</f>
        <v>20</v>
      </c>
      <c r="P65" s="300">
        <f>IF('Traffic &amp; Accidents'!F22&lt;400,20,Q65)</f>
        <v>20</v>
      </c>
      <c r="Q65" s="300">
        <f>IF('Traffic &amp; Accidents'!F22&lt;2001,30,40)</f>
        <v>30</v>
      </c>
      <c r="R65" s="300"/>
      <c r="S65" s="167"/>
      <c r="T65" s="145"/>
      <c r="U65" s="171">
        <v>9</v>
      </c>
      <c r="V65" s="317">
        <f>Geometry!C32</f>
        <v>0</v>
      </c>
      <c r="W65" s="300"/>
      <c r="X65" s="301">
        <f>IF(V65&gt;=Q60,0,V65/Q60)</f>
        <v>0</v>
      </c>
      <c r="Y65" s="301">
        <f t="shared" si="0"/>
        <v>0</v>
      </c>
      <c r="Z65" s="300"/>
      <c r="AA65" s="300"/>
      <c r="AB65" s="300"/>
      <c r="AC65" s="167"/>
      <c r="AD65" s="145"/>
    </row>
    <row r="66" spans="1:30" ht="12.95" customHeight="1" x14ac:dyDescent="0.2">
      <c r="A66" s="627"/>
      <c r="B66" s="372">
        <v>2</v>
      </c>
      <c r="C66" s="373" t="s">
        <v>191</v>
      </c>
      <c r="D66" s="373">
        <v>7</v>
      </c>
      <c r="E66" s="373" t="s">
        <v>192</v>
      </c>
      <c r="F66" s="371"/>
      <c r="G66" s="300"/>
      <c r="H66" s="300"/>
      <c r="I66" s="300"/>
      <c r="J66" s="300"/>
      <c r="K66" s="300"/>
      <c r="L66" s="167"/>
      <c r="M66" s="166"/>
      <c r="N66" s="300"/>
      <c r="O66" s="300"/>
      <c r="P66" s="300"/>
      <c r="Q66" s="300"/>
      <c r="R66" s="300"/>
      <c r="S66" s="167"/>
      <c r="T66" s="145"/>
      <c r="U66" s="171">
        <v>10</v>
      </c>
      <c r="V66" s="317">
        <f>Geometry!C33</f>
        <v>0</v>
      </c>
      <c r="W66" s="300"/>
      <c r="X66" s="301">
        <f>IF(V66&gt;=Q60,0,V66/Q60)</f>
        <v>0</v>
      </c>
      <c r="Y66" s="301">
        <f t="shared" si="0"/>
        <v>0</v>
      </c>
      <c r="Z66" s="300"/>
      <c r="AA66" s="300"/>
      <c r="AB66" s="300"/>
      <c r="AC66" s="167"/>
      <c r="AD66" s="145"/>
    </row>
    <row r="67" spans="1:30" ht="12.95" customHeight="1" x14ac:dyDescent="0.2">
      <c r="A67" s="627"/>
      <c r="B67" s="372">
        <v>3</v>
      </c>
      <c r="C67" s="373" t="s">
        <v>193</v>
      </c>
      <c r="D67" s="373">
        <v>8</v>
      </c>
      <c r="E67" s="373" t="s">
        <v>194</v>
      </c>
      <c r="F67" s="371"/>
      <c r="G67" s="300"/>
      <c r="H67" s="300"/>
      <c r="I67" s="305"/>
      <c r="J67" s="305"/>
      <c r="K67" s="305"/>
      <c r="L67" s="379"/>
      <c r="M67" s="166"/>
      <c r="N67" s="300"/>
      <c r="O67" s="353" t="s">
        <v>190</v>
      </c>
      <c r="P67" s="353"/>
      <c r="Q67" s="353"/>
      <c r="R67" s="300"/>
      <c r="S67" s="167"/>
      <c r="T67" s="145"/>
      <c r="U67" s="171">
        <v>11</v>
      </c>
      <c r="V67" s="317">
        <f>Geometry!C34</f>
        <v>0</v>
      </c>
      <c r="W67" s="300"/>
      <c r="X67" s="301">
        <f>IF(V67&gt;=Q60,0,V67/Q60)</f>
        <v>0</v>
      </c>
      <c r="Y67" s="301">
        <f t="shared" si="0"/>
        <v>0</v>
      </c>
      <c r="Z67" s="300"/>
      <c r="AA67" s="300"/>
      <c r="AB67" s="300"/>
      <c r="AC67" s="167"/>
      <c r="AD67" s="145"/>
    </row>
    <row r="68" spans="1:30" ht="12.95" customHeight="1" x14ac:dyDescent="0.2">
      <c r="A68" s="627"/>
      <c r="B68" s="372">
        <v>4</v>
      </c>
      <c r="C68" s="373" t="s">
        <v>195</v>
      </c>
      <c r="D68" s="373">
        <v>9</v>
      </c>
      <c r="E68" s="373" t="s">
        <v>196</v>
      </c>
      <c r="F68" s="371"/>
      <c r="G68" s="300"/>
      <c r="H68" s="300"/>
      <c r="I68" s="300"/>
      <c r="J68" s="300"/>
      <c r="K68" s="300"/>
      <c r="L68" s="167"/>
      <c r="M68" s="166"/>
      <c r="N68" s="327" t="s">
        <v>174</v>
      </c>
      <c r="O68" s="300">
        <f>IF(O56&lt;&gt;0,P68,O69)</f>
        <v>40</v>
      </c>
      <c r="P68" s="300">
        <f>IF('Traffic &amp; Accidents'!F22&lt;400,60,Q68)</f>
        <v>60</v>
      </c>
      <c r="Q68" s="300">
        <f>IF('Traffic &amp; Accidents'!F22&lt;2001,65,70)</f>
        <v>65</v>
      </c>
      <c r="R68" s="300"/>
      <c r="S68" s="167"/>
      <c r="T68" s="145"/>
      <c r="U68" s="171">
        <v>12</v>
      </c>
      <c r="V68" s="317">
        <f>Geometry!C35</f>
        <v>0</v>
      </c>
      <c r="W68" s="300"/>
      <c r="X68" s="301">
        <f>IF(V68&gt;=Q60,0,V68/Q60)</f>
        <v>0</v>
      </c>
      <c r="Y68" s="301">
        <f t="shared" si="0"/>
        <v>0</v>
      </c>
      <c r="Z68" s="300"/>
      <c r="AA68" s="300"/>
      <c r="AB68" s="300"/>
      <c r="AC68" s="167"/>
      <c r="AD68" s="145"/>
    </row>
    <row r="69" spans="1:30" ht="12.95" customHeight="1" x14ac:dyDescent="0.2">
      <c r="A69" s="627"/>
      <c r="B69" s="374">
        <v>5</v>
      </c>
      <c r="C69" s="375" t="s">
        <v>197</v>
      </c>
      <c r="D69" s="375">
        <v>10</v>
      </c>
      <c r="E69" s="375" t="s">
        <v>198</v>
      </c>
      <c r="F69" s="376"/>
      <c r="G69" s="300" t="s">
        <v>199</v>
      </c>
      <c r="H69" s="300"/>
      <c r="I69" s="300"/>
      <c r="J69" s="300"/>
      <c r="K69" s="300"/>
      <c r="L69" s="167"/>
      <c r="M69" s="166"/>
      <c r="N69" s="327" t="s">
        <v>180</v>
      </c>
      <c r="O69" s="300">
        <f>IF(O57&lt;&gt;0,P69,O70)</f>
        <v>40</v>
      </c>
      <c r="P69" s="300">
        <f>IF('Traffic &amp; Accidents'!F22&lt;400,50,Q69)</f>
        <v>50</v>
      </c>
      <c r="Q69" s="300">
        <f>IF('Traffic &amp; Accidents'!F22&lt;2001,55,60)</f>
        <v>55</v>
      </c>
      <c r="R69" s="360" t="s">
        <v>316</v>
      </c>
      <c r="S69" s="386"/>
      <c r="T69" s="300"/>
      <c r="U69" s="171">
        <v>13</v>
      </c>
      <c r="V69" s="317">
        <f>Geometry!C36</f>
        <v>0</v>
      </c>
      <c r="W69" s="300"/>
      <c r="X69" s="301">
        <f>IF(V69&gt;=Q60,0,V69/Q60)</f>
        <v>0</v>
      </c>
      <c r="Y69" s="301">
        <f t="shared" si="0"/>
        <v>0</v>
      </c>
      <c r="Z69" s="300"/>
      <c r="AA69" s="300"/>
      <c r="AB69" s="300"/>
      <c r="AC69" s="167"/>
      <c r="AD69" s="145"/>
    </row>
    <row r="70" spans="1:30" ht="12.95" customHeight="1" x14ac:dyDescent="0.2">
      <c r="A70" s="627"/>
      <c r="B70" s="378"/>
      <c r="C70" s="305"/>
      <c r="D70" s="305"/>
      <c r="E70" s="305"/>
      <c r="F70" s="305"/>
      <c r="G70" s="300"/>
      <c r="H70" s="300"/>
      <c r="I70" s="300"/>
      <c r="J70" s="300"/>
      <c r="K70" s="300"/>
      <c r="L70" s="167"/>
      <c r="M70" s="166"/>
      <c r="N70" s="327" t="s">
        <v>332</v>
      </c>
      <c r="O70" s="300">
        <f>P70</f>
        <v>40</v>
      </c>
      <c r="P70" s="300">
        <f>IF('Traffic &amp; Accidents'!F22&lt;400,40,Q70)</f>
        <v>40</v>
      </c>
      <c r="Q70" s="300">
        <f>IF('Traffic &amp; Accidents'!F22&lt;2001,45,50)</f>
        <v>45</v>
      </c>
      <c r="R70" s="300"/>
      <c r="S70" s="167"/>
      <c r="T70" s="145"/>
      <c r="U70" s="171">
        <v>14</v>
      </c>
      <c r="V70" s="317">
        <f>Geometry!C37</f>
        <v>0</v>
      </c>
      <c r="W70" s="300"/>
      <c r="X70" s="301">
        <f>IF(V70&gt;=Q60,0,V70/Q60)</f>
        <v>0</v>
      </c>
      <c r="Y70" s="301">
        <f t="shared" si="0"/>
        <v>0</v>
      </c>
      <c r="Z70" s="300"/>
      <c r="AA70" s="300"/>
      <c r="AB70" s="300"/>
      <c r="AC70" s="167"/>
      <c r="AD70" s="145"/>
    </row>
    <row r="71" spans="1:30" ht="12.95" customHeight="1" x14ac:dyDescent="0.2">
      <c r="A71" s="627"/>
      <c r="B71" s="382"/>
      <c r="C71" s="383"/>
      <c r="D71" s="383"/>
      <c r="E71" s="383"/>
      <c r="F71" s="383"/>
      <c r="G71" s="173" t="s">
        <v>200</v>
      </c>
      <c r="H71" s="173"/>
      <c r="I71" s="173"/>
      <c r="J71" s="173"/>
      <c r="K71" s="298">
        <f>IF(OR(SUM(E14:E16)="",AB57=0),0,AB62)</f>
        <v>0</v>
      </c>
      <c r="L71" s="384"/>
      <c r="M71" s="307"/>
      <c r="N71" s="173"/>
      <c r="O71" s="173"/>
      <c r="P71" s="173"/>
      <c r="Q71" s="173"/>
      <c r="R71" s="173"/>
      <c r="S71" s="308"/>
      <c r="T71" s="145"/>
      <c r="U71" s="307"/>
      <c r="V71" s="173"/>
      <c r="W71" s="173"/>
      <c r="X71" s="339" t="s">
        <v>172</v>
      </c>
      <c r="Y71" s="174">
        <f>SUM(Y57:Y67)</f>
        <v>0</v>
      </c>
      <c r="Z71" s="173"/>
      <c r="AA71" s="173"/>
      <c r="AB71" s="173"/>
      <c r="AC71" s="308"/>
      <c r="AD71" s="145"/>
    </row>
    <row r="72" spans="1:30" ht="12.95" customHeight="1" x14ac:dyDescent="0.2">
      <c r="A72" s="627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</row>
    <row r="73" spans="1:30" ht="12.95" customHeight="1" x14ac:dyDescent="0.2">
      <c r="A73" s="627"/>
    </row>
    <row r="74" spans="1:30" ht="12.95" customHeight="1" x14ac:dyDescent="0.2">
      <c r="A74" s="627"/>
    </row>
    <row r="75" spans="1:30" ht="12.95" customHeight="1" x14ac:dyDescent="0.2">
      <c r="A75" s="627"/>
    </row>
    <row r="76" spans="1:30" ht="12.95" customHeight="1" x14ac:dyDescent="0.2">
      <c r="A76" s="627"/>
    </row>
    <row r="78" spans="1:30" ht="12.95" customHeight="1" x14ac:dyDescent="0.2">
      <c r="A78" s="627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51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</row>
    <row r="79" spans="1:30" ht="12.95" customHeight="1" x14ac:dyDescent="0.2">
      <c r="A79" s="627"/>
      <c r="B79" s="380" t="s">
        <v>201</v>
      </c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5"/>
      <c r="N79" s="145"/>
      <c r="O79" s="151"/>
      <c r="P79" s="162" t="s">
        <v>201</v>
      </c>
      <c r="Q79" s="163"/>
      <c r="R79" s="163"/>
      <c r="S79" s="163"/>
      <c r="T79" s="163"/>
      <c r="U79" s="163"/>
      <c r="V79" s="163"/>
      <c r="W79" s="163"/>
      <c r="X79" s="163"/>
      <c r="Y79" s="163"/>
      <c r="Z79" s="165"/>
      <c r="AA79" s="145"/>
    </row>
    <row r="80" spans="1:30" ht="12.95" customHeight="1" x14ac:dyDescent="0.2">
      <c r="A80" s="627"/>
      <c r="B80" s="378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167"/>
      <c r="N80" s="145"/>
      <c r="O80" s="145"/>
      <c r="P80" s="166" t="s">
        <v>78</v>
      </c>
      <c r="Q80" s="145" t="s">
        <v>202</v>
      </c>
      <c r="R80" s="145"/>
      <c r="S80" s="145"/>
      <c r="T80" s="145"/>
      <c r="U80" s="145"/>
      <c r="V80" s="145"/>
      <c r="W80" s="145"/>
      <c r="X80" s="145"/>
      <c r="Y80" s="145"/>
      <c r="Z80" s="167"/>
      <c r="AA80" s="145"/>
    </row>
    <row r="81" spans="1:27" ht="12.95" customHeight="1" x14ac:dyDescent="0.2">
      <c r="A81" s="627"/>
      <c r="B81" s="445">
        <v>1</v>
      </c>
      <c r="C81" s="300" t="s">
        <v>203</v>
      </c>
      <c r="D81" s="300"/>
      <c r="E81" s="300"/>
      <c r="F81" s="300"/>
      <c r="G81" s="300"/>
      <c r="H81" s="300"/>
      <c r="I81" s="300"/>
      <c r="J81" s="300"/>
      <c r="K81" s="300"/>
      <c r="L81" s="300"/>
      <c r="M81" s="167"/>
      <c r="N81" s="145"/>
      <c r="O81" s="145"/>
      <c r="P81" s="166"/>
      <c r="Q81" s="145"/>
      <c r="R81" s="145"/>
      <c r="S81" s="145"/>
      <c r="T81" s="145"/>
      <c r="U81" s="145"/>
      <c r="V81" s="145"/>
      <c r="W81" s="145"/>
      <c r="X81" s="145"/>
      <c r="Y81" s="145"/>
      <c r="Z81" s="167"/>
      <c r="AA81" s="145"/>
    </row>
    <row r="82" spans="1:27" ht="12.95" customHeight="1" x14ac:dyDescent="0.2">
      <c r="A82" s="627"/>
      <c r="B82" s="166"/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167"/>
      <c r="N82" s="145"/>
      <c r="O82" s="145"/>
      <c r="P82" s="166"/>
      <c r="Q82" s="149"/>
      <c r="R82" s="149"/>
      <c r="S82" s="145"/>
      <c r="T82" s="345"/>
      <c r="U82" s="145"/>
      <c r="V82" s="145"/>
      <c r="W82" s="145"/>
      <c r="X82" s="145"/>
      <c r="Y82" s="145"/>
      <c r="Z82" s="167"/>
      <c r="AA82" s="145"/>
    </row>
    <row r="83" spans="1:27" ht="12.95" customHeight="1" x14ac:dyDescent="0.2">
      <c r="A83" s="627"/>
      <c r="B83" s="166"/>
      <c r="C83" s="305"/>
      <c r="D83" s="300"/>
      <c r="E83" s="305"/>
      <c r="F83" s="361" t="s">
        <v>204</v>
      </c>
      <c r="G83" s="300"/>
      <c r="H83" s="300"/>
      <c r="I83" s="300"/>
      <c r="J83" s="300"/>
      <c r="K83" s="300"/>
      <c r="L83" s="300"/>
      <c r="M83" s="167"/>
      <c r="N83" s="145"/>
      <c r="O83" s="145"/>
      <c r="P83" s="166"/>
      <c r="Q83" s="429"/>
      <c r="R83" s="345"/>
      <c r="S83" s="345" t="s">
        <v>205</v>
      </c>
      <c r="T83" s="345" t="s">
        <v>206</v>
      </c>
      <c r="U83" s="345" t="s">
        <v>207</v>
      </c>
      <c r="V83" s="345"/>
      <c r="W83" s="345" t="s">
        <v>208</v>
      </c>
      <c r="X83" s="145"/>
      <c r="Y83" s="145"/>
      <c r="Z83" s="167"/>
      <c r="AA83" s="145"/>
    </row>
    <row r="84" spans="1:27" ht="12.95" customHeight="1" x14ac:dyDescent="0.2">
      <c r="A84" s="627"/>
      <c r="B84" s="166"/>
      <c r="C84" s="300"/>
      <c r="D84" s="300"/>
      <c r="E84" s="300"/>
      <c r="F84" s="300"/>
      <c r="G84" s="300"/>
      <c r="H84" s="300"/>
      <c r="I84" s="300"/>
      <c r="J84" s="300"/>
      <c r="K84" s="300"/>
      <c r="L84" s="300"/>
      <c r="M84" s="167"/>
      <c r="N84" s="145"/>
      <c r="O84" s="145"/>
      <c r="P84" s="166"/>
      <c r="Q84" s="145"/>
      <c r="R84" s="145"/>
      <c r="S84" s="345" t="s">
        <v>209</v>
      </c>
      <c r="T84" s="345" t="s">
        <v>210</v>
      </c>
      <c r="U84" s="345" t="s">
        <v>210</v>
      </c>
      <c r="V84" s="345"/>
      <c r="W84" s="345" t="s">
        <v>211</v>
      </c>
      <c r="X84" s="145"/>
      <c r="Y84" s="145"/>
      <c r="Z84" s="167"/>
      <c r="AA84" s="145"/>
    </row>
    <row r="85" spans="1:27" ht="12.95" customHeight="1" x14ac:dyDescent="0.2">
      <c r="A85" s="627"/>
      <c r="B85" s="166"/>
      <c r="C85" s="305"/>
      <c r="D85" s="430" t="s">
        <v>212</v>
      </c>
      <c r="E85" s="431" t="s">
        <v>213</v>
      </c>
      <c r="F85" s="366" t="s">
        <v>141</v>
      </c>
      <c r="G85" s="366" t="s">
        <v>142</v>
      </c>
      <c r="H85" s="432" t="s">
        <v>143</v>
      </c>
      <c r="I85" s="300"/>
      <c r="J85" s="300"/>
      <c r="K85" s="300"/>
      <c r="L85" s="300"/>
      <c r="M85" s="167"/>
      <c r="N85" s="145"/>
      <c r="O85" s="145"/>
      <c r="P85" s="166"/>
      <c r="Q85" s="145"/>
      <c r="R85" s="147" t="s">
        <v>169</v>
      </c>
      <c r="S85" s="433" t="s">
        <v>214</v>
      </c>
      <c r="T85" s="433" t="s">
        <v>215</v>
      </c>
      <c r="U85" s="433" t="s">
        <v>216</v>
      </c>
      <c r="V85" s="433" t="s">
        <v>217</v>
      </c>
      <c r="W85" s="433" t="s">
        <v>172</v>
      </c>
      <c r="X85" s="145"/>
      <c r="Y85" s="145"/>
      <c r="Z85" s="167"/>
      <c r="AA85" s="145"/>
    </row>
    <row r="86" spans="1:27" ht="12.95" customHeight="1" x14ac:dyDescent="0.2">
      <c r="A86" s="627"/>
      <c r="B86" s="166"/>
      <c r="C86" s="305"/>
      <c r="D86" s="166"/>
      <c r="E86" s="305"/>
      <c r="F86" s="361"/>
      <c r="G86" s="361"/>
      <c r="H86" s="168"/>
      <c r="I86" s="300"/>
      <c r="J86" s="300"/>
      <c r="K86" s="300"/>
      <c r="L86" s="300"/>
      <c r="M86" s="167"/>
      <c r="N86" s="145"/>
      <c r="O86" s="145"/>
      <c r="P86" s="166"/>
      <c r="Q86" s="145"/>
      <c r="R86" s="345">
        <v>1</v>
      </c>
      <c r="S86" s="317">
        <f>Geometry!I24</f>
        <v>0</v>
      </c>
      <c r="T86" s="434" t="str">
        <f t="shared" ref="T86:T99" si="1">IF(S86&gt;0,ROUND(P111,0),"")</f>
        <v/>
      </c>
      <c r="U86" s="345">
        <f>Geometry!Q60</f>
        <v>40</v>
      </c>
      <c r="V86" s="345">
        <f t="shared" ref="V86:V99" si="2">IF(T86&lt;U86,T86/U86,0)</f>
        <v>0</v>
      </c>
      <c r="W86" s="345">
        <f t="shared" ref="W86:W99" si="3">IF(V86&lt;&gt;0,1-V86,0)</f>
        <v>0</v>
      </c>
      <c r="X86" s="145"/>
      <c r="Y86" s="145"/>
      <c r="Z86" s="167"/>
      <c r="AA86" s="145"/>
    </row>
    <row r="87" spans="1:27" ht="12.95" customHeight="1" x14ac:dyDescent="0.2">
      <c r="A87" s="627"/>
      <c r="B87" s="166"/>
      <c r="C87" s="305"/>
      <c r="D87" s="166" t="s">
        <v>218</v>
      </c>
      <c r="E87" s="305"/>
      <c r="F87" s="446">
        <v>40</v>
      </c>
      <c r="G87" s="361">
        <v>50</v>
      </c>
      <c r="H87" s="435">
        <v>60</v>
      </c>
      <c r="I87" s="300"/>
      <c r="J87" s="300"/>
      <c r="K87" s="300"/>
      <c r="L87" s="300"/>
      <c r="M87" s="167"/>
      <c r="N87" s="145"/>
      <c r="O87" s="145"/>
      <c r="P87" s="166"/>
      <c r="Q87" s="145"/>
      <c r="R87" s="345">
        <v>2</v>
      </c>
      <c r="S87" s="317">
        <f>Geometry!I25</f>
        <v>0</v>
      </c>
      <c r="T87" s="175" t="str">
        <f t="shared" si="1"/>
        <v/>
      </c>
      <c r="U87" s="345">
        <f>Geometry!Q60</f>
        <v>40</v>
      </c>
      <c r="V87" s="345">
        <f t="shared" si="2"/>
        <v>0</v>
      </c>
      <c r="W87" s="345">
        <f t="shared" si="3"/>
        <v>0</v>
      </c>
      <c r="X87" s="145"/>
      <c r="Y87" s="145"/>
      <c r="Z87" s="167"/>
      <c r="AA87" s="145"/>
    </row>
    <row r="88" spans="1:27" ht="12.95" customHeight="1" x14ac:dyDescent="0.2">
      <c r="A88" s="627"/>
      <c r="B88" s="166"/>
      <c r="C88" s="305"/>
      <c r="D88" s="166" t="s">
        <v>219</v>
      </c>
      <c r="E88" s="305"/>
      <c r="F88" s="446">
        <v>30</v>
      </c>
      <c r="G88" s="361">
        <v>40</v>
      </c>
      <c r="H88" s="168">
        <v>50</v>
      </c>
      <c r="I88" s="300"/>
      <c r="J88" s="300"/>
      <c r="K88" s="300"/>
      <c r="L88" s="300"/>
      <c r="M88" s="167"/>
      <c r="N88" s="145"/>
      <c r="O88" s="145"/>
      <c r="P88" s="166"/>
      <c r="Q88" s="145"/>
      <c r="R88" s="345">
        <v>3</v>
      </c>
      <c r="S88" s="317">
        <f>Geometry!I26</f>
        <v>0</v>
      </c>
      <c r="T88" s="175" t="str">
        <f t="shared" si="1"/>
        <v/>
      </c>
      <c r="U88" s="345">
        <f>Geometry!Q60</f>
        <v>40</v>
      </c>
      <c r="V88" s="345">
        <f t="shared" si="2"/>
        <v>0</v>
      </c>
      <c r="W88" s="345">
        <f t="shared" si="3"/>
        <v>0</v>
      </c>
      <c r="X88" s="145"/>
      <c r="Y88" s="145"/>
      <c r="Z88" s="167"/>
      <c r="AA88" s="145"/>
    </row>
    <row r="89" spans="1:27" ht="12.95" customHeight="1" x14ac:dyDescent="0.2">
      <c r="A89" s="627"/>
      <c r="B89" s="166"/>
      <c r="C89" s="305"/>
      <c r="D89" s="307" t="s">
        <v>220</v>
      </c>
      <c r="E89" s="173"/>
      <c r="F89" s="436">
        <v>20</v>
      </c>
      <c r="G89" s="174">
        <v>30</v>
      </c>
      <c r="H89" s="175">
        <v>40</v>
      </c>
      <c r="I89" s="300"/>
      <c r="J89" s="300"/>
      <c r="K89" s="300"/>
      <c r="L89" s="300"/>
      <c r="M89" s="167"/>
      <c r="N89" s="145"/>
      <c r="O89" s="145"/>
      <c r="P89" s="166"/>
      <c r="Q89" s="145"/>
      <c r="R89" s="345">
        <v>4</v>
      </c>
      <c r="S89" s="317">
        <f>Geometry!I27</f>
        <v>0</v>
      </c>
      <c r="T89" s="434" t="str">
        <f t="shared" si="1"/>
        <v/>
      </c>
      <c r="U89" s="345">
        <f>Geometry!Q60</f>
        <v>40</v>
      </c>
      <c r="V89" s="345">
        <f t="shared" si="2"/>
        <v>0</v>
      </c>
      <c r="W89" s="345">
        <f t="shared" si="3"/>
        <v>0</v>
      </c>
      <c r="X89" s="145"/>
      <c r="Y89" s="145"/>
      <c r="Z89" s="167"/>
      <c r="AA89" s="145"/>
    </row>
    <row r="90" spans="1:27" ht="12.95" customHeight="1" x14ac:dyDescent="0.2">
      <c r="A90" s="627"/>
      <c r="B90" s="166"/>
      <c r="C90" s="300"/>
      <c r="D90" s="300"/>
      <c r="E90" s="300"/>
      <c r="F90" s="300"/>
      <c r="G90" s="300"/>
      <c r="H90" s="300"/>
      <c r="I90" s="300"/>
      <c r="J90" s="300"/>
      <c r="K90" s="300"/>
      <c r="L90" s="300"/>
      <c r="M90" s="167"/>
      <c r="N90" s="145"/>
      <c r="O90" s="145"/>
      <c r="P90" s="166"/>
      <c r="Q90" s="145"/>
      <c r="R90" s="345">
        <v>5</v>
      </c>
      <c r="S90" s="317">
        <f>Geometry!I28</f>
        <v>0</v>
      </c>
      <c r="T90" s="434" t="str">
        <f t="shared" si="1"/>
        <v/>
      </c>
      <c r="U90" s="345">
        <f>Geometry!Q60</f>
        <v>40</v>
      </c>
      <c r="V90" s="345">
        <f t="shared" si="2"/>
        <v>0</v>
      </c>
      <c r="W90" s="345">
        <f t="shared" si="3"/>
        <v>0</v>
      </c>
      <c r="X90" s="145"/>
      <c r="Y90" s="145"/>
      <c r="Z90" s="167"/>
      <c r="AA90" s="145"/>
    </row>
    <row r="91" spans="1:27" ht="12.95" customHeight="1" x14ac:dyDescent="0.2">
      <c r="A91" s="627"/>
      <c r="B91" s="445">
        <v>2</v>
      </c>
      <c r="C91" s="300" t="s">
        <v>221</v>
      </c>
      <c r="D91" s="300"/>
      <c r="E91" s="300"/>
      <c r="F91" s="300"/>
      <c r="G91" s="300"/>
      <c r="H91" s="300"/>
      <c r="I91" s="300"/>
      <c r="J91" s="300"/>
      <c r="K91" s="300"/>
      <c r="L91" s="300"/>
      <c r="M91" s="167"/>
      <c r="N91" s="145"/>
      <c r="O91" s="145"/>
      <c r="P91" s="166"/>
      <c r="Q91" s="145"/>
      <c r="R91" s="345">
        <v>6</v>
      </c>
      <c r="S91" s="317">
        <f>Geometry!I29</f>
        <v>0</v>
      </c>
      <c r="T91" s="175" t="str">
        <f t="shared" si="1"/>
        <v/>
      </c>
      <c r="U91" s="345">
        <f>Geometry!Q60</f>
        <v>40</v>
      </c>
      <c r="V91" s="345">
        <f t="shared" si="2"/>
        <v>0</v>
      </c>
      <c r="W91" s="345">
        <f t="shared" si="3"/>
        <v>0</v>
      </c>
      <c r="X91" s="145"/>
      <c r="Y91" s="145"/>
      <c r="Z91" s="167"/>
      <c r="AA91" s="145"/>
    </row>
    <row r="92" spans="1:27" ht="12.95" customHeight="1" x14ac:dyDescent="0.2">
      <c r="A92" s="627"/>
      <c r="B92" s="166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167"/>
      <c r="N92" s="145"/>
      <c r="O92" s="145"/>
      <c r="P92" s="166"/>
      <c r="Q92" s="145"/>
      <c r="R92" s="345">
        <v>7</v>
      </c>
      <c r="S92" s="317">
        <f>Geometry!I30</f>
        <v>0</v>
      </c>
      <c r="T92" s="175" t="str">
        <f t="shared" si="1"/>
        <v/>
      </c>
      <c r="U92" s="345">
        <f>Geometry!Q60</f>
        <v>40</v>
      </c>
      <c r="V92" s="345">
        <f t="shared" si="2"/>
        <v>0</v>
      </c>
      <c r="W92" s="345">
        <f t="shared" si="3"/>
        <v>0</v>
      </c>
      <c r="X92" s="145"/>
      <c r="Y92" s="145"/>
      <c r="Z92" s="167"/>
      <c r="AA92" s="145"/>
    </row>
    <row r="93" spans="1:27" ht="12.95" customHeight="1" x14ac:dyDescent="0.2">
      <c r="A93" s="627"/>
      <c r="B93" s="166"/>
      <c r="C93" s="361" t="s">
        <v>222</v>
      </c>
      <c r="D93" s="300" t="s">
        <v>223</v>
      </c>
      <c r="E93" s="300"/>
      <c r="F93" s="300"/>
      <c r="G93" s="300"/>
      <c r="H93" s="300"/>
      <c r="I93" s="300"/>
      <c r="J93" s="300"/>
      <c r="K93" s="300"/>
      <c r="L93" s="300"/>
      <c r="M93" s="167"/>
      <c r="N93" s="145"/>
      <c r="O93" s="145"/>
      <c r="P93" s="166"/>
      <c r="Q93" s="145"/>
      <c r="R93" s="345">
        <v>8</v>
      </c>
      <c r="S93" s="317">
        <f>Geometry!I31</f>
        <v>0</v>
      </c>
      <c r="T93" s="434" t="str">
        <f t="shared" si="1"/>
        <v/>
      </c>
      <c r="U93" s="345">
        <f>Geometry!Q60</f>
        <v>40</v>
      </c>
      <c r="V93" s="345">
        <f t="shared" si="2"/>
        <v>0</v>
      </c>
      <c r="W93" s="345">
        <f t="shared" si="3"/>
        <v>0</v>
      </c>
      <c r="X93" s="145"/>
      <c r="Y93" s="145"/>
      <c r="Z93" s="167"/>
      <c r="AA93" s="145"/>
    </row>
    <row r="94" spans="1:27" ht="12.95" customHeight="1" x14ac:dyDescent="0.2">
      <c r="A94" s="627"/>
      <c r="B94" s="378"/>
      <c r="C94" s="305"/>
      <c r="D94" s="300" t="s">
        <v>224</v>
      </c>
      <c r="E94" s="300"/>
      <c r="F94" s="300"/>
      <c r="G94" s="300"/>
      <c r="H94" s="300"/>
      <c r="I94" s="300"/>
      <c r="J94" s="300"/>
      <c r="K94" s="300"/>
      <c r="L94" s="300"/>
      <c r="M94" s="167"/>
      <c r="N94" s="145"/>
      <c r="O94" s="145"/>
      <c r="P94" s="166"/>
      <c r="Q94" s="145"/>
      <c r="R94" s="345">
        <v>9</v>
      </c>
      <c r="S94" s="317">
        <f>Geometry!I32</f>
        <v>0</v>
      </c>
      <c r="T94" s="434" t="str">
        <f t="shared" si="1"/>
        <v/>
      </c>
      <c r="U94" s="345">
        <f>Geometry!Q60</f>
        <v>40</v>
      </c>
      <c r="V94" s="345">
        <f t="shared" si="2"/>
        <v>0</v>
      </c>
      <c r="W94" s="345">
        <f t="shared" si="3"/>
        <v>0</v>
      </c>
      <c r="X94" s="145"/>
      <c r="Y94" s="145"/>
      <c r="Z94" s="167"/>
      <c r="AA94" s="145"/>
    </row>
    <row r="95" spans="1:27" ht="12.95" customHeight="1" x14ac:dyDescent="0.2">
      <c r="A95" s="627"/>
      <c r="B95" s="378"/>
      <c r="C95" s="305"/>
      <c r="D95" s="300" t="s">
        <v>225</v>
      </c>
      <c r="E95" s="300"/>
      <c r="F95" s="300"/>
      <c r="G95" s="300"/>
      <c r="H95" s="300"/>
      <c r="I95" s="300"/>
      <c r="J95" s="300"/>
      <c r="K95" s="300"/>
      <c r="L95" s="300"/>
      <c r="M95" s="167"/>
      <c r="N95" s="145"/>
      <c r="O95" s="145"/>
      <c r="P95" s="166"/>
      <c r="Q95" s="145"/>
      <c r="R95" s="345">
        <v>10</v>
      </c>
      <c r="S95" s="317">
        <f>Geometry!I33</f>
        <v>0</v>
      </c>
      <c r="T95" s="175" t="str">
        <f t="shared" si="1"/>
        <v/>
      </c>
      <c r="U95" s="345">
        <f>Geometry!Q60</f>
        <v>40</v>
      </c>
      <c r="V95" s="345">
        <f t="shared" si="2"/>
        <v>0</v>
      </c>
      <c r="W95" s="345">
        <f t="shared" si="3"/>
        <v>0</v>
      </c>
      <c r="X95" s="145"/>
      <c r="Y95" s="145"/>
      <c r="Z95" s="167"/>
      <c r="AA95" s="145"/>
    </row>
    <row r="96" spans="1:27" ht="12.95" customHeight="1" x14ac:dyDescent="0.2">
      <c r="A96" s="627"/>
      <c r="B96" s="378"/>
      <c r="C96" s="300"/>
      <c r="D96" s="305"/>
      <c r="E96" s="300"/>
      <c r="F96" s="300"/>
      <c r="G96" s="300"/>
      <c r="H96" s="300"/>
      <c r="I96" s="300"/>
      <c r="J96" s="300"/>
      <c r="K96" s="300"/>
      <c r="L96" s="300"/>
      <c r="M96" s="167"/>
      <c r="N96" s="145"/>
      <c r="O96" s="145"/>
      <c r="P96" s="166"/>
      <c r="Q96" s="145"/>
      <c r="R96" s="345">
        <v>11</v>
      </c>
      <c r="S96" s="317">
        <f>Geometry!I34</f>
        <v>0</v>
      </c>
      <c r="T96" s="175" t="str">
        <f t="shared" si="1"/>
        <v/>
      </c>
      <c r="U96" s="345">
        <f>Geometry!Q60</f>
        <v>40</v>
      </c>
      <c r="V96" s="345">
        <f t="shared" si="2"/>
        <v>0</v>
      </c>
      <c r="W96" s="345">
        <f t="shared" si="3"/>
        <v>0</v>
      </c>
      <c r="X96" s="145"/>
      <c r="Y96" s="145"/>
      <c r="Z96" s="167"/>
      <c r="AA96" s="145"/>
    </row>
    <row r="97" spans="1:27" ht="12.95" customHeight="1" x14ac:dyDescent="0.2">
      <c r="A97" s="627"/>
      <c r="B97" s="166"/>
      <c r="C97" s="300"/>
      <c r="D97" s="300" t="s">
        <v>226</v>
      </c>
      <c r="E97" s="300"/>
      <c r="F97" s="300"/>
      <c r="G97" s="300"/>
      <c r="H97" s="300"/>
      <c r="I97" s="300"/>
      <c r="J97" s="300"/>
      <c r="K97" s="300"/>
      <c r="L97" s="300"/>
      <c r="M97" s="167"/>
      <c r="N97" s="145"/>
      <c r="O97" s="145"/>
      <c r="P97" s="166"/>
      <c r="Q97" s="145"/>
      <c r="R97" s="345">
        <v>12</v>
      </c>
      <c r="S97" s="317">
        <f>Geometry!I35</f>
        <v>0</v>
      </c>
      <c r="T97" s="434" t="str">
        <f t="shared" si="1"/>
        <v/>
      </c>
      <c r="U97" s="345">
        <f>Geometry!Q60</f>
        <v>40</v>
      </c>
      <c r="V97" s="345">
        <f t="shared" si="2"/>
        <v>0</v>
      </c>
      <c r="W97" s="345">
        <f t="shared" si="3"/>
        <v>0</v>
      </c>
      <c r="X97" s="145"/>
      <c r="Y97" s="145"/>
      <c r="Z97" s="167"/>
      <c r="AA97" s="145"/>
    </row>
    <row r="98" spans="1:27" ht="12.95" customHeight="1" x14ac:dyDescent="0.2">
      <c r="A98" s="627"/>
      <c r="B98" s="378"/>
      <c r="C98" s="300"/>
      <c r="D98" s="300" t="s">
        <v>227</v>
      </c>
      <c r="E98" s="300"/>
      <c r="F98" s="300"/>
      <c r="G98" s="300"/>
      <c r="H98" s="300"/>
      <c r="I98" s="300"/>
      <c r="J98" s="300"/>
      <c r="K98" s="300"/>
      <c r="L98" s="300"/>
      <c r="M98" s="167"/>
      <c r="N98" s="145"/>
      <c r="O98" s="145"/>
      <c r="P98" s="166"/>
      <c r="Q98" s="145"/>
      <c r="R98" s="345">
        <v>13</v>
      </c>
      <c r="S98" s="317">
        <f>Geometry!I36</f>
        <v>0</v>
      </c>
      <c r="T98" s="434" t="str">
        <f t="shared" si="1"/>
        <v/>
      </c>
      <c r="U98" s="345">
        <f>Geometry!Q60</f>
        <v>40</v>
      </c>
      <c r="V98" s="345">
        <f t="shared" si="2"/>
        <v>0</v>
      </c>
      <c r="W98" s="345">
        <f t="shared" si="3"/>
        <v>0</v>
      </c>
      <c r="X98" s="145"/>
      <c r="Y98" s="345"/>
      <c r="Z98" s="168"/>
      <c r="AA98" s="145"/>
    </row>
    <row r="99" spans="1:27" ht="12.95" customHeight="1" x14ac:dyDescent="0.2">
      <c r="A99" s="627"/>
      <c r="B99" s="166"/>
      <c r="C99" s="300"/>
      <c r="D99" s="300"/>
      <c r="E99" s="300"/>
      <c r="F99" s="300"/>
      <c r="G99" s="300"/>
      <c r="H99" s="300"/>
      <c r="I99" s="300"/>
      <c r="J99" s="300"/>
      <c r="K99" s="300"/>
      <c r="L99" s="300"/>
      <c r="M99" s="167"/>
      <c r="N99" s="145"/>
      <c r="O99" s="145"/>
      <c r="P99" s="166"/>
      <c r="Q99" s="145"/>
      <c r="R99" s="345">
        <v>14</v>
      </c>
      <c r="S99" s="317">
        <f>Geometry!I37</f>
        <v>0</v>
      </c>
      <c r="T99" s="175" t="str">
        <f t="shared" si="1"/>
        <v/>
      </c>
      <c r="U99" s="345">
        <f>Geometry!Q60</f>
        <v>40</v>
      </c>
      <c r="V99" s="345">
        <f t="shared" si="2"/>
        <v>0</v>
      </c>
      <c r="W99" s="345">
        <f t="shared" si="3"/>
        <v>0</v>
      </c>
      <c r="X99" s="145"/>
      <c r="Y99" s="345"/>
      <c r="Z99" s="168"/>
      <c r="AA99" s="145"/>
    </row>
    <row r="100" spans="1:27" ht="12.95" customHeight="1" x14ac:dyDescent="0.2">
      <c r="A100" s="627"/>
      <c r="B100" s="166"/>
      <c r="C100" s="300"/>
      <c r="D100" s="300" t="s">
        <v>228</v>
      </c>
      <c r="E100" s="300"/>
      <c r="F100" s="300"/>
      <c r="G100" s="300"/>
      <c r="H100" s="300"/>
      <c r="I100" s="300"/>
      <c r="J100" s="300"/>
      <c r="K100" s="300"/>
      <c r="L100" s="300"/>
      <c r="M100" s="167"/>
      <c r="N100" s="145"/>
      <c r="O100" s="145"/>
      <c r="P100" s="166"/>
      <c r="Q100" s="145"/>
      <c r="R100" s="145"/>
      <c r="S100" s="145"/>
      <c r="T100" s="145"/>
      <c r="U100" s="145"/>
      <c r="V100" s="145"/>
      <c r="W100" s="345">
        <f>SUM(W86:W99)</f>
        <v>0</v>
      </c>
      <c r="X100" s="152"/>
      <c r="Y100" s="145" t="s">
        <v>172</v>
      </c>
      <c r="Z100" s="168"/>
      <c r="AA100" s="145"/>
    </row>
    <row r="101" spans="1:27" ht="12.95" customHeight="1" x14ac:dyDescent="0.2">
      <c r="A101" s="627"/>
      <c r="B101" s="378"/>
      <c r="C101" s="300"/>
      <c r="D101" s="300" t="s">
        <v>230</v>
      </c>
      <c r="E101" s="300"/>
      <c r="F101" s="300"/>
      <c r="G101" s="300"/>
      <c r="H101" s="300"/>
      <c r="I101" s="300"/>
      <c r="J101" s="300"/>
      <c r="K101" s="300"/>
      <c r="L101" s="300"/>
      <c r="M101" s="167"/>
      <c r="N101" s="145"/>
      <c r="O101" s="145"/>
      <c r="P101" s="166"/>
      <c r="Q101" s="145"/>
      <c r="R101" s="145"/>
      <c r="S101" s="145" t="s">
        <v>172</v>
      </c>
      <c r="T101" s="345">
        <f>SUM(W86:W99)</f>
        <v>0</v>
      </c>
      <c r="U101" s="145"/>
      <c r="V101" s="145"/>
      <c r="W101" s="145"/>
      <c r="X101" s="145"/>
      <c r="Y101" s="345"/>
      <c r="Z101" s="168"/>
      <c r="AA101" s="145"/>
    </row>
    <row r="102" spans="1:27" ht="12.95" customHeight="1" x14ac:dyDescent="0.2">
      <c r="A102" s="627"/>
      <c r="B102" s="166"/>
      <c r="C102" s="300"/>
      <c r="D102" s="300"/>
      <c r="E102" s="300"/>
      <c r="F102" s="300"/>
      <c r="G102" s="300"/>
      <c r="H102" s="300"/>
      <c r="I102" s="300"/>
      <c r="J102" s="300"/>
      <c r="K102" s="300"/>
      <c r="L102" s="300"/>
      <c r="M102" s="167"/>
      <c r="N102" s="145"/>
      <c r="O102" s="145"/>
      <c r="P102" s="166"/>
      <c r="Q102" s="145"/>
      <c r="R102" s="145"/>
      <c r="S102" s="152" t="s">
        <v>49</v>
      </c>
      <c r="T102" s="437">
        <f>'Traffic &amp; Accidents'!E45</f>
        <v>0</v>
      </c>
      <c r="U102" s="145" t="s">
        <v>270</v>
      </c>
      <c r="V102" s="145"/>
      <c r="W102" s="145"/>
      <c r="X102" s="145"/>
      <c r="Y102" s="345"/>
      <c r="Z102" s="168"/>
      <c r="AA102" s="145"/>
    </row>
    <row r="103" spans="1:27" ht="12.95" customHeight="1" x14ac:dyDescent="0.2">
      <c r="A103" s="627"/>
      <c r="B103" s="166"/>
      <c r="C103" s="305"/>
      <c r="D103" s="300" t="s">
        <v>231</v>
      </c>
      <c r="E103" s="300" t="s">
        <v>232</v>
      </c>
      <c r="F103" s="300"/>
      <c r="G103" s="327" t="s">
        <v>231</v>
      </c>
      <c r="H103" s="300" t="s">
        <v>232</v>
      </c>
      <c r="I103" s="300"/>
      <c r="J103" s="300"/>
      <c r="K103" s="300"/>
      <c r="L103" s="300"/>
      <c r="M103" s="167"/>
      <c r="N103" s="145"/>
      <c r="O103" s="145"/>
      <c r="P103" s="166"/>
      <c r="Q103" s="145"/>
      <c r="R103" s="145"/>
      <c r="S103" s="145"/>
      <c r="T103" s="345" t="e">
        <f>T101/(3*T102)</f>
        <v>#DIV/0!</v>
      </c>
      <c r="U103" s="145"/>
      <c r="V103" s="145"/>
      <c r="W103" s="145"/>
      <c r="X103" s="145"/>
      <c r="Y103" s="345"/>
      <c r="Z103" s="167"/>
      <c r="AA103" s="145"/>
    </row>
    <row r="104" spans="1:27" ht="12.95" customHeight="1" x14ac:dyDescent="0.2">
      <c r="A104" s="627"/>
      <c r="B104" s="166"/>
      <c r="C104" s="305"/>
      <c r="D104" s="303" t="s">
        <v>233</v>
      </c>
      <c r="E104" s="303" t="s">
        <v>234</v>
      </c>
      <c r="F104" s="361"/>
      <c r="G104" s="303" t="s">
        <v>233</v>
      </c>
      <c r="H104" s="303" t="s">
        <v>234</v>
      </c>
      <c r="I104" s="300"/>
      <c r="J104" s="447" t="s">
        <v>235</v>
      </c>
      <c r="K104" s="447"/>
      <c r="L104" s="447"/>
      <c r="M104" s="448"/>
      <c r="N104" s="438"/>
      <c r="O104" s="146"/>
      <c r="P104" s="166"/>
      <c r="Q104" s="145"/>
      <c r="R104" s="145"/>
      <c r="S104" s="145" t="s">
        <v>229</v>
      </c>
      <c r="T104" s="345" t="e">
        <f>ROUND(T103,3)</f>
        <v>#DIV/0!</v>
      </c>
      <c r="U104" s="145"/>
      <c r="V104" s="145"/>
      <c r="W104" s="145"/>
      <c r="X104" s="145"/>
      <c r="Y104" s="145"/>
      <c r="Z104" s="167"/>
      <c r="AA104" s="145"/>
    </row>
    <row r="105" spans="1:27" ht="12.95" customHeight="1" x14ac:dyDescent="0.2">
      <c r="A105" s="627"/>
      <c r="B105" s="166"/>
      <c r="C105" s="305"/>
      <c r="D105" s="361">
        <v>10</v>
      </c>
      <c r="E105" s="449" t="s">
        <v>236</v>
      </c>
      <c r="F105" s="361"/>
      <c r="G105" s="361">
        <v>35</v>
      </c>
      <c r="H105" s="449">
        <v>250</v>
      </c>
      <c r="I105" s="300"/>
      <c r="J105" s="447" t="s">
        <v>237</v>
      </c>
      <c r="K105" s="447"/>
      <c r="L105" s="447"/>
      <c r="M105" s="448"/>
      <c r="N105" s="438"/>
      <c r="O105" s="146"/>
      <c r="P105" s="166"/>
      <c r="Q105" s="145"/>
      <c r="R105" s="145"/>
      <c r="S105" s="152" t="s">
        <v>185</v>
      </c>
      <c r="T105" s="345" t="e">
        <f>IF(T104*14.2857&gt;10,10,T104*14.2857)</f>
        <v>#DIV/0!</v>
      </c>
      <c r="U105" s="145"/>
      <c r="V105" s="145"/>
      <c r="W105" s="145"/>
      <c r="X105" s="145"/>
      <c r="Y105" s="145"/>
      <c r="Z105" s="167"/>
      <c r="AA105" s="145"/>
    </row>
    <row r="106" spans="1:27" ht="12.95" customHeight="1" x14ac:dyDescent="0.2">
      <c r="A106" s="627"/>
      <c r="B106" s="166"/>
      <c r="C106" s="305"/>
      <c r="D106" s="361">
        <v>15</v>
      </c>
      <c r="E106" s="449">
        <v>80</v>
      </c>
      <c r="F106" s="361"/>
      <c r="G106" s="361">
        <v>40</v>
      </c>
      <c r="H106" s="449">
        <v>305</v>
      </c>
      <c r="I106" s="300"/>
      <c r="J106" s="447" t="s">
        <v>238</v>
      </c>
      <c r="K106" s="447"/>
      <c r="L106" s="447"/>
      <c r="M106" s="448"/>
      <c r="N106" s="438"/>
      <c r="O106" s="146"/>
      <c r="P106" s="166"/>
      <c r="Q106" s="145"/>
      <c r="R106" s="145"/>
      <c r="S106" s="152" t="s">
        <v>186</v>
      </c>
      <c r="T106" s="439" t="e">
        <f>ROUNDUP(T105,0)</f>
        <v>#DIV/0!</v>
      </c>
      <c r="U106" s="145"/>
      <c r="V106" s="145"/>
      <c r="W106" s="145"/>
      <c r="X106" s="145"/>
      <c r="Y106" s="145"/>
      <c r="Z106" s="167"/>
      <c r="AA106" s="145"/>
    </row>
    <row r="107" spans="1:27" ht="12.95" customHeight="1" x14ac:dyDescent="0.2">
      <c r="A107" s="627"/>
      <c r="B107" s="166"/>
      <c r="C107" s="305"/>
      <c r="D107" s="361">
        <v>20</v>
      </c>
      <c r="E107" s="449">
        <v>115</v>
      </c>
      <c r="F107" s="361"/>
      <c r="G107" s="361">
        <v>45</v>
      </c>
      <c r="H107" s="449">
        <v>360</v>
      </c>
      <c r="I107" s="300"/>
      <c r="J107" s="450"/>
      <c r="K107" s="451" t="s">
        <v>240</v>
      </c>
      <c r="L107" s="451"/>
      <c r="M107" s="452"/>
      <c r="N107" s="440"/>
      <c r="O107" s="145"/>
      <c r="P107" s="166"/>
      <c r="Q107" s="145"/>
      <c r="R107" s="145"/>
      <c r="S107" s="145"/>
      <c r="T107" s="145"/>
      <c r="U107" s="145"/>
      <c r="V107" s="145"/>
      <c r="W107" s="145"/>
      <c r="X107" s="145"/>
      <c r="Y107" s="145"/>
      <c r="Z107" s="167"/>
      <c r="AA107" s="145"/>
    </row>
    <row r="108" spans="1:27" ht="12.95" customHeight="1" x14ac:dyDescent="0.2">
      <c r="A108" s="627"/>
      <c r="B108" s="166"/>
      <c r="C108" s="305"/>
      <c r="D108" s="361">
        <v>25</v>
      </c>
      <c r="E108" s="449">
        <v>155</v>
      </c>
      <c r="F108" s="361"/>
      <c r="G108" s="361">
        <v>50</v>
      </c>
      <c r="H108" s="449">
        <v>425</v>
      </c>
      <c r="I108" s="300"/>
      <c r="J108" s="450"/>
      <c r="K108" s="451" t="s">
        <v>241</v>
      </c>
      <c r="L108" s="451"/>
      <c r="M108" s="452"/>
      <c r="N108" s="440"/>
      <c r="O108" s="145"/>
      <c r="P108" s="166"/>
      <c r="Q108" s="145"/>
      <c r="R108" s="145"/>
      <c r="S108" s="145"/>
      <c r="T108" s="145"/>
      <c r="U108" s="145"/>
      <c r="V108" s="145"/>
      <c r="W108" s="145"/>
      <c r="X108" s="145"/>
      <c r="Y108" s="145"/>
      <c r="Z108" s="167"/>
      <c r="AA108" s="145"/>
    </row>
    <row r="109" spans="1:27" ht="12.95" customHeight="1" x14ac:dyDescent="0.2">
      <c r="A109" s="627"/>
      <c r="B109" s="166"/>
      <c r="C109" s="305"/>
      <c r="D109" s="361">
        <v>30</v>
      </c>
      <c r="E109" s="449">
        <v>200</v>
      </c>
      <c r="F109" s="361"/>
      <c r="G109" s="361">
        <v>55</v>
      </c>
      <c r="H109" s="449">
        <v>495</v>
      </c>
      <c r="I109" s="300"/>
      <c r="J109" s="450"/>
      <c r="K109" s="451" t="s">
        <v>242</v>
      </c>
      <c r="L109" s="451"/>
      <c r="M109" s="452"/>
      <c r="N109" s="440"/>
      <c r="O109" s="145"/>
      <c r="P109" s="166"/>
      <c r="Q109" s="145"/>
      <c r="R109" s="145"/>
      <c r="S109" s="145"/>
      <c r="T109" s="145"/>
      <c r="U109" s="145"/>
      <c r="V109" s="145"/>
      <c r="W109" s="145"/>
      <c r="X109" s="145"/>
      <c r="Y109" s="145"/>
      <c r="Z109" s="167"/>
      <c r="AA109" s="145"/>
    </row>
    <row r="110" spans="1:27" ht="12.95" customHeight="1" x14ac:dyDescent="0.2">
      <c r="A110" s="627"/>
      <c r="B110" s="166"/>
      <c r="C110" s="300"/>
      <c r="D110" s="300"/>
      <c r="E110" s="300"/>
      <c r="F110" s="300"/>
      <c r="G110" s="361">
        <v>60</v>
      </c>
      <c r="H110" s="449">
        <v>570</v>
      </c>
      <c r="I110" s="300"/>
      <c r="J110" s="450"/>
      <c r="K110" s="451" t="s">
        <v>275</v>
      </c>
      <c r="L110" s="451"/>
      <c r="M110" s="452"/>
      <c r="N110" s="440"/>
      <c r="O110" s="145"/>
      <c r="P110" s="387" t="s">
        <v>239</v>
      </c>
      <c r="Q110" s="147"/>
      <c r="R110" s="147"/>
      <c r="S110" s="147"/>
      <c r="T110" s="145"/>
      <c r="U110" s="145"/>
      <c r="V110" s="145"/>
      <c r="W110" s="145"/>
      <c r="X110" s="145"/>
      <c r="Y110" s="145"/>
      <c r="Z110" s="167"/>
      <c r="AA110" s="145"/>
    </row>
    <row r="111" spans="1:27" ht="12.95" customHeight="1" x14ac:dyDescent="0.2">
      <c r="A111" s="627"/>
      <c r="B111" s="166"/>
      <c r="C111" s="300"/>
      <c r="D111" s="450" t="s">
        <v>243</v>
      </c>
      <c r="E111" s="450"/>
      <c r="F111" s="450"/>
      <c r="G111" s="450"/>
      <c r="H111" s="450"/>
      <c r="I111" s="450"/>
      <c r="J111" s="300"/>
      <c r="K111" s="300"/>
      <c r="L111" s="300"/>
      <c r="M111" s="167"/>
      <c r="N111" s="145"/>
      <c r="O111" s="145"/>
      <c r="P111" s="171">
        <f t="shared" ref="P111:P124" si="4">IF(AND(S86&gt;=0,S86&lt;=80),10+((S86-0)/80)*5,Q111)</f>
        <v>10</v>
      </c>
      <c r="Q111" s="345">
        <f t="shared" ref="Q111:Q124" si="5">IF(AND(S86&gt;80,S86&lt;=115),15+((S86-80)/35)*5,R111)</f>
        <v>0</v>
      </c>
      <c r="R111" s="345">
        <f t="shared" ref="R111:R124" si="6">IF(AND(S86&gt;115,S86&lt;=155),20+((S86-115)/40)*5,S111)</f>
        <v>0</v>
      </c>
      <c r="S111" s="345">
        <f t="shared" ref="S111:S124" si="7">IF(AND(S86&gt;155,S86&lt;=200),25+((S86-155)/45)*5,T111)</f>
        <v>0</v>
      </c>
      <c r="T111" s="345">
        <f t="shared" ref="T111:T124" si="8">IF(AND(S86&gt;200,S86&lt;=250),30+((S86-200)/50)*5,U111)</f>
        <v>0</v>
      </c>
      <c r="U111" s="345">
        <f t="shared" ref="U111:U124" si="9">IF(AND(S86&gt;250,S86&lt;=305),35+((S86-250)/55)*5,V111)</f>
        <v>0</v>
      </c>
      <c r="V111" s="345">
        <f t="shared" ref="V111:V124" si="10">IF(AND(S86&gt;305,S86&lt;=360),40+((S86-305)/55)*5,W111)</f>
        <v>0</v>
      </c>
      <c r="W111" s="345">
        <f t="shared" ref="W111:W124" si="11">IF(AND(S86&gt;360,S86&lt;=425),45+((S86-360)/65)*5,X111)</f>
        <v>0</v>
      </c>
      <c r="X111" s="345">
        <f t="shared" ref="X111:X124" si="12">IF(AND(S86&gt;425,S86&lt;=495),50+((S86-425)/70)*5,Y111)</f>
        <v>0</v>
      </c>
      <c r="Y111" s="345">
        <f t="shared" ref="Y111:Y124" si="13">IF(AND(S86&gt;495,S86&lt;=570),55+((S86-495)/75)*5,Z111)</f>
        <v>0</v>
      </c>
      <c r="Z111" s="168">
        <f t="shared" ref="Z111:Z124" si="14">IF(S86&gt;570,60,0)</f>
        <v>0</v>
      </c>
      <c r="AA111" s="145"/>
    </row>
    <row r="112" spans="1:27" ht="12.95" customHeight="1" x14ac:dyDescent="0.2">
      <c r="A112" s="627"/>
      <c r="B112" s="166"/>
      <c r="C112" s="300" t="s">
        <v>244</v>
      </c>
      <c r="D112" s="300"/>
      <c r="E112" s="300"/>
      <c r="F112" s="300"/>
      <c r="G112" s="300"/>
      <c r="H112" s="300"/>
      <c r="I112" s="300"/>
      <c r="J112" s="300"/>
      <c r="K112" s="300"/>
      <c r="L112" s="300"/>
      <c r="M112" s="167"/>
      <c r="N112" s="145"/>
      <c r="O112" s="145"/>
      <c r="P112" s="171">
        <f t="shared" si="4"/>
        <v>10</v>
      </c>
      <c r="Q112" s="345">
        <f t="shared" si="5"/>
        <v>0</v>
      </c>
      <c r="R112" s="345">
        <f t="shared" si="6"/>
        <v>0</v>
      </c>
      <c r="S112" s="345">
        <f t="shared" si="7"/>
        <v>0</v>
      </c>
      <c r="T112" s="345">
        <f t="shared" si="8"/>
        <v>0</v>
      </c>
      <c r="U112" s="345">
        <f t="shared" si="9"/>
        <v>0</v>
      </c>
      <c r="V112" s="345">
        <f t="shared" si="10"/>
        <v>0</v>
      </c>
      <c r="W112" s="345">
        <f t="shared" si="11"/>
        <v>0</v>
      </c>
      <c r="X112" s="345">
        <f t="shared" si="12"/>
        <v>0</v>
      </c>
      <c r="Y112" s="345">
        <f t="shared" si="13"/>
        <v>0</v>
      </c>
      <c r="Z112" s="168">
        <f t="shared" si="14"/>
        <v>0</v>
      </c>
      <c r="AA112" s="145"/>
    </row>
    <row r="113" spans="1:27" ht="12.95" customHeight="1" x14ac:dyDescent="0.2">
      <c r="A113" s="627"/>
      <c r="B113" s="166"/>
      <c r="C113" s="300"/>
      <c r="D113" s="300" t="s">
        <v>245</v>
      </c>
      <c r="E113" s="300"/>
      <c r="F113" s="300"/>
      <c r="G113" s="300"/>
      <c r="H113" s="300"/>
      <c r="I113" s="300"/>
      <c r="J113" s="300"/>
      <c r="K113" s="300"/>
      <c r="L113" s="300"/>
      <c r="M113" s="167"/>
      <c r="N113" s="145"/>
      <c r="O113" s="145"/>
      <c r="P113" s="171">
        <f t="shared" si="4"/>
        <v>10</v>
      </c>
      <c r="Q113" s="345">
        <f t="shared" si="5"/>
        <v>0</v>
      </c>
      <c r="R113" s="345">
        <f t="shared" si="6"/>
        <v>0</v>
      </c>
      <c r="S113" s="345">
        <f t="shared" si="7"/>
        <v>0</v>
      </c>
      <c r="T113" s="345">
        <f t="shared" si="8"/>
        <v>0</v>
      </c>
      <c r="U113" s="345">
        <f t="shared" si="9"/>
        <v>0</v>
      </c>
      <c r="V113" s="345">
        <f t="shared" si="10"/>
        <v>0</v>
      </c>
      <c r="W113" s="345">
        <f t="shared" si="11"/>
        <v>0</v>
      </c>
      <c r="X113" s="345">
        <f t="shared" si="12"/>
        <v>0</v>
      </c>
      <c r="Y113" s="345">
        <f t="shared" si="13"/>
        <v>0</v>
      </c>
      <c r="Z113" s="168">
        <f t="shared" si="14"/>
        <v>0</v>
      </c>
      <c r="AA113" s="145"/>
    </row>
    <row r="114" spans="1:27" ht="12.95" customHeight="1" x14ac:dyDescent="0.2">
      <c r="A114" s="627"/>
      <c r="B114" s="166"/>
      <c r="C114" s="361" t="s">
        <v>246</v>
      </c>
      <c r="D114" s="300" t="s">
        <v>247</v>
      </c>
      <c r="E114" s="300"/>
      <c r="F114" s="300"/>
      <c r="G114" s="300"/>
      <c r="H114" s="300"/>
      <c r="I114" s="300"/>
      <c r="J114" s="300"/>
      <c r="K114" s="300"/>
      <c r="L114" s="300"/>
      <c r="M114" s="167"/>
      <c r="N114" s="145"/>
      <c r="O114" s="145"/>
      <c r="P114" s="171">
        <f t="shared" si="4"/>
        <v>10</v>
      </c>
      <c r="Q114" s="345">
        <f t="shared" si="5"/>
        <v>0</v>
      </c>
      <c r="R114" s="345">
        <f t="shared" si="6"/>
        <v>0</v>
      </c>
      <c r="S114" s="345">
        <f t="shared" si="7"/>
        <v>0</v>
      </c>
      <c r="T114" s="345">
        <f t="shared" si="8"/>
        <v>0</v>
      </c>
      <c r="U114" s="345">
        <f t="shared" si="9"/>
        <v>0</v>
      </c>
      <c r="V114" s="345">
        <f t="shared" si="10"/>
        <v>0</v>
      </c>
      <c r="W114" s="345">
        <f t="shared" si="11"/>
        <v>0</v>
      </c>
      <c r="X114" s="345">
        <f t="shared" si="12"/>
        <v>0</v>
      </c>
      <c r="Y114" s="345">
        <f t="shared" si="13"/>
        <v>0</v>
      </c>
      <c r="Z114" s="168">
        <f t="shared" si="14"/>
        <v>0</v>
      </c>
      <c r="AA114" s="145"/>
    </row>
    <row r="115" spans="1:27" ht="12.95" customHeight="1" x14ac:dyDescent="0.2">
      <c r="A115" s="627"/>
      <c r="B115" s="378"/>
      <c r="C115" s="361"/>
      <c r="D115" s="300" t="s">
        <v>248</v>
      </c>
      <c r="E115" s="300"/>
      <c r="F115" s="300"/>
      <c r="G115" s="300"/>
      <c r="H115" s="300"/>
      <c r="I115" s="300"/>
      <c r="J115" s="300"/>
      <c r="K115" s="300"/>
      <c r="L115" s="300"/>
      <c r="M115" s="167"/>
      <c r="N115" s="145"/>
      <c r="O115" s="145"/>
      <c r="P115" s="171">
        <f t="shared" si="4"/>
        <v>10</v>
      </c>
      <c r="Q115" s="345">
        <f t="shared" si="5"/>
        <v>0</v>
      </c>
      <c r="R115" s="345">
        <f t="shared" si="6"/>
        <v>0</v>
      </c>
      <c r="S115" s="345">
        <f t="shared" si="7"/>
        <v>0</v>
      </c>
      <c r="T115" s="345">
        <f t="shared" si="8"/>
        <v>0</v>
      </c>
      <c r="U115" s="345">
        <f t="shared" si="9"/>
        <v>0</v>
      </c>
      <c r="V115" s="345">
        <f t="shared" si="10"/>
        <v>0</v>
      </c>
      <c r="W115" s="345">
        <f t="shared" si="11"/>
        <v>0</v>
      </c>
      <c r="X115" s="345">
        <f t="shared" si="12"/>
        <v>0</v>
      </c>
      <c r="Y115" s="345">
        <f t="shared" si="13"/>
        <v>0</v>
      </c>
      <c r="Z115" s="168">
        <f t="shared" si="14"/>
        <v>0</v>
      </c>
      <c r="AA115" s="145"/>
    </row>
    <row r="116" spans="1:27" ht="12.95" customHeight="1" x14ac:dyDescent="0.2">
      <c r="A116" s="627"/>
      <c r="B116" s="166" t="s">
        <v>79</v>
      </c>
      <c r="C116" s="361"/>
      <c r="D116" s="300"/>
      <c r="E116" s="300"/>
      <c r="F116" s="300"/>
      <c r="G116" s="300"/>
      <c r="H116" s="300"/>
      <c r="I116" s="300"/>
      <c r="J116" s="300"/>
      <c r="K116" s="300"/>
      <c r="L116" s="300"/>
      <c r="M116" s="167"/>
      <c r="N116" s="145"/>
      <c r="O116" s="145"/>
      <c r="P116" s="171">
        <f t="shared" si="4"/>
        <v>10</v>
      </c>
      <c r="Q116" s="345">
        <f t="shared" si="5"/>
        <v>0</v>
      </c>
      <c r="R116" s="345">
        <f t="shared" si="6"/>
        <v>0</v>
      </c>
      <c r="S116" s="345">
        <f t="shared" si="7"/>
        <v>0</v>
      </c>
      <c r="T116" s="345">
        <f t="shared" si="8"/>
        <v>0</v>
      </c>
      <c r="U116" s="345">
        <f t="shared" si="9"/>
        <v>0</v>
      </c>
      <c r="V116" s="345">
        <f t="shared" si="10"/>
        <v>0</v>
      </c>
      <c r="W116" s="345">
        <f t="shared" si="11"/>
        <v>0</v>
      </c>
      <c r="X116" s="345">
        <f t="shared" si="12"/>
        <v>0</v>
      </c>
      <c r="Y116" s="345">
        <f t="shared" si="13"/>
        <v>0</v>
      </c>
      <c r="Z116" s="168">
        <f t="shared" si="14"/>
        <v>0</v>
      </c>
      <c r="AA116" s="145"/>
    </row>
    <row r="117" spans="1:27" ht="12.95" customHeight="1" x14ac:dyDescent="0.2">
      <c r="A117" s="627"/>
      <c r="B117" s="166"/>
      <c r="C117" s="361" t="s">
        <v>249</v>
      </c>
      <c r="D117" s="300" t="s">
        <v>250</v>
      </c>
      <c r="E117" s="300"/>
      <c r="F117" s="300"/>
      <c r="G117" s="300"/>
      <c r="H117" s="300"/>
      <c r="I117" s="300"/>
      <c r="J117" s="300"/>
      <c r="K117" s="300"/>
      <c r="L117" s="300"/>
      <c r="M117" s="167"/>
      <c r="N117" s="145"/>
      <c r="O117" s="145"/>
      <c r="P117" s="171">
        <f t="shared" si="4"/>
        <v>10</v>
      </c>
      <c r="Q117" s="345">
        <f t="shared" si="5"/>
        <v>0</v>
      </c>
      <c r="R117" s="345">
        <f t="shared" si="6"/>
        <v>0</v>
      </c>
      <c r="S117" s="345">
        <f t="shared" si="7"/>
        <v>0</v>
      </c>
      <c r="T117" s="345">
        <f t="shared" si="8"/>
        <v>0</v>
      </c>
      <c r="U117" s="345">
        <f t="shared" si="9"/>
        <v>0</v>
      </c>
      <c r="V117" s="345">
        <f t="shared" si="10"/>
        <v>0</v>
      </c>
      <c r="W117" s="345">
        <f t="shared" si="11"/>
        <v>0</v>
      </c>
      <c r="X117" s="345">
        <f t="shared" si="12"/>
        <v>0</v>
      </c>
      <c r="Y117" s="345">
        <f t="shared" si="13"/>
        <v>0</v>
      </c>
      <c r="Z117" s="168">
        <f t="shared" si="14"/>
        <v>0</v>
      </c>
      <c r="AA117" s="145"/>
    </row>
    <row r="118" spans="1:27" ht="12.95" customHeight="1" x14ac:dyDescent="0.2">
      <c r="A118" s="627"/>
      <c r="B118" s="166"/>
      <c r="C118" s="300"/>
      <c r="D118" s="300"/>
      <c r="E118" s="300" t="s">
        <v>251</v>
      </c>
      <c r="F118" s="300"/>
      <c r="G118" s="300"/>
      <c r="H118" s="300"/>
      <c r="I118" s="300"/>
      <c r="J118" s="300"/>
      <c r="K118" s="300"/>
      <c r="L118" s="300"/>
      <c r="M118" s="167"/>
      <c r="N118" s="145"/>
      <c r="O118" s="145"/>
      <c r="P118" s="171">
        <f t="shared" si="4"/>
        <v>10</v>
      </c>
      <c r="Q118" s="345">
        <f t="shared" si="5"/>
        <v>0</v>
      </c>
      <c r="R118" s="345">
        <f t="shared" si="6"/>
        <v>0</v>
      </c>
      <c r="S118" s="345">
        <f t="shared" si="7"/>
        <v>0</v>
      </c>
      <c r="T118" s="345">
        <f t="shared" si="8"/>
        <v>0</v>
      </c>
      <c r="U118" s="345">
        <f t="shared" si="9"/>
        <v>0</v>
      </c>
      <c r="V118" s="345">
        <f t="shared" si="10"/>
        <v>0</v>
      </c>
      <c r="W118" s="345">
        <f t="shared" si="11"/>
        <v>0</v>
      </c>
      <c r="X118" s="345">
        <f t="shared" si="12"/>
        <v>0</v>
      </c>
      <c r="Y118" s="345">
        <f t="shared" si="13"/>
        <v>0</v>
      </c>
      <c r="Z118" s="168">
        <f t="shared" si="14"/>
        <v>0</v>
      </c>
      <c r="AA118" s="145"/>
    </row>
    <row r="119" spans="1:27" ht="12.95" customHeight="1" x14ac:dyDescent="0.2">
      <c r="A119" s="224"/>
      <c r="B119" s="166"/>
      <c r="C119" s="300"/>
      <c r="D119" s="300"/>
      <c r="E119" s="300"/>
      <c r="F119" s="300"/>
      <c r="G119" s="300"/>
      <c r="H119" s="300"/>
      <c r="I119" s="300"/>
      <c r="J119" s="300"/>
      <c r="K119" s="300"/>
      <c r="L119" s="300"/>
      <c r="M119" s="167"/>
      <c r="N119" s="145"/>
      <c r="O119" s="145"/>
      <c r="P119" s="171">
        <f t="shared" si="4"/>
        <v>10</v>
      </c>
      <c r="Q119" s="345">
        <f t="shared" si="5"/>
        <v>0</v>
      </c>
      <c r="R119" s="345">
        <f t="shared" si="6"/>
        <v>0</v>
      </c>
      <c r="S119" s="345">
        <f t="shared" si="7"/>
        <v>0</v>
      </c>
      <c r="T119" s="345">
        <f t="shared" si="8"/>
        <v>0</v>
      </c>
      <c r="U119" s="345">
        <f t="shared" si="9"/>
        <v>0</v>
      </c>
      <c r="V119" s="345">
        <f t="shared" si="10"/>
        <v>0</v>
      </c>
      <c r="W119" s="345">
        <f t="shared" si="11"/>
        <v>0</v>
      </c>
      <c r="X119" s="345">
        <f t="shared" si="12"/>
        <v>0</v>
      </c>
      <c r="Y119" s="345">
        <f t="shared" si="13"/>
        <v>0</v>
      </c>
      <c r="Z119" s="168">
        <f t="shared" si="14"/>
        <v>0</v>
      </c>
      <c r="AA119" s="145"/>
    </row>
    <row r="120" spans="1:27" ht="12.95" customHeight="1" x14ac:dyDescent="0.2">
      <c r="A120" s="224"/>
      <c r="B120" s="445">
        <v>3</v>
      </c>
      <c r="C120" s="300" t="s">
        <v>252</v>
      </c>
      <c r="D120" s="300"/>
      <c r="E120" s="300"/>
      <c r="F120" s="300" t="s">
        <v>253</v>
      </c>
      <c r="G120" s="300"/>
      <c r="H120" s="300"/>
      <c r="I120" s="300"/>
      <c r="J120" s="300"/>
      <c r="K120" s="300"/>
      <c r="L120" s="300"/>
      <c r="M120" s="167"/>
      <c r="N120" s="145"/>
      <c r="O120" s="145"/>
      <c r="P120" s="171">
        <f t="shared" si="4"/>
        <v>10</v>
      </c>
      <c r="Q120" s="345">
        <f t="shared" si="5"/>
        <v>0</v>
      </c>
      <c r="R120" s="345">
        <f t="shared" si="6"/>
        <v>0</v>
      </c>
      <c r="S120" s="345">
        <f t="shared" si="7"/>
        <v>0</v>
      </c>
      <c r="T120" s="345">
        <f t="shared" si="8"/>
        <v>0</v>
      </c>
      <c r="U120" s="345">
        <f t="shared" si="9"/>
        <v>0</v>
      </c>
      <c r="V120" s="345">
        <f t="shared" si="10"/>
        <v>0</v>
      </c>
      <c r="W120" s="345">
        <f t="shared" si="11"/>
        <v>0</v>
      </c>
      <c r="X120" s="345">
        <f t="shared" si="12"/>
        <v>0</v>
      </c>
      <c r="Y120" s="345">
        <f t="shared" si="13"/>
        <v>0</v>
      </c>
      <c r="Z120" s="168">
        <f t="shared" si="14"/>
        <v>0</v>
      </c>
      <c r="AA120" s="145"/>
    </row>
    <row r="121" spans="1:27" ht="12.95" customHeight="1" x14ac:dyDescent="0.2">
      <c r="A121" s="224"/>
      <c r="B121" s="166" t="s">
        <v>79</v>
      </c>
      <c r="C121" s="300"/>
      <c r="D121" s="300"/>
      <c r="E121" s="300"/>
      <c r="F121" s="300"/>
      <c r="G121" s="300"/>
      <c r="H121" s="300"/>
      <c r="I121" s="300"/>
      <c r="J121" s="300"/>
      <c r="K121" s="300"/>
      <c r="L121" s="300"/>
      <c r="M121" s="167"/>
      <c r="N121" s="145"/>
      <c r="O121" s="145"/>
      <c r="P121" s="171">
        <f t="shared" si="4"/>
        <v>10</v>
      </c>
      <c r="Q121" s="345">
        <f t="shared" si="5"/>
        <v>0</v>
      </c>
      <c r="R121" s="345">
        <f t="shared" si="6"/>
        <v>0</v>
      </c>
      <c r="S121" s="345">
        <f t="shared" si="7"/>
        <v>0</v>
      </c>
      <c r="T121" s="345">
        <f t="shared" si="8"/>
        <v>0</v>
      </c>
      <c r="U121" s="345">
        <f t="shared" si="9"/>
        <v>0</v>
      </c>
      <c r="V121" s="345">
        <f t="shared" si="10"/>
        <v>0</v>
      </c>
      <c r="W121" s="345">
        <f t="shared" si="11"/>
        <v>0</v>
      </c>
      <c r="X121" s="345">
        <f t="shared" si="12"/>
        <v>0</v>
      </c>
      <c r="Y121" s="345">
        <f t="shared" si="13"/>
        <v>0</v>
      </c>
      <c r="Z121" s="168">
        <f t="shared" si="14"/>
        <v>0</v>
      </c>
      <c r="AA121" s="145"/>
    </row>
    <row r="122" spans="1:27" ht="12.95" customHeight="1" x14ac:dyDescent="0.2">
      <c r="A122" s="224"/>
      <c r="B122" s="378"/>
      <c r="C122" s="305"/>
      <c r="D122" s="303" t="s">
        <v>254</v>
      </c>
      <c r="E122" s="303" t="s">
        <v>229</v>
      </c>
      <c r="F122" s="305"/>
      <c r="G122" s="303" t="s">
        <v>254</v>
      </c>
      <c r="H122" s="303" t="s">
        <v>229</v>
      </c>
      <c r="I122" s="300"/>
      <c r="J122" s="300"/>
      <c r="K122" s="300"/>
      <c r="L122" s="300"/>
      <c r="M122" s="167"/>
      <c r="N122" s="145"/>
      <c r="O122" s="145"/>
      <c r="P122" s="171">
        <f t="shared" si="4"/>
        <v>10</v>
      </c>
      <c r="Q122" s="345">
        <f t="shared" si="5"/>
        <v>0</v>
      </c>
      <c r="R122" s="345">
        <f t="shared" si="6"/>
        <v>0</v>
      </c>
      <c r="S122" s="345">
        <f t="shared" si="7"/>
        <v>0</v>
      </c>
      <c r="T122" s="345">
        <f t="shared" si="8"/>
        <v>0</v>
      </c>
      <c r="U122" s="345">
        <f t="shared" si="9"/>
        <v>0</v>
      </c>
      <c r="V122" s="345">
        <f t="shared" si="10"/>
        <v>0</v>
      </c>
      <c r="W122" s="345">
        <f t="shared" si="11"/>
        <v>0</v>
      </c>
      <c r="X122" s="345">
        <f t="shared" si="12"/>
        <v>0</v>
      </c>
      <c r="Y122" s="345">
        <f t="shared" si="13"/>
        <v>0</v>
      </c>
      <c r="Z122" s="168">
        <f t="shared" si="14"/>
        <v>0</v>
      </c>
      <c r="AA122" s="145"/>
    </row>
    <row r="123" spans="1:27" ht="12.95" customHeight="1" x14ac:dyDescent="0.2">
      <c r="A123" s="224"/>
      <c r="B123" s="378"/>
      <c r="C123" s="305"/>
      <c r="D123" s="373">
        <v>1</v>
      </c>
      <c r="E123" s="450" t="s">
        <v>255</v>
      </c>
      <c r="F123" s="450"/>
      <c r="G123" s="373">
        <v>6</v>
      </c>
      <c r="H123" s="450" t="s">
        <v>256</v>
      </c>
      <c r="I123" s="450"/>
      <c r="J123" s="300"/>
      <c r="K123" s="300"/>
      <c r="L123" s="300"/>
      <c r="M123" s="167"/>
      <c r="N123" s="145"/>
      <c r="O123" s="145"/>
      <c r="P123" s="171">
        <f t="shared" si="4"/>
        <v>10</v>
      </c>
      <c r="Q123" s="345">
        <f t="shared" si="5"/>
        <v>0</v>
      </c>
      <c r="R123" s="345">
        <f t="shared" si="6"/>
        <v>0</v>
      </c>
      <c r="S123" s="345">
        <f t="shared" si="7"/>
        <v>0</v>
      </c>
      <c r="T123" s="345">
        <f t="shared" si="8"/>
        <v>0</v>
      </c>
      <c r="U123" s="345">
        <f t="shared" si="9"/>
        <v>0</v>
      </c>
      <c r="V123" s="345">
        <f t="shared" si="10"/>
        <v>0</v>
      </c>
      <c r="W123" s="345">
        <f t="shared" si="11"/>
        <v>0</v>
      </c>
      <c r="X123" s="345">
        <f t="shared" si="12"/>
        <v>0</v>
      </c>
      <c r="Y123" s="345">
        <f t="shared" si="13"/>
        <v>0</v>
      </c>
      <c r="Z123" s="168">
        <f t="shared" si="14"/>
        <v>0</v>
      </c>
      <c r="AA123" s="145"/>
    </row>
    <row r="124" spans="1:27" ht="12.95" customHeight="1" x14ac:dyDescent="0.2">
      <c r="A124" s="224"/>
      <c r="B124" s="378"/>
      <c r="C124" s="305"/>
      <c r="D124" s="373">
        <v>2</v>
      </c>
      <c r="E124" s="450" t="s">
        <v>257</v>
      </c>
      <c r="F124" s="450"/>
      <c r="G124" s="373">
        <v>7</v>
      </c>
      <c r="H124" s="450" t="s">
        <v>258</v>
      </c>
      <c r="I124" s="450"/>
      <c r="J124" s="300"/>
      <c r="K124" s="300"/>
      <c r="L124" s="300"/>
      <c r="M124" s="167"/>
      <c r="N124" s="145"/>
      <c r="O124" s="145"/>
      <c r="P124" s="171">
        <f t="shared" si="4"/>
        <v>10</v>
      </c>
      <c r="Q124" s="345">
        <f t="shared" si="5"/>
        <v>0</v>
      </c>
      <c r="R124" s="345">
        <f t="shared" si="6"/>
        <v>0</v>
      </c>
      <c r="S124" s="345">
        <f t="shared" si="7"/>
        <v>0</v>
      </c>
      <c r="T124" s="345">
        <f t="shared" si="8"/>
        <v>0</v>
      </c>
      <c r="U124" s="345">
        <f t="shared" si="9"/>
        <v>0</v>
      </c>
      <c r="V124" s="345">
        <f t="shared" si="10"/>
        <v>0</v>
      </c>
      <c r="W124" s="345">
        <f t="shared" si="11"/>
        <v>0</v>
      </c>
      <c r="X124" s="345">
        <f t="shared" si="12"/>
        <v>0</v>
      </c>
      <c r="Y124" s="345">
        <f t="shared" si="13"/>
        <v>0</v>
      </c>
      <c r="Z124" s="168">
        <f t="shared" si="14"/>
        <v>0</v>
      </c>
      <c r="AA124" s="145"/>
    </row>
    <row r="125" spans="1:27" ht="12.95" customHeight="1" x14ac:dyDescent="0.2">
      <c r="A125" s="224"/>
      <c r="B125" s="378"/>
      <c r="C125" s="305"/>
      <c r="D125" s="373">
        <v>3</v>
      </c>
      <c r="E125" s="450" t="s">
        <v>259</v>
      </c>
      <c r="F125" s="450"/>
      <c r="G125" s="373">
        <v>8</v>
      </c>
      <c r="H125" s="450" t="s">
        <v>260</v>
      </c>
      <c r="I125" s="450"/>
      <c r="J125" s="300"/>
      <c r="K125" s="300"/>
      <c r="L125" s="300"/>
      <c r="M125" s="167"/>
      <c r="N125" s="145"/>
      <c r="O125" s="145"/>
      <c r="P125" s="166"/>
      <c r="Q125" s="145"/>
      <c r="R125" s="145"/>
      <c r="S125" s="145"/>
      <c r="T125" s="145"/>
      <c r="U125" s="145"/>
      <c r="V125" s="145"/>
      <c r="W125" s="345"/>
      <c r="X125" s="345"/>
      <c r="Y125" s="145"/>
      <c r="Z125" s="167"/>
      <c r="AA125" s="145"/>
    </row>
    <row r="126" spans="1:27" ht="12.95" customHeight="1" x14ac:dyDescent="0.2">
      <c r="A126" s="224"/>
      <c r="B126" s="378"/>
      <c r="C126" s="305"/>
      <c r="D126" s="373">
        <v>4</v>
      </c>
      <c r="E126" s="450" t="s">
        <v>261</v>
      </c>
      <c r="F126" s="450"/>
      <c r="G126" s="373">
        <v>9</v>
      </c>
      <c r="H126" s="450" t="s">
        <v>262</v>
      </c>
      <c r="I126" s="450"/>
      <c r="J126" s="300"/>
      <c r="K126" s="300"/>
      <c r="L126" s="300"/>
      <c r="M126" s="167"/>
      <c r="N126" s="145"/>
      <c r="O126" s="145"/>
      <c r="P126" s="307"/>
      <c r="Q126" s="173"/>
      <c r="R126" s="173"/>
      <c r="S126" s="173"/>
      <c r="T126" s="173"/>
      <c r="U126" s="173"/>
      <c r="V126" s="173"/>
      <c r="W126" s="173"/>
      <c r="X126" s="173"/>
      <c r="Y126" s="173"/>
      <c r="Z126" s="308"/>
      <c r="AA126" s="145"/>
    </row>
    <row r="127" spans="1:27" ht="12.95" customHeight="1" x14ac:dyDescent="0.2">
      <c r="A127" s="224"/>
      <c r="B127" s="378"/>
      <c r="C127" s="305"/>
      <c r="D127" s="373">
        <v>5</v>
      </c>
      <c r="E127" s="450" t="s">
        <v>263</v>
      </c>
      <c r="F127" s="450"/>
      <c r="G127" s="373">
        <v>10</v>
      </c>
      <c r="H127" s="450" t="s">
        <v>264</v>
      </c>
      <c r="I127" s="450"/>
      <c r="J127" s="300"/>
      <c r="K127" s="300"/>
      <c r="L127" s="300"/>
      <c r="M127" s="167"/>
      <c r="N127" s="145"/>
      <c r="O127" s="145"/>
      <c r="P127" s="145"/>
      <c r="Q127" s="145"/>
      <c r="R127" s="145"/>
      <c r="S127" s="145"/>
      <c r="T127" s="441"/>
      <c r="U127" s="145"/>
      <c r="V127" s="145"/>
      <c r="W127" s="145"/>
      <c r="X127" s="145"/>
      <c r="Y127" s="145"/>
      <c r="Z127" s="145"/>
      <c r="AA127" s="145"/>
    </row>
    <row r="128" spans="1:27" ht="12.95" customHeight="1" x14ac:dyDescent="0.2">
      <c r="A128" s="224"/>
      <c r="B128" s="166"/>
      <c r="C128" s="300"/>
      <c r="D128" s="300"/>
      <c r="E128" s="300"/>
      <c r="F128" s="300"/>
      <c r="G128" s="300"/>
      <c r="H128" s="300"/>
      <c r="I128" s="300"/>
      <c r="J128" s="300"/>
      <c r="K128" s="300"/>
      <c r="L128" s="300"/>
      <c r="M128" s="167"/>
      <c r="N128" s="145"/>
      <c r="O128" s="145"/>
      <c r="P128" s="145"/>
      <c r="Q128" s="145"/>
      <c r="R128" s="145"/>
      <c r="S128" s="145"/>
      <c r="T128" s="441"/>
      <c r="U128" s="145"/>
      <c r="V128" s="145"/>
      <c r="W128" s="145"/>
      <c r="X128" s="145"/>
      <c r="Y128" s="145"/>
      <c r="Z128" s="145"/>
      <c r="AA128" s="145"/>
    </row>
    <row r="129" spans="1:27" ht="12.95" customHeight="1" x14ac:dyDescent="0.2">
      <c r="A129" s="224"/>
      <c r="B129" s="378"/>
      <c r="C129" s="300"/>
      <c r="D129" s="305"/>
      <c r="E129" s="300"/>
      <c r="F129" s="300" t="s">
        <v>265</v>
      </c>
      <c r="G129" s="300"/>
      <c r="H129" s="300"/>
      <c r="I129" s="300"/>
      <c r="J129" s="298" t="e">
        <f>IF(SUM(E14:E16)="",0,T106)</f>
        <v>#DIV/0!</v>
      </c>
      <c r="K129" s="300"/>
      <c r="L129" s="300"/>
      <c r="M129" s="167"/>
      <c r="N129" s="145"/>
      <c r="O129" s="145"/>
      <c r="P129" s="145"/>
      <c r="Q129" s="145"/>
      <c r="R129" s="145"/>
      <c r="S129" s="145"/>
      <c r="T129" s="441"/>
      <c r="U129" s="145"/>
      <c r="V129" s="145"/>
      <c r="W129" s="145"/>
      <c r="X129" s="145"/>
      <c r="Y129" s="145"/>
      <c r="Z129" s="145"/>
      <c r="AA129" s="145"/>
    </row>
    <row r="130" spans="1:27" ht="12.95" customHeight="1" x14ac:dyDescent="0.35">
      <c r="A130" s="224"/>
      <c r="B130" s="166" t="s">
        <v>79</v>
      </c>
      <c r="C130" s="300"/>
      <c r="D130" s="300"/>
      <c r="E130" s="300"/>
      <c r="F130" s="300"/>
      <c r="G130" s="300"/>
      <c r="H130" s="300"/>
      <c r="I130" s="300"/>
      <c r="J130" s="300"/>
      <c r="K130" s="300"/>
      <c r="L130" s="300"/>
      <c r="M130" s="167"/>
      <c r="N130" s="145"/>
      <c r="O130" s="145"/>
      <c r="P130" s="145"/>
      <c r="Q130" s="145"/>
      <c r="R130" s="145"/>
      <c r="S130" s="145"/>
      <c r="T130" s="442"/>
      <c r="U130" s="145"/>
      <c r="V130" s="145"/>
      <c r="W130" s="145"/>
      <c r="X130" s="145"/>
      <c r="Y130" s="145"/>
      <c r="Z130" s="145"/>
      <c r="AA130" s="145"/>
    </row>
    <row r="131" spans="1:27" ht="12.95" customHeight="1" x14ac:dyDescent="0.2">
      <c r="A131" s="224"/>
      <c r="B131" s="166" t="s">
        <v>266</v>
      </c>
      <c r="C131" s="300"/>
      <c r="D131" s="300"/>
      <c r="E131" s="300"/>
      <c r="F131" s="300"/>
      <c r="G131" s="300"/>
      <c r="H131" s="443" t="e">
        <f>IF(J129+Geometry!K71&gt;20,20,J129+Geometry!K71)</f>
        <v>#DIV/0!</v>
      </c>
      <c r="I131" s="300"/>
      <c r="J131" s="300"/>
      <c r="K131" s="300"/>
      <c r="L131" s="300"/>
      <c r="M131" s="167"/>
      <c r="N131" s="145"/>
      <c r="O131" s="145"/>
      <c r="P131" s="145"/>
      <c r="Q131" s="145"/>
      <c r="R131" s="170"/>
      <c r="S131" s="145"/>
      <c r="T131" s="444"/>
      <c r="U131" s="145"/>
      <c r="V131" s="145"/>
      <c r="W131" s="145"/>
      <c r="X131" s="145"/>
      <c r="Y131" s="145"/>
      <c r="Z131" s="145"/>
      <c r="AA131" s="145"/>
    </row>
    <row r="132" spans="1:27" ht="12.95" customHeight="1" x14ac:dyDescent="0.2">
      <c r="A132" s="224"/>
      <c r="B132" s="307"/>
      <c r="C132" s="173"/>
      <c r="D132" s="173"/>
      <c r="E132" s="173"/>
      <c r="F132" s="173"/>
      <c r="G132" s="173"/>
      <c r="H132" s="173"/>
      <c r="I132" s="173"/>
      <c r="J132" s="173"/>
      <c r="K132" s="173"/>
      <c r="L132" s="173"/>
      <c r="M132" s="308"/>
      <c r="N132" s="145"/>
      <c r="O132" s="145"/>
      <c r="P132" s="145"/>
      <c r="Q132" s="145"/>
      <c r="R132" s="345"/>
      <c r="S132" s="145"/>
      <c r="T132" s="444"/>
      <c r="U132" s="145"/>
      <c r="V132" s="145"/>
      <c r="W132" s="145"/>
      <c r="X132" s="145"/>
      <c r="Y132" s="145"/>
      <c r="Z132" s="145"/>
      <c r="AA132" s="145"/>
    </row>
  </sheetData>
  <sheetProtection algorithmName="SHA-512" hashValue="DjfIjDbLVV0HZvL/18DTLZz8+1VTx0ZrmvV/vAbjNPQo2dYgYK/I+qKXY8rftjRGQprM1tP6Mt84jv2vWZgK5g==" saltValue="w5ST6vJRdkm0LAnfer0WiQ==" spinCount="100000" sheet="1" selectLockedCells="1"/>
  <mergeCells count="27">
    <mergeCell ref="AY7:BE8"/>
    <mergeCell ref="R3:AP3"/>
    <mergeCell ref="G8:G9"/>
    <mergeCell ref="AH59:AI59"/>
    <mergeCell ref="AH60:AI60"/>
    <mergeCell ref="AH56:AI56"/>
    <mergeCell ref="AH58:AI58"/>
    <mergeCell ref="R7:AB9"/>
    <mergeCell ref="AX29:BA30"/>
    <mergeCell ref="AU41:AX41"/>
    <mergeCell ref="AZ41:BB41"/>
    <mergeCell ref="AU22:AX22"/>
    <mergeCell ref="AZ22:BC22"/>
    <mergeCell ref="Y38:AB40"/>
    <mergeCell ref="A78:A118"/>
    <mergeCell ref="A52:A76"/>
    <mergeCell ref="D18:J18"/>
    <mergeCell ref="G6:H6"/>
    <mergeCell ref="J13:K14"/>
    <mergeCell ref="B21:B23"/>
    <mergeCell ref="H21:H23"/>
    <mergeCell ref="G21:G23"/>
    <mergeCell ref="C21:D21"/>
    <mergeCell ref="J21:K21"/>
    <mergeCell ref="E20:H20"/>
    <mergeCell ref="C20:D20"/>
    <mergeCell ref="E7:E8"/>
  </mergeCells>
  <conditionalFormatting sqref="J39 D39:E39">
    <cfRule type="expression" dxfId="6" priority="1" stopIfTrue="1">
      <formula>ISERROR(#REF!)</formula>
    </cfRule>
  </conditionalFormatting>
  <conditionalFormatting sqref="E24:E37">
    <cfRule type="expression" dxfId="5" priority="8" stopIfTrue="1">
      <formula>ISERROR(#REF!)</formula>
    </cfRule>
  </conditionalFormatting>
  <conditionalFormatting sqref="I38">
    <cfRule type="expression" dxfId="4" priority="9" stopIfTrue="1">
      <formula>ISERROR($AQ$11)</formula>
    </cfRule>
  </conditionalFormatting>
  <conditionalFormatting sqref="C38">
    <cfRule type="expression" dxfId="3" priority="10" stopIfTrue="1">
      <formula>ISERROR($AH$11)</formula>
    </cfRule>
  </conditionalFormatting>
  <conditionalFormatting sqref="E38">
    <cfRule type="expression" dxfId="2" priority="11" stopIfTrue="1">
      <formula>ISERROR($AI$53)</formula>
    </cfRule>
  </conditionalFormatting>
  <conditionalFormatting sqref="L38">
    <cfRule type="expression" dxfId="1" priority="12" stopIfTrue="1">
      <formula>ISERROR($AT$10)</formula>
    </cfRule>
  </conditionalFormatting>
  <conditionalFormatting sqref="I39 C39">
    <cfRule type="expression" dxfId="0" priority="13" stopIfTrue="1">
      <formula>ISERROR($AN$12)</formula>
    </cfRule>
  </conditionalFormatting>
  <hyperlinks>
    <hyperlink ref="C21:D21" location="Geometry!A53" display="See sheets below" xr:uid="{00000000-0004-0000-0500-000000000000}"/>
    <hyperlink ref="J21:K21" location="Geometry!A79" display="See sheets below" xr:uid="{00000000-0004-0000-0500-000001000000}"/>
    <hyperlink ref="G6:H6" location="Geometry!S3" display="See tables at right" xr:uid="{00000000-0004-0000-0500-000002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2"/>
  </sheetPr>
  <dimension ref="A1:H41"/>
  <sheetViews>
    <sheetView showGridLines="0" workbookViewId="0">
      <selection activeCell="H10" sqref="H10"/>
    </sheetView>
  </sheetViews>
  <sheetFormatPr defaultRowHeight="15" x14ac:dyDescent="0.2"/>
  <cols>
    <col min="1" max="1" width="12.42578125" style="31" customWidth="1"/>
    <col min="2" max="16384" width="9.140625" style="31"/>
  </cols>
  <sheetData>
    <row r="1" spans="1:4" x14ac:dyDescent="0.2">
      <c r="A1" s="30" t="s">
        <v>345</v>
      </c>
    </row>
    <row r="2" spans="1:4" x14ac:dyDescent="0.2">
      <c r="A2" s="30" t="s">
        <v>346</v>
      </c>
    </row>
    <row r="3" spans="1:4" ht="15.75" x14ac:dyDescent="0.25">
      <c r="A3" s="32"/>
    </row>
    <row r="4" spans="1:4" ht="15.75" x14ac:dyDescent="0.25">
      <c r="A4" s="32"/>
    </row>
    <row r="5" spans="1:4" ht="15.75" x14ac:dyDescent="0.25">
      <c r="A5" s="33" t="s">
        <v>347</v>
      </c>
      <c r="B5" s="686"/>
      <c r="C5" s="686"/>
      <c r="D5" s="686"/>
    </row>
    <row r="6" spans="1:4" ht="15.75" x14ac:dyDescent="0.25">
      <c r="A6" s="33" t="s">
        <v>348</v>
      </c>
      <c r="B6" s="687"/>
      <c r="C6" s="687"/>
      <c r="D6" s="687"/>
    </row>
    <row r="7" spans="1:4" ht="15.75" x14ac:dyDescent="0.25">
      <c r="A7" s="33" t="s">
        <v>349</v>
      </c>
      <c r="B7" s="687"/>
      <c r="C7" s="687"/>
      <c r="D7" s="687"/>
    </row>
    <row r="8" spans="1:4" ht="15.75" x14ac:dyDescent="0.25">
      <c r="A8" s="33"/>
    </row>
    <row r="9" spans="1:4" ht="15.75" x14ac:dyDescent="0.25">
      <c r="A9" s="33"/>
    </row>
    <row r="10" spans="1:4" ht="15.75" x14ac:dyDescent="0.25">
      <c r="A10" s="34" t="s">
        <v>350</v>
      </c>
      <c r="C10" s="688"/>
      <c r="D10" s="688"/>
    </row>
    <row r="11" spans="1:4" ht="15.75" x14ac:dyDescent="0.25">
      <c r="A11" s="35"/>
    </row>
    <row r="12" spans="1:4" ht="15.75" x14ac:dyDescent="0.25">
      <c r="A12" s="34" t="s">
        <v>351</v>
      </c>
    </row>
    <row r="13" spans="1:4" ht="15.75" x14ac:dyDescent="0.25">
      <c r="A13" s="36" t="s">
        <v>352</v>
      </c>
    </row>
    <row r="14" spans="1:4" ht="15.75" x14ac:dyDescent="0.25">
      <c r="A14" s="36" t="s">
        <v>353</v>
      </c>
    </row>
    <row r="15" spans="1:4" ht="15.75" x14ac:dyDescent="0.25">
      <c r="A15" s="36" t="s">
        <v>354</v>
      </c>
    </row>
    <row r="16" spans="1:4" ht="15.75" x14ac:dyDescent="0.25">
      <c r="A16" s="36"/>
    </row>
    <row r="17" spans="1:8" ht="15.75" x14ac:dyDescent="0.25">
      <c r="A17" s="34" t="s">
        <v>355</v>
      </c>
    </row>
    <row r="18" spans="1:8" ht="15.75" x14ac:dyDescent="0.25">
      <c r="A18" s="36" t="s">
        <v>356</v>
      </c>
    </row>
    <row r="19" spans="1:8" ht="15.75" x14ac:dyDescent="0.25">
      <c r="A19" s="36" t="s">
        <v>357</v>
      </c>
    </row>
    <row r="20" spans="1:8" ht="15.75" x14ac:dyDescent="0.25">
      <c r="A20" s="36" t="s">
        <v>354</v>
      </c>
    </row>
    <row r="21" spans="1:8" ht="15.75" x14ac:dyDescent="0.25">
      <c r="A21" s="36"/>
    </row>
    <row r="22" spans="1:8" ht="15.75" x14ac:dyDescent="0.25">
      <c r="A22" s="34" t="s">
        <v>358</v>
      </c>
    </row>
    <row r="23" spans="1:8" ht="15.75" x14ac:dyDescent="0.25">
      <c r="A23" s="36"/>
    </row>
    <row r="24" spans="1:8" ht="15.75" x14ac:dyDescent="0.25">
      <c r="A24" s="34" t="s">
        <v>359</v>
      </c>
    </row>
    <row r="25" spans="1:8" ht="15.75" x14ac:dyDescent="0.25">
      <c r="A25" s="35"/>
    </row>
    <row r="26" spans="1:8" ht="15.75" x14ac:dyDescent="0.25">
      <c r="A26" s="35"/>
    </row>
    <row r="27" spans="1:8" ht="15.75" customHeight="1" x14ac:dyDescent="0.25">
      <c r="A27" s="37" t="s">
        <v>360</v>
      </c>
    </row>
    <row r="28" spans="1:8" ht="15.75" x14ac:dyDescent="0.25">
      <c r="A28" s="38"/>
    </row>
    <row r="29" spans="1:8" ht="15.75" x14ac:dyDescent="0.25">
      <c r="A29" s="38"/>
    </row>
    <row r="30" spans="1:8" ht="15.75" x14ac:dyDescent="0.25">
      <c r="A30" s="38"/>
    </row>
    <row r="31" spans="1:8" ht="15.75" x14ac:dyDescent="0.25">
      <c r="A31" s="35"/>
      <c r="B31" s="688"/>
      <c r="C31" s="688"/>
      <c r="D31" s="688"/>
      <c r="G31" s="688"/>
      <c r="H31" s="688"/>
    </row>
    <row r="32" spans="1:8" ht="15.75" x14ac:dyDescent="0.25">
      <c r="B32" s="685" t="s">
        <v>361</v>
      </c>
      <c r="C32" s="685"/>
      <c r="D32" s="685"/>
      <c r="G32" s="685" t="s">
        <v>317</v>
      </c>
      <c r="H32" s="685"/>
    </row>
    <row r="33" spans="1:1" ht="15.75" x14ac:dyDescent="0.25">
      <c r="A33" s="39"/>
    </row>
    <row r="34" spans="1:1" ht="15.75" x14ac:dyDescent="0.25">
      <c r="A34" s="39"/>
    </row>
    <row r="35" spans="1:1" ht="15.75" x14ac:dyDescent="0.25">
      <c r="A35" s="39"/>
    </row>
    <row r="36" spans="1:1" ht="15.75" x14ac:dyDescent="0.25">
      <c r="A36" s="39"/>
    </row>
    <row r="37" spans="1:1" ht="15.75" x14ac:dyDescent="0.25">
      <c r="A37" s="39"/>
    </row>
    <row r="38" spans="1:1" ht="15.75" x14ac:dyDescent="0.25">
      <c r="A38" s="39"/>
    </row>
    <row r="39" spans="1:1" ht="15.75" x14ac:dyDescent="0.25">
      <c r="A39" s="39"/>
    </row>
    <row r="40" spans="1:1" ht="15.75" x14ac:dyDescent="0.25">
      <c r="A40" s="39"/>
    </row>
    <row r="41" spans="1:1" x14ac:dyDescent="0.2">
      <c r="A41" s="40"/>
    </row>
  </sheetData>
  <mergeCells count="8">
    <mergeCell ref="G32:H32"/>
    <mergeCell ref="B32:D32"/>
    <mergeCell ref="B5:D5"/>
    <mergeCell ref="B6:D6"/>
    <mergeCell ref="B7:D7"/>
    <mergeCell ref="C10:D10"/>
    <mergeCell ref="B31:D31"/>
    <mergeCell ref="G31:H31"/>
  </mergeCells>
  <phoneticPr fontId="43" type="noConversion"/>
  <pageMargins left="0.62" right="0.53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Results</vt:lpstr>
      <vt:lpstr>RC INPUT</vt:lpstr>
      <vt:lpstr>Traffic &amp; Accidents</vt:lpstr>
      <vt:lpstr>Old Structure</vt:lpstr>
      <vt:lpstr>STRUCTURE</vt:lpstr>
      <vt:lpstr>Geometry</vt:lpstr>
      <vt:lpstr>Dev. Request</vt:lpstr>
      <vt:lpstr>'RC INPUT'!Print_Area</vt:lpstr>
      <vt:lpstr>STRUCTURE!Print_Area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2020-02-19T23:11:06Z</cp:lastPrinted>
  <dcterms:created xsi:type="dcterms:W3CDTF">2001-08-02T21:00:04Z</dcterms:created>
  <dcterms:modified xsi:type="dcterms:W3CDTF">2022-06-21T21:14:55Z</dcterms:modified>
</cp:coreProperties>
</file>