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steve_johnson_crab_wa_gov/Documents/Documents/Worksheets 23-25/SW/"/>
    </mc:Choice>
  </mc:AlternateContent>
  <xr:revisionPtr revIDLastSave="39" documentId="11_1D5D420D4A45E19D3C451EE39E603694E0D77452" xr6:coauthVersionLast="47" xr6:coauthVersionMax="47" xr10:uidLastSave="{FDC14AA4-B392-45FF-AFCA-66A135501A7A}"/>
  <workbookProtection workbookAlgorithmName="SHA-512" workbookHashValue="Z5QeKyJcnInL7wcsE6//YyIM86Q1xy9ovSry/tBr+VC++VdW/flrT8ful5bvXZXfshRplb/boZp0G/NKS/VeDQ==" workbookSaltValue="m35npxCgrRptXgEBStnHHQ==" workbookSpinCount="100000" lockStructure="1"/>
  <bookViews>
    <workbookView xWindow="28680" yWindow="-120" windowWidth="29040" windowHeight="15840" firstSheet="1" activeTab="1" xr2:uid="{00000000-000D-0000-FFFF-FFFF00000000}"/>
  </bookViews>
  <sheets>
    <sheet name="Results" sheetId="7" state="hidden" r:id="rId1"/>
    <sheet name="3R INPUT" sheetId="4" r:id="rId2"/>
    <sheet name="Traffic &amp; Accidents" sheetId="9" r:id="rId3"/>
    <sheet name="Old Structure" sheetId="8" state="hidden" r:id="rId4"/>
    <sheet name="STRUCTURE" sheetId="13" r:id="rId5"/>
    <sheet name="Geometry" sheetId="11" r:id="rId6"/>
    <sheet name="3R Checklist" sheetId="12" r:id="rId7"/>
    <sheet name="Engineer's 3R letter" sheetId="3" r:id="rId8"/>
  </sheets>
  <definedNames>
    <definedName name="_xlnm.Print_Area" localSheetId="1">'3R INPUT'!$A$3:$M$51</definedName>
    <definedName name="_xlnm.Print_Area" localSheetId="5">Geometry!$C$5:$N$43</definedName>
    <definedName name="_xlnm.Print_Area" localSheetId="4">STRUCTURE!$B$4:$N$38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1" l="1"/>
  <c r="E42" i="11"/>
  <c r="O99" i="11"/>
  <c r="O98" i="11"/>
  <c r="O97" i="11"/>
  <c r="G15" i="13" l="1"/>
  <c r="I44" i="4" l="1"/>
  <c r="J30" i="12" l="1"/>
  <c r="K38" i="4" s="1"/>
  <c r="R15" i="13" l="1"/>
  <c r="Z15" i="13" s="1"/>
  <c r="K22" i="4"/>
  <c r="K23" i="4" l="1"/>
  <c r="K25" i="4" s="1"/>
  <c r="F9" i="7"/>
  <c r="X52" i="12" l="1"/>
  <c r="U142" i="11"/>
  <c r="Q137" i="11"/>
  <c r="R137" i="11" s="1"/>
  <c r="Q136" i="11"/>
  <c r="N161" i="11" s="1"/>
  <c r="Q135" i="11"/>
  <c r="X160" i="11" s="1"/>
  <c r="Q134" i="11"/>
  <c r="Q133" i="11"/>
  <c r="X158" i="11" s="1"/>
  <c r="Q132" i="11"/>
  <c r="Q131" i="11"/>
  <c r="Q130" i="11"/>
  <c r="X155" i="11" s="1"/>
  <c r="Q129" i="11"/>
  <c r="R129" i="11" s="1"/>
  <c r="Q128" i="11"/>
  <c r="N153" i="11" s="1"/>
  <c r="Q127" i="11"/>
  <c r="Q126" i="11"/>
  <c r="Q125" i="11"/>
  <c r="X150" i="11" s="1"/>
  <c r="Q124" i="11"/>
  <c r="T111" i="11"/>
  <c r="T110" i="11"/>
  <c r="T109" i="11"/>
  <c r="T108" i="11"/>
  <c r="T107" i="11"/>
  <c r="T106" i="11"/>
  <c r="T105" i="11"/>
  <c r="T104" i="11"/>
  <c r="T103" i="11"/>
  <c r="T102" i="11"/>
  <c r="T101" i="11"/>
  <c r="T100" i="11"/>
  <c r="T99" i="11"/>
  <c r="T98" i="11"/>
  <c r="Z67" i="11"/>
  <c r="Y67" i="11" s="1"/>
  <c r="X67" i="11" s="1"/>
  <c r="W67" i="11" s="1"/>
  <c r="V67" i="11" s="1"/>
  <c r="U67" i="11" s="1"/>
  <c r="T67" i="11" s="1"/>
  <c r="S67" i="11" s="1"/>
  <c r="R67" i="11" s="1"/>
  <c r="Q67" i="11" s="1"/>
  <c r="P67" i="11" s="1"/>
  <c r="Z66" i="11"/>
  <c r="Y66" i="11" s="1"/>
  <c r="X66" i="11" s="1"/>
  <c r="W66" i="11" s="1"/>
  <c r="V66" i="11" s="1"/>
  <c r="U66" i="11" s="1"/>
  <c r="T66" i="11" s="1"/>
  <c r="S66" i="11" s="1"/>
  <c r="R66" i="11" s="1"/>
  <c r="Q66" i="11" s="1"/>
  <c r="P66" i="11" s="1"/>
  <c r="Z65" i="11"/>
  <c r="Y65" i="11" s="1"/>
  <c r="X65" i="11" s="1"/>
  <c r="W65" i="11" s="1"/>
  <c r="V65" i="11" s="1"/>
  <c r="U65" i="11" s="1"/>
  <c r="T65" i="11" s="1"/>
  <c r="S65" i="11" s="1"/>
  <c r="R65" i="11" s="1"/>
  <c r="Q65" i="11" s="1"/>
  <c r="P65" i="11" s="1"/>
  <c r="C56" i="11"/>
  <c r="Y56" i="11" s="1"/>
  <c r="C54" i="11"/>
  <c r="R135" i="11" l="1"/>
  <c r="W155" i="11"/>
  <c r="N158" i="11"/>
  <c r="W158" i="11"/>
  <c r="V158" i="11" s="1"/>
  <c r="U158" i="11" s="1"/>
  <c r="T158" i="11" s="1"/>
  <c r="S158" i="11" s="1"/>
  <c r="R158" i="11" s="1"/>
  <c r="Q158" i="11" s="1"/>
  <c r="P158" i="11" s="1"/>
  <c r="O158" i="11" s="1"/>
  <c r="W160" i="11"/>
  <c r="R127" i="11"/>
  <c r="R133" i="11"/>
  <c r="X152" i="11"/>
  <c r="W152" i="11" s="1"/>
  <c r="V152" i="11" s="1"/>
  <c r="U152" i="11" s="1"/>
  <c r="T152" i="11" s="1"/>
  <c r="S152" i="11" s="1"/>
  <c r="R152" i="11" s="1"/>
  <c r="Q152" i="11" s="1"/>
  <c r="P152" i="11" s="1"/>
  <c r="O152" i="11" s="1"/>
  <c r="V160" i="11"/>
  <c r="U160" i="11" s="1"/>
  <c r="T160" i="11" s="1"/>
  <c r="S160" i="11" s="1"/>
  <c r="R160" i="11" s="1"/>
  <c r="Q160" i="11" s="1"/>
  <c r="P160" i="11" s="1"/>
  <c r="O160" i="11" s="1"/>
  <c r="W150" i="11"/>
  <c r="V150" i="11" s="1"/>
  <c r="U150" i="11" s="1"/>
  <c r="T150" i="11" s="1"/>
  <c r="S150" i="11" s="1"/>
  <c r="R150" i="11" s="1"/>
  <c r="Q150" i="11" s="1"/>
  <c r="P150" i="11" s="1"/>
  <c r="O150" i="11" s="1"/>
  <c r="N150" i="11" s="1"/>
  <c r="R125" i="11" s="1"/>
  <c r="R126" i="11"/>
  <c r="R134" i="11"/>
  <c r="N156" i="11"/>
  <c r="R131" i="11"/>
  <c r="X153" i="11"/>
  <c r="W153" i="11" s="1"/>
  <c r="V153" i="11" s="1"/>
  <c r="U153" i="11" s="1"/>
  <c r="T153" i="11" s="1"/>
  <c r="S153" i="11" s="1"/>
  <c r="R153" i="11" s="1"/>
  <c r="Q153" i="11" s="1"/>
  <c r="P153" i="11" s="1"/>
  <c r="O153" i="11" s="1"/>
  <c r="N159" i="11"/>
  <c r="X161" i="11"/>
  <c r="W161" i="11" s="1"/>
  <c r="V161" i="11" s="1"/>
  <c r="U161" i="11" s="1"/>
  <c r="T161" i="11" s="1"/>
  <c r="S161" i="11" s="1"/>
  <c r="R161" i="11" s="1"/>
  <c r="Q161" i="11" s="1"/>
  <c r="P161" i="11" s="1"/>
  <c r="O161" i="11" s="1"/>
  <c r="N151" i="11"/>
  <c r="R128" i="11"/>
  <c r="R136" i="11"/>
  <c r="N154" i="11"/>
  <c r="X156" i="11"/>
  <c r="W156" i="11" s="1"/>
  <c r="V156" i="11" s="1"/>
  <c r="U156" i="11" s="1"/>
  <c r="T156" i="11" s="1"/>
  <c r="S156" i="11" s="1"/>
  <c r="R156" i="11" s="1"/>
  <c r="Q156" i="11" s="1"/>
  <c r="P156" i="11" s="1"/>
  <c r="O156" i="11" s="1"/>
  <c r="N162" i="11"/>
  <c r="N157" i="11"/>
  <c r="X159" i="11"/>
  <c r="W159" i="11" s="1"/>
  <c r="V159" i="11" s="1"/>
  <c r="U159" i="11" s="1"/>
  <c r="T159" i="11" s="1"/>
  <c r="S159" i="11" s="1"/>
  <c r="R159" i="11" s="1"/>
  <c r="Q159" i="11" s="1"/>
  <c r="P159" i="11" s="1"/>
  <c r="O159" i="11" s="1"/>
  <c r="X151" i="11"/>
  <c r="W151" i="11" s="1"/>
  <c r="V151" i="11" s="1"/>
  <c r="U151" i="11" s="1"/>
  <c r="T151" i="11" s="1"/>
  <c r="S151" i="11" s="1"/>
  <c r="R151" i="11" s="1"/>
  <c r="Q151" i="11" s="1"/>
  <c r="P151" i="11" s="1"/>
  <c r="O151" i="11" s="1"/>
  <c r="R130" i="11"/>
  <c r="N152" i="11"/>
  <c r="X154" i="11"/>
  <c r="W154" i="11" s="1"/>
  <c r="V154" i="11" s="1"/>
  <c r="U154" i="11" s="1"/>
  <c r="T154" i="11" s="1"/>
  <c r="S154" i="11" s="1"/>
  <c r="R154" i="11" s="1"/>
  <c r="Q154" i="11" s="1"/>
  <c r="P154" i="11" s="1"/>
  <c r="O154" i="11" s="1"/>
  <c r="N160" i="11"/>
  <c r="X162" i="11"/>
  <c r="W162" i="11" s="1"/>
  <c r="V162" i="11" s="1"/>
  <c r="U162" i="11" s="1"/>
  <c r="T162" i="11" s="1"/>
  <c r="S162" i="11" s="1"/>
  <c r="R162" i="11" s="1"/>
  <c r="Q162" i="11" s="1"/>
  <c r="P162" i="11" s="1"/>
  <c r="O162" i="11" s="1"/>
  <c r="X149" i="11"/>
  <c r="W149" i="11" s="1"/>
  <c r="V149" i="11" s="1"/>
  <c r="U149" i="11" s="1"/>
  <c r="T149" i="11" s="1"/>
  <c r="S149" i="11" s="1"/>
  <c r="R149" i="11" s="1"/>
  <c r="Q149" i="11" s="1"/>
  <c r="P149" i="11" s="1"/>
  <c r="O149" i="11" s="1"/>
  <c r="N149" i="11" s="1"/>
  <c r="R124" i="11" s="1"/>
  <c r="N155" i="11"/>
  <c r="V155" i="11"/>
  <c r="U155" i="11" s="1"/>
  <c r="T155" i="11" s="1"/>
  <c r="S155" i="11" s="1"/>
  <c r="R155" i="11" s="1"/>
  <c r="Q155" i="11" s="1"/>
  <c r="P155" i="11" s="1"/>
  <c r="O155" i="11" s="1"/>
  <c r="X157" i="11"/>
  <c r="W157" i="11" s="1"/>
  <c r="V157" i="11" s="1"/>
  <c r="U157" i="11" s="1"/>
  <c r="T157" i="11" s="1"/>
  <c r="S157" i="11" s="1"/>
  <c r="R157" i="11" s="1"/>
  <c r="Q157" i="11" s="1"/>
  <c r="P157" i="11" s="1"/>
  <c r="O157" i="11" s="1"/>
  <c r="R132" i="11"/>
  <c r="X56" i="11"/>
  <c r="W56" i="11" s="1"/>
  <c r="V56" i="11" s="1"/>
  <c r="U56" i="11" s="1"/>
  <c r="T56" i="11" s="1"/>
  <c r="S56" i="11" s="1"/>
  <c r="R56" i="11" s="1"/>
  <c r="Q56" i="11" s="1"/>
  <c r="P56" i="11" s="1"/>
  <c r="Y55" i="11"/>
  <c r="X55" i="11" s="1"/>
  <c r="W55" i="11" s="1"/>
  <c r="V55" i="11" s="1"/>
  <c r="U55" i="11" s="1"/>
  <c r="T55" i="11" s="1"/>
  <c r="S55" i="11" s="1"/>
  <c r="R55" i="11" s="1"/>
  <c r="Q55" i="11" s="1"/>
  <c r="P55" i="11" s="1"/>
  <c r="Y57" i="11"/>
  <c r="X57" i="11" s="1"/>
  <c r="W57" i="11" s="1"/>
  <c r="V57" i="11" s="1"/>
  <c r="U57" i="11" s="1"/>
  <c r="T57" i="11" s="1"/>
  <c r="S57" i="11" s="1"/>
  <c r="R57" i="11" s="1"/>
  <c r="Q57" i="11" s="1"/>
  <c r="P57" i="11" s="1"/>
  <c r="D88" i="8"/>
  <c r="K13" i="8"/>
  <c r="Z64" i="8"/>
  <c r="V62" i="8"/>
  <c r="V61" i="8"/>
  <c r="V60" i="8"/>
  <c r="V59" i="8"/>
  <c r="V58" i="8"/>
  <c r="V57" i="8"/>
  <c r="V56" i="8"/>
  <c r="AA41" i="8"/>
  <c r="Z40" i="8"/>
  <c r="M6" i="8" l="1"/>
  <c r="D83" i="8"/>
  <c r="J41" i="12"/>
  <c r="J35" i="12"/>
  <c r="J21" i="12"/>
  <c r="K37" i="4" s="1"/>
  <c r="J14" i="12"/>
  <c r="K36" i="4" s="1"/>
  <c r="J9" i="12"/>
  <c r="M41" i="11"/>
  <c r="F22" i="9"/>
  <c r="D35" i="9"/>
  <c r="D39" i="9" s="1"/>
  <c r="F35" i="9"/>
  <c r="F39" i="9" s="1"/>
  <c r="H35" i="9"/>
  <c r="H39" i="9" s="1"/>
  <c r="E46" i="9"/>
  <c r="Q111" i="11" l="1"/>
  <c r="P111" i="11" s="1"/>
  <c r="O111" i="11" s="1"/>
  <c r="Q110" i="11"/>
  <c r="P110" i="11" s="1"/>
  <c r="Q109" i="11"/>
  <c r="P109" i="11" s="1"/>
  <c r="AB97" i="11"/>
  <c r="R140" i="11"/>
  <c r="J44" i="12"/>
  <c r="J73" i="11"/>
  <c r="N67" i="11"/>
  <c r="N66" i="11" s="1"/>
  <c r="N65" i="11" s="1"/>
  <c r="F73" i="11"/>
  <c r="N57" i="11"/>
  <c r="N56" i="11" s="1"/>
  <c r="N55" i="11" s="1"/>
  <c r="N53" i="11" s="1"/>
  <c r="S84" i="11" s="1"/>
  <c r="S77" i="8"/>
  <c r="AA77" i="8" s="1"/>
  <c r="J39" i="9"/>
  <c r="B46" i="9" s="1"/>
  <c r="G46" i="9" s="1"/>
  <c r="P27" i="9"/>
  <c r="P26" i="9" s="1"/>
  <c r="P25" i="9" s="1"/>
  <c r="P24" i="9" s="1"/>
  <c r="P23" i="9" s="1"/>
  <c r="P22" i="9" s="1"/>
  <c r="K35" i="4"/>
  <c r="K39" i="4"/>
  <c r="K40" i="4"/>
  <c r="N28" i="11"/>
  <c r="N34" i="11"/>
  <c r="N35" i="11"/>
  <c r="N36" i="11"/>
  <c r="N39" i="11"/>
  <c r="F26" i="7"/>
  <c r="F27" i="7"/>
  <c r="N63" i="11" l="1"/>
  <c r="X85" i="11" s="1"/>
  <c r="O110" i="11"/>
  <c r="O109" i="11" s="1"/>
  <c r="S124" i="11" s="1"/>
  <c r="T124" i="11" s="1"/>
  <c r="U124" i="11" s="1"/>
  <c r="N31" i="11"/>
  <c r="L25" i="9"/>
  <c r="K16" i="4" s="1"/>
  <c r="F5" i="7" s="1"/>
  <c r="O55" i="9"/>
  <c r="O54" i="9" s="1"/>
  <c r="O53" i="9" s="1"/>
  <c r="O52" i="9" s="1"/>
  <c r="O51" i="9" s="1"/>
  <c r="O50" i="9" s="1"/>
  <c r="L51" i="9" s="1"/>
  <c r="K17" i="4" s="1"/>
  <c r="F7" i="7" s="1"/>
  <c r="J48" i="9"/>
  <c r="N38" i="11"/>
  <c r="N27" i="11"/>
  <c r="N32" i="11"/>
  <c r="K41" i="4"/>
  <c r="F17" i="7" s="1"/>
  <c r="N37" i="11"/>
  <c r="N29" i="11"/>
  <c r="N33" i="11"/>
  <c r="N30" i="11"/>
  <c r="N26" i="11"/>
  <c r="S127" i="11" l="1"/>
  <c r="T127" i="11" s="1"/>
  <c r="U127" i="11" s="1"/>
  <c r="S126" i="11"/>
  <c r="T126" i="11" s="1"/>
  <c r="U126" i="11" s="1"/>
  <c r="S125" i="11"/>
  <c r="T125" i="11" s="1"/>
  <c r="U125" i="11" s="1"/>
  <c r="S136" i="11"/>
  <c r="T136" i="11" s="1"/>
  <c r="U136" i="11" s="1"/>
  <c r="S133" i="11"/>
  <c r="T133" i="11" s="1"/>
  <c r="U133" i="11" s="1"/>
  <c r="S137" i="11"/>
  <c r="T137" i="11" s="1"/>
  <c r="U137" i="11" s="1"/>
  <c r="S131" i="11"/>
  <c r="T131" i="11" s="1"/>
  <c r="U131" i="11" s="1"/>
  <c r="S132" i="11"/>
  <c r="T132" i="11" s="1"/>
  <c r="U132" i="11" s="1"/>
  <c r="S128" i="11"/>
  <c r="T128" i="11" s="1"/>
  <c r="U128" i="11" s="1"/>
  <c r="S135" i="11"/>
  <c r="T135" i="11" s="1"/>
  <c r="U135" i="11" s="1"/>
  <c r="S129" i="11"/>
  <c r="T129" i="11" s="1"/>
  <c r="U129" i="11" s="1"/>
  <c r="S134" i="11"/>
  <c r="T134" i="11" s="1"/>
  <c r="U134" i="11" s="1"/>
  <c r="Q106" i="11"/>
  <c r="W108" i="11" s="1"/>
  <c r="X108" i="11" s="1"/>
  <c r="S130" i="11"/>
  <c r="T130" i="11" s="1"/>
  <c r="U130" i="11" s="1"/>
  <c r="K18" i="4"/>
  <c r="W103" i="11" l="1"/>
  <c r="X103" i="11" s="1"/>
  <c r="W101" i="11"/>
  <c r="X101" i="11" s="1"/>
  <c r="H17" i="11"/>
  <c r="W105" i="11"/>
  <c r="X105" i="11" s="1"/>
  <c r="W100" i="11"/>
  <c r="X100" i="11" s="1"/>
  <c r="W107" i="11"/>
  <c r="X107" i="11" s="1"/>
  <c r="W109" i="11"/>
  <c r="X109" i="11" s="1"/>
  <c r="W110" i="11"/>
  <c r="X110" i="11" s="1"/>
  <c r="W111" i="11"/>
  <c r="X111" i="11" s="1"/>
  <c r="R139" i="11"/>
  <c r="R141" i="11" s="1"/>
  <c r="R142" i="11" s="1"/>
  <c r="R143" i="11" s="1"/>
  <c r="R144" i="11" s="1"/>
  <c r="K163" i="11" s="1"/>
  <c r="W106" i="11"/>
  <c r="X106" i="11" s="1"/>
  <c r="W99" i="11"/>
  <c r="X99" i="11" s="1"/>
  <c r="W102" i="11"/>
  <c r="X102" i="11" s="1"/>
  <c r="U138" i="11"/>
  <c r="W104" i="11"/>
  <c r="X104" i="11" s="1"/>
  <c r="W98" i="11"/>
  <c r="X98" i="11" s="1"/>
  <c r="I74" i="11"/>
  <c r="I73" i="11" s="1"/>
  <c r="H74" i="11" s="1"/>
  <c r="H73" i="11" s="1"/>
  <c r="E74" i="11"/>
  <c r="E73" i="11" s="1"/>
  <c r="D74" i="11" s="1"/>
  <c r="D73" i="11" s="1"/>
  <c r="C74" i="11" s="1"/>
  <c r="C73" i="11" s="1"/>
  <c r="F67" i="11" l="1"/>
  <c r="C62" i="11" s="1"/>
  <c r="C58" i="11" s="1"/>
  <c r="G56" i="11" s="1"/>
  <c r="O39" i="11"/>
  <c r="I38" i="11"/>
  <c r="F37" i="11"/>
  <c r="O35" i="11"/>
  <c r="I34" i="11"/>
  <c r="F33" i="11"/>
  <c r="O31" i="11"/>
  <c r="I30" i="11"/>
  <c r="O27" i="11"/>
  <c r="M27" i="11" s="1"/>
  <c r="G38" i="11"/>
  <c r="M35" i="11"/>
  <c r="I31" i="11"/>
  <c r="G39" i="11"/>
  <c r="C38" i="11"/>
  <c r="M36" i="11"/>
  <c r="G35" i="11"/>
  <c r="C34" i="11"/>
  <c r="M32" i="11"/>
  <c r="G31" i="11"/>
  <c r="F31" i="11" s="1"/>
  <c r="C30" i="11"/>
  <c r="M28" i="11"/>
  <c r="G27" i="11"/>
  <c r="F27" i="11" s="1"/>
  <c r="C26" i="11"/>
  <c r="O29" i="11"/>
  <c r="I28" i="11"/>
  <c r="I26" i="11"/>
  <c r="C37" i="11"/>
  <c r="G34" i="11"/>
  <c r="C33" i="11"/>
  <c r="G30" i="11"/>
  <c r="F38" i="11"/>
  <c r="F34" i="11"/>
  <c r="F39" i="11"/>
  <c r="O37" i="11"/>
  <c r="I36" i="11"/>
  <c r="F35" i="11"/>
  <c r="O33" i="11"/>
  <c r="I32" i="11"/>
  <c r="M39" i="11"/>
  <c r="M31" i="11"/>
  <c r="G26" i="11"/>
  <c r="F26" i="11" s="1"/>
  <c r="O36" i="11"/>
  <c r="F30" i="11"/>
  <c r="C39" i="11"/>
  <c r="M37" i="11"/>
  <c r="G36" i="11"/>
  <c r="C35" i="11"/>
  <c r="M33" i="11"/>
  <c r="G32" i="11"/>
  <c r="C31" i="11"/>
  <c r="M29" i="11"/>
  <c r="G28" i="11"/>
  <c r="F28" i="11" s="1"/>
  <c r="C27" i="11"/>
  <c r="M34" i="11"/>
  <c r="C32" i="11"/>
  <c r="G29" i="11"/>
  <c r="F29" i="11" s="1"/>
  <c r="C28" i="11"/>
  <c r="I35" i="11"/>
  <c r="O28" i="11"/>
  <c r="O38" i="11"/>
  <c r="I37" i="11"/>
  <c r="F36" i="11"/>
  <c r="O34" i="11"/>
  <c r="I33" i="11"/>
  <c r="F32" i="11"/>
  <c r="O30" i="11"/>
  <c r="I29" i="11"/>
  <c r="O26" i="11"/>
  <c r="M26" i="11" s="1"/>
  <c r="M38" i="11"/>
  <c r="G37" i="11"/>
  <c r="C36" i="11"/>
  <c r="G33" i="11"/>
  <c r="M30" i="11"/>
  <c r="C29" i="11"/>
  <c r="I39" i="11"/>
  <c r="O32" i="11"/>
  <c r="I27" i="11"/>
  <c r="X113" i="11"/>
  <c r="AB96" i="11"/>
  <c r="H12" i="11" l="1"/>
  <c r="G54" i="11"/>
  <c r="H54" i="11" s="1"/>
  <c r="L85" i="11" s="1"/>
  <c r="K28" i="4" s="1"/>
  <c r="AB99" i="11"/>
  <c r="AB100" i="11" s="1"/>
  <c r="AB101" i="11" s="1"/>
  <c r="L110" i="11" s="1"/>
  <c r="I165" i="11" s="1"/>
  <c r="L27" i="4"/>
  <c r="F40" i="11"/>
  <c r="M40" i="11"/>
  <c r="L25" i="4" l="1"/>
  <c r="F11" i="7" s="1"/>
  <c r="D40" i="11"/>
  <c r="J41" i="11"/>
  <c r="I41" i="11"/>
  <c r="J40" i="11"/>
  <c r="D41" i="11"/>
  <c r="C41" i="11"/>
  <c r="K29" i="4" l="1"/>
  <c r="K30" i="4" s="1"/>
  <c r="J32" i="4" l="1"/>
  <c r="K32" i="4" s="1"/>
  <c r="K44" i="4" s="1"/>
  <c r="F13" i="7"/>
  <c r="F19" i="7" l="1"/>
  <c r="F21" i="7" s="1"/>
  <c r="F25" i="7"/>
</calcChain>
</file>

<file path=xl/sharedStrings.xml><?xml version="1.0" encoding="utf-8"?>
<sst xmlns="http://schemas.openxmlformats.org/spreadsheetml/2006/main" count="579" uniqueCount="469">
  <si>
    <t>County:</t>
  </si>
  <si>
    <t>Project Name:</t>
  </si>
  <si>
    <t>Possible</t>
  </si>
  <si>
    <t>Scored</t>
  </si>
  <si>
    <t>Points</t>
  </si>
  <si>
    <t>TRAFFIC:</t>
  </si>
  <si>
    <t>TRAFFIC VOLUME</t>
  </si>
  <si>
    <t>TRAFFIC ACCIDENTS</t>
  </si>
  <si>
    <t>TRAFFIC SUBTOTAL</t>
  </si>
  <si>
    <t>ROAD CONDITION:</t>
  </si>
  <si>
    <t>=</t>
  </si>
  <si>
    <t>or</t>
  </si>
  <si>
    <t>Horiz. and Vert. Alignment</t>
  </si>
  <si>
    <t>GEOMETRICS SUBTOTAL</t>
  </si>
  <si>
    <t>TOTAL SWR RAP WORKSHEET RATING</t>
  </si>
  <si>
    <t>Note:</t>
  </si>
  <si>
    <t>WAC 136 130 070</t>
  </si>
  <si>
    <t>TRAFFIC VOLUME (10 Points Max.)</t>
  </si>
  <si>
    <t>Calculation Table</t>
  </si>
  <si>
    <t>Current Estimated ADT =</t>
  </si>
  <si>
    <t xml:space="preserve">    Determine Traffic Volume Rating</t>
  </si>
  <si>
    <t>&lt;--Points</t>
  </si>
  <si>
    <t xml:space="preserve">ADT = Average Weekday Traffic Volume      </t>
  </si>
  <si>
    <t>using the Table below.</t>
  </si>
  <si>
    <t>TRAFFIC VOLUME RATING</t>
  </si>
  <si>
    <t>TRAFFIC ACCIDENTS (10 Points Max.)</t>
  </si>
  <si>
    <t>Equivalent Property Damage Only Accidents, Three Year Average</t>
  </si>
  <si>
    <t>(Indicate number of accidents, not number of fatalities, injuries or property damages)</t>
  </si>
  <si>
    <t>PROPERTY</t>
  </si>
  <si>
    <t>No. of</t>
  </si>
  <si>
    <t>YEAR:</t>
  </si>
  <si>
    <t>DAMAGE</t>
  </si>
  <si>
    <t>INJURY</t>
  </si>
  <si>
    <t>FATAL</t>
  </si>
  <si>
    <t>ONLY</t>
  </si>
  <si>
    <t>accidents</t>
  </si>
  <si>
    <t>Factors</t>
  </si>
  <si>
    <t>X 3</t>
  </si>
  <si>
    <t>X 10</t>
  </si>
  <si>
    <t>X 25</t>
  </si>
  <si>
    <t>+</t>
  </si>
  <si>
    <t>TOTAL</t>
  </si>
  <si>
    <t>Determine Accident Rating using table below</t>
  </si>
  <si>
    <t>Project Length in Miles</t>
  </si>
  <si>
    <t>(Total)</t>
  </si>
  <si>
    <t>(Length</t>
  </si>
  <si>
    <t>(Equiv.</t>
  </si>
  <si>
    <t>by rounding to nearest whole number</t>
  </si>
  <si>
    <t>in Miles)</t>
  </si>
  <si>
    <t>Acc./Mile</t>
  </si>
  <si>
    <t>TRAFFIC ACCIDENT RATING</t>
  </si>
  <si>
    <t>ACCIDENT AND TRAFFIC VOLUME RATING TABLE</t>
  </si>
  <si>
    <t xml:space="preserve">AVERAGE                 </t>
  </si>
  <si>
    <t>EQUIVALENT</t>
  </si>
  <si>
    <t>RATING</t>
  </si>
  <si>
    <t>ADT</t>
  </si>
  <si>
    <t>ACC/MILE</t>
  </si>
  <si>
    <t>POINTS</t>
  </si>
  <si>
    <t>&lt;50</t>
  </si>
  <si>
    <t>&lt;4</t>
  </si>
  <si>
    <t>50-100</t>
  </si>
  <si>
    <t>4-6</t>
  </si>
  <si>
    <t>101-250</t>
  </si>
  <si>
    <t>7-9</t>
  </si>
  <si>
    <t>251-500</t>
  </si>
  <si>
    <t>10-12</t>
  </si>
  <si>
    <t>501-750</t>
  </si>
  <si>
    <t>13-15</t>
  </si>
  <si>
    <t>&gt;750</t>
  </si>
  <si>
    <t>&gt;15</t>
  </si>
  <si>
    <t>DEFINITION OF TERMS</t>
  </si>
  <si>
    <t>on light traffic with 20% or less of the area in agriculture, timber, or industrial use.</t>
  </si>
  <si>
    <t>1)</t>
  </si>
  <si>
    <t xml:space="preserve"> </t>
  </si>
  <si>
    <t>2)</t>
  </si>
  <si>
    <t>= 30k in Average Rural Area</t>
  </si>
  <si>
    <t>= 40k in Heavy Rural Area</t>
  </si>
  <si>
    <t>3)</t>
  </si>
  <si>
    <t>4)</t>
  </si>
  <si>
    <t>Determine the SINGLE AXLE LOAD LIMIT for line E, Figure III 1</t>
  </si>
  <si>
    <t>Use 18,000 lbs. for all applications</t>
  </si>
  <si>
    <t>5)</t>
  </si>
  <si>
    <t>6)</t>
  </si>
  <si>
    <t>intersects line A</t>
  </si>
  <si>
    <t>Sheet 6 of 8</t>
  </si>
  <si>
    <t xml:space="preserve">ROADWAY SURFACE CONDITION - ACP AND ACP/PCC </t>
  </si>
  <si>
    <t xml:space="preserve">   </t>
  </si>
  <si>
    <t>ACP</t>
  </si>
  <si>
    <t>ACP/PCC</t>
  </si>
  <si>
    <t xml:space="preserve">TYPE OF </t>
  </si>
  <si>
    <t>PERCENTAGE OF DISTRESS</t>
  </si>
  <si>
    <t>DISTRESS</t>
  </si>
  <si>
    <t>No Distress</t>
  </si>
  <si>
    <t>&lt;10%</t>
  </si>
  <si>
    <t>10%-30%</t>
  </si>
  <si>
    <t>&gt;30%</t>
  </si>
  <si>
    <t>Rutting</t>
  </si>
  <si>
    <t>Ravelling</t>
  </si>
  <si>
    <t>Corrugations</t>
  </si>
  <si>
    <t>Alligator Cracking</t>
  </si>
  <si>
    <t>Patching</t>
  </si>
  <si>
    <t>Transverse and</t>
  </si>
  <si>
    <t xml:space="preserve">    Longitudinal Cracking</t>
  </si>
  <si>
    <t>ROADWAY SURFACE CONDITION RATING:</t>
  </si>
  <si>
    <t>ASPHALT</t>
  </si>
  <si>
    <t>ACP OVER PCC</t>
  </si>
  <si>
    <t xml:space="preserve">* When the surface of the roadway is Asphalt Concrete Pavement (ACP) over a Portland Cement </t>
  </si>
  <si>
    <t xml:space="preserve">Concrete (PCC), rate the SURFACE CONDITION as ACP then multiply the rating by 2. </t>
  </si>
  <si>
    <t xml:space="preserve"> Insert the resulting value  in the ACP / PCC column.</t>
  </si>
  <si>
    <t>PERCENTAGE OF DISTRESS:</t>
  </si>
  <si>
    <t>DISTRESS:</t>
  </si>
  <si>
    <t>Cracking</t>
  </si>
  <si>
    <t>Joint Spalling</t>
  </si>
  <si>
    <t>Pumping</t>
  </si>
  <si>
    <t>Faulting</t>
  </si>
  <si>
    <t>Pavement Wear</t>
  </si>
  <si>
    <t>ROADWAY SURFACE CONDITION RATING   CONCRETE</t>
  </si>
  <si>
    <t>ADT taken for a continuous one week period at any part of the year, adjusted for seasonal effects.</t>
  </si>
  <si>
    <t xml:space="preserve">Attach supporting data for the traffic counts or estimation. </t>
  </si>
  <si>
    <t>ADT:</t>
  </si>
  <si>
    <t>Gravel Roads only</t>
  </si>
  <si>
    <t>&lt; 400</t>
  </si>
  <si>
    <t>400 - 2000</t>
  </si>
  <si>
    <t>&gt; 2000</t>
  </si>
  <si>
    <r>
      <t>&gt;</t>
    </r>
    <r>
      <rPr>
        <sz val="8"/>
        <rFont val="MS Sans Serif"/>
        <family val="2"/>
      </rPr>
      <t xml:space="preserve"> 28</t>
    </r>
  </si>
  <si>
    <r>
      <t>&gt;</t>
    </r>
    <r>
      <rPr>
        <sz val="8"/>
        <rFont val="MS Sans Serif"/>
        <family val="2"/>
      </rPr>
      <t xml:space="preserve"> 34</t>
    </r>
  </si>
  <si>
    <r>
      <t>&gt;</t>
    </r>
    <r>
      <rPr>
        <sz val="8"/>
        <rFont val="MS Sans Serif"/>
        <family val="2"/>
      </rPr>
      <t xml:space="preserve"> 40</t>
    </r>
  </si>
  <si>
    <t>RANGE</t>
  </si>
  <si>
    <t>&lt;400</t>
  </si>
  <si>
    <t>&gt;2000</t>
  </si>
  <si>
    <t>&lt; 24</t>
  </si>
  <si>
    <t>&lt; 30</t>
  </si>
  <si>
    <t>&lt; 36</t>
  </si>
  <si>
    <t>Points Assigned</t>
  </si>
  <si>
    <t>TOTAL WIDTH POINTS</t>
  </si>
  <si>
    <t>II. HORIZONTAL ALIGNMENT (10 Pts. Max.)</t>
  </si>
  <si>
    <t xml:space="preserve">     1)  Determine the minimum design speed - Vd from the Min. Design Speed table shown on sheet 8 of 8.</t>
  </si>
  <si>
    <t xml:space="preserve">     2) Horizontal Curvature Deficiency   Dc</t>
  </si>
  <si>
    <t>Ball Bank</t>
  </si>
  <si>
    <t>a)  Determine "Safe Speed"   Vb from Ball Bank Indicator readings</t>
  </si>
  <si>
    <t>TERRAIN</t>
  </si>
  <si>
    <t>Curve No.</t>
  </si>
  <si>
    <t>Vr:</t>
  </si>
  <si>
    <t>1 - Vr</t>
  </si>
  <si>
    <t>Dc</t>
  </si>
  <si>
    <t>b)  Calculate the ratio Vr = Vb/Vd for all curves where Vb &lt; Vd</t>
  </si>
  <si>
    <t>Flat</t>
  </si>
  <si>
    <t>Vb</t>
  </si>
  <si>
    <t>Projet Length</t>
  </si>
  <si>
    <t>miles</t>
  </si>
  <si>
    <t xml:space="preserve">c)  Calculate the Curvature Deficiency Index, Dc </t>
  </si>
  <si>
    <t xml:space="preserve">    Dc =     (1 -  Vrn)  for curves 1, 2, 3 ... n</t>
  </si>
  <si>
    <t>Rolling</t>
  </si>
  <si>
    <t>Mountainous</t>
  </si>
  <si>
    <t>Hc</t>
  </si>
  <si>
    <t xml:space="preserve">    3)  Horizontal Alignment Deficiency, Hc   </t>
  </si>
  <si>
    <t>Hc = Dc / (3L)   where L = Length of Project in Miles</t>
  </si>
  <si>
    <t>Rough Points</t>
  </si>
  <si>
    <t>Rounded Points</t>
  </si>
  <si>
    <t>Minimum Design Speed</t>
  </si>
  <si>
    <t>Minimum Design Speed Table</t>
  </si>
  <si>
    <t xml:space="preserve">       </t>
  </si>
  <si>
    <t>HORIZONTAL ALIGNMENT RATING</t>
  </si>
  <si>
    <t>III. VERTICAL ALIGNMENT (10 Pts. Max.)</t>
  </si>
  <si>
    <r>
      <t xml:space="preserve">Determine safe speed - </t>
    </r>
    <r>
      <rPr>
        <b/>
        <sz val="10"/>
        <rFont val="MS Sans Serif"/>
        <family val="2"/>
      </rPr>
      <t>Vs</t>
    </r>
  </si>
  <si>
    <t>Minimum Design Speed. Determine Min. Design Speed - Vd from the following table</t>
  </si>
  <si>
    <t>MINIMUM DESIGN SPEED:</t>
  </si>
  <si>
    <t>Exist.</t>
  </si>
  <si>
    <t>Safe</t>
  </si>
  <si>
    <t>Design</t>
  </si>
  <si>
    <t xml:space="preserve">Deficiency </t>
  </si>
  <si>
    <t>Sight</t>
  </si>
  <si>
    <t>Speed</t>
  </si>
  <si>
    <t>Index</t>
  </si>
  <si>
    <t>TERRAIN:</t>
  </si>
  <si>
    <t>ADT -&gt;</t>
  </si>
  <si>
    <t>Distance</t>
  </si>
  <si>
    <t>Vs</t>
  </si>
  <si>
    <t>Vd</t>
  </si>
  <si>
    <t>Vr</t>
  </si>
  <si>
    <t>FLAT</t>
  </si>
  <si>
    <t>ROLLING</t>
  </si>
  <si>
    <t>MOUNTAINOUS</t>
  </si>
  <si>
    <t>Vertical Curvature Deficiency   Dc</t>
  </si>
  <si>
    <t>a)</t>
  </si>
  <si>
    <t>Determine "Safe Speed"   Vs for the vertical curve using the existing Sight Distance</t>
  </si>
  <si>
    <t>(S) available.  Existing sight distance may be field meas. or determined</t>
  </si>
  <si>
    <t xml:space="preserve">by using WSDOT Design manual page 630-5 or 630-6. </t>
  </si>
  <si>
    <t xml:space="preserve">Vertical curve length and Algebraic difference in grades can be </t>
  </si>
  <si>
    <t>determined by field measurement or reviewing existing records.</t>
  </si>
  <si>
    <t xml:space="preserve">Safe speed (Vs) for the existing Sight Distance available can </t>
  </si>
  <si>
    <t>Vc</t>
  </si>
  <si>
    <t>then be read from the following table:</t>
  </si>
  <si>
    <t>Safe Speed</t>
  </si>
  <si>
    <t>Exist. Sight</t>
  </si>
  <si>
    <t>(Vs)</t>
  </si>
  <si>
    <t>Dist.  (S)</t>
  </si>
  <si>
    <t>This Table has been revised</t>
  </si>
  <si>
    <t>~</t>
  </si>
  <si>
    <t>as of:  October 29, 2001</t>
  </si>
  <si>
    <t>in keeping with AASHTO's:</t>
  </si>
  <si>
    <r>
      <t xml:space="preserve">Safe Speed </t>
    </r>
    <r>
      <rPr>
        <b/>
        <u/>
        <sz val="10"/>
        <rFont val="MS Sans Serif"/>
        <family val="2"/>
      </rPr>
      <t>Vs</t>
    </r>
    <r>
      <rPr>
        <u/>
        <sz val="10"/>
        <rFont val="MS Sans Serif"/>
        <family val="2"/>
      </rPr>
      <t xml:space="preserve"> Calculation Table</t>
    </r>
  </si>
  <si>
    <t>"A Policy on Geometric Design</t>
  </si>
  <si>
    <t>of</t>
  </si>
  <si>
    <t>Highways and Streets"</t>
  </si>
  <si>
    <t>* Use straight line interpolation to determine Vs to the nearest M.P.H.</t>
  </si>
  <si>
    <t xml:space="preserve">Note:  Table developed from page 770 AASHTO Geometric Design of Highways and Streets, </t>
  </si>
  <si>
    <t>1990 Edition.</t>
  </si>
  <si>
    <t xml:space="preserve">b) </t>
  </si>
  <si>
    <t xml:space="preserve">Calculate the ratio Vr = Vs/Vd (safe speed divided by design </t>
  </si>
  <si>
    <t>Speed) for all curves where Vs &lt; Vd</t>
  </si>
  <si>
    <t xml:space="preserve">c) </t>
  </si>
  <si>
    <t xml:space="preserve">Calculate the Curvature Deficiency Index   Dc </t>
  </si>
  <si>
    <t>Dc =           (1 - Vrn)for curves 1, 2, 3 ... n</t>
  </si>
  <si>
    <t xml:space="preserve">Vertical Alignment Deficiency - Vc   </t>
  </si>
  <si>
    <t>Vc = Dc/(3L) where L = Length of Project in Miles</t>
  </si>
  <si>
    <t xml:space="preserve"> POINTS</t>
  </si>
  <si>
    <t>0.491 - 0.560</t>
  </si>
  <si>
    <t>0.631 - 0.700</t>
  </si>
  <si>
    <t>VERTICAL ALIGNMENT RATING</t>
  </si>
  <si>
    <t>COMBINED HORIZONTAL AND VERTICAL ALIGNMENT RATING</t>
  </si>
  <si>
    <t>From Accident section</t>
  </si>
  <si>
    <t>AADT</t>
  </si>
  <si>
    <t>FATAL ACCIDENTS</t>
  </si>
  <si>
    <t>DRD</t>
  </si>
  <si>
    <t>TOTAL SCORE</t>
  </si>
  <si>
    <t>page 426</t>
  </si>
  <si>
    <t>Benk. Beam Design Rebound Deflection</t>
  </si>
  <si>
    <t>P.D. ONLY ACCIDENTS</t>
  </si>
  <si>
    <t>INJURY (non fatal) ACCIDENTS</t>
  </si>
  <si>
    <t>Road Rater Structural Rating</t>
  </si>
  <si>
    <t>TRAFFIC</t>
  </si>
  <si>
    <t>STRUCTURE</t>
  </si>
  <si>
    <t>GEOMETRY</t>
  </si>
  <si>
    <t>HORIZ. CURVES:</t>
  </si>
  <si>
    <t>VERT. CURVES:</t>
  </si>
  <si>
    <t>PCC</t>
  </si>
  <si>
    <t>Raw</t>
  </si>
  <si>
    <t>Score</t>
  </si>
  <si>
    <t>Functional Class</t>
  </si>
  <si>
    <t>WIDENING X 2</t>
  </si>
  <si>
    <t>Existing Roadbed Width</t>
  </si>
  <si>
    <t>Proposed Roadbed Width</t>
  </si>
  <si>
    <t xml:space="preserve">     Cannot be greater than:</t>
  </si>
  <si>
    <t>Design Roadbed Width</t>
  </si>
  <si>
    <t>COLLECTORS</t>
  </si>
  <si>
    <t>ARTERIALS</t>
  </si>
  <si>
    <t>400 - 1500</t>
  </si>
  <si>
    <t>1500 - 2000</t>
  </si>
  <si>
    <t>&lt; 1501</t>
  </si>
  <si>
    <t>1501 - 2000</t>
  </si>
  <si>
    <t>STATE OF WASHINGTON</t>
  </si>
  <si>
    <t>COUNTY ROAD ADMINISTRATION BOARD</t>
  </si>
  <si>
    <t>VERIFICATION OF 3R SCOPE FOR RAP PROJECT</t>
  </si>
  <si>
    <t>County</t>
  </si>
  <si>
    <t>Project name</t>
  </si>
  <si>
    <t>Project mileposts</t>
  </si>
  <si>
    <t xml:space="preserve">The scope of work for the RATA funding proposal mentioned above, and which was </t>
  </si>
  <si>
    <t xml:space="preserve">submitted to CRAB on </t>
  </si>
  <si>
    <t xml:space="preserve">, is based on 3R design standards as </t>
  </si>
  <si>
    <t xml:space="preserve">referrenced in the Local Agency Guidelines.   </t>
  </si>
  <si>
    <t xml:space="preserve">In keeping with these guidelines, I have considered the following factors as well as others </t>
  </si>
  <si>
    <t>in arriving at the proposed scope of improvements:</t>
  </si>
  <si>
    <t>Roadside conditions</t>
  </si>
  <si>
    <t>Funding constraints</t>
  </si>
  <si>
    <t>Environmental concerns</t>
  </si>
  <si>
    <t>Changing traffic and land use patterns</t>
  </si>
  <si>
    <t>Deterioration rate of surfacing</t>
  </si>
  <si>
    <t>Accidents or accident rates.</t>
  </si>
  <si>
    <t xml:space="preserve">Where justified, the project will include: </t>
  </si>
  <si>
    <t>Guardrail improvements or upgrades</t>
  </si>
  <si>
    <t>Approach and and transition guardrail improvements for bridges</t>
  </si>
  <si>
    <t>Beveled end sections for crossing and parallel culverts located in the clear zone.</t>
  </si>
  <si>
    <t>Relocating, protecting, or providing breakaway features for sign supports and luminaires</t>
  </si>
  <si>
    <t>Protection for exposed bridge piers and abuttments.</t>
  </si>
  <si>
    <t>Removing fixed objects from the clear zone</t>
  </si>
  <si>
    <t>Improvements to roadway geometry.</t>
  </si>
  <si>
    <t xml:space="preserve">With these and other improvements as mentioned in the project prospectus, the project </t>
  </si>
  <si>
    <t xml:space="preserve">will sufficiently extend service life, provide additonal pavement strength, restore or </t>
  </si>
  <si>
    <t>improve the original cross section, and enhance safety.</t>
  </si>
  <si>
    <t>County Engineer</t>
  </si>
  <si>
    <t>Date</t>
  </si>
  <si>
    <t>This letter must be completed prior to commencing construction and retained in the county's project files.</t>
  </si>
  <si>
    <t>ITN</t>
  </si>
  <si>
    <t>DTN</t>
  </si>
  <si>
    <t>Length of</t>
  </si>
  <si>
    <t>Proposed</t>
  </si>
  <si>
    <t>Percent</t>
  </si>
  <si>
    <t>Curve, ft</t>
  </si>
  <si>
    <t>Improved</t>
  </si>
  <si>
    <t>Curve #</t>
  </si>
  <si>
    <t>Avg.</t>
  </si>
  <si>
    <t>For Gravel Road Rating,</t>
  </si>
  <si>
    <t>CUM. AVG</t>
  </si>
  <si>
    <t>Deficient</t>
  </si>
  <si>
    <t>3R RATING METHODS</t>
  </si>
  <si>
    <t>Rate only for those conditions that will be improved to standard.</t>
  </si>
  <si>
    <t>Provide detailed description of existing condition (and warrants) the county will improve</t>
  </si>
  <si>
    <t>such as length of deficiency, and percent of project length.</t>
  </si>
  <si>
    <t>Possible Points</t>
  </si>
  <si>
    <t>Condition:</t>
  </si>
  <si>
    <t>Max.</t>
  </si>
  <si>
    <t>Turn Lanes:</t>
  </si>
  <si>
    <t>Improve entire project to clear zone or recovery area per Design Manual (Doesn't include location where guardrail is recommended per fig 700-5 due to limited R/W or environmental critical areas</t>
  </si>
  <si>
    <t xml:space="preserve">Points assigned based </t>
  </si>
  <si>
    <t>on % of project length</t>
  </si>
  <si>
    <t>improved.</t>
  </si>
  <si>
    <t>Remove Structure and Obstuction from Clear Zone:</t>
  </si>
  <si>
    <t>WIDTH:</t>
  </si>
  <si>
    <t>GEOMETRY:</t>
  </si>
  <si>
    <t>Roadway Width</t>
  </si>
  <si>
    <t>Standard Design Width</t>
  </si>
  <si>
    <t>Culvert End Treatments:</t>
  </si>
  <si>
    <t>LIST     ALL     DEFICIENT    CURVES</t>
  </si>
  <si>
    <t>3R SAFETY CHECKLIST:</t>
  </si>
  <si>
    <t>Upgrade / Install Guardrail:</t>
  </si>
  <si>
    <t>Turn Lanes</t>
  </si>
  <si>
    <t>Sideslopes</t>
  </si>
  <si>
    <t>Remove Structure and Obstruction</t>
  </si>
  <si>
    <t>Culvert End Treatments</t>
  </si>
  <si>
    <t>Upgrade / Install Guardrail / Barrier</t>
  </si>
  <si>
    <t>Utility Relocation (4' beyond bottom of ditch)</t>
  </si>
  <si>
    <t>Utility Relocation:</t>
  </si>
  <si>
    <t>3R CHECKLIST SUBTOTAL</t>
  </si>
  <si>
    <t>30 max. allowed</t>
  </si>
  <si>
    <t>Length</t>
  </si>
  <si>
    <t>( See 3R worksheet)</t>
  </si>
  <si>
    <t>Description:</t>
  </si>
  <si>
    <t>Construct Turn Lanes</t>
  </si>
  <si>
    <t>Attach Warrants</t>
  </si>
  <si>
    <t>L. F. to be constructed</t>
  </si>
  <si>
    <t>Assign pts if any warranted Lt Turn Lanes will be built.</t>
  </si>
  <si>
    <t>Length of Roadway to</t>
  </si>
  <si>
    <t>have slopes flattened -</t>
  </si>
  <si>
    <t>Miles</t>
  </si>
  <si>
    <t>Length of roadway to have slopes flattened:</t>
  </si>
  <si>
    <t>Miles of Clear Zone</t>
  </si>
  <si>
    <t>to be clear of</t>
  </si>
  <si>
    <t xml:space="preserve"> obstructions.</t>
  </si>
  <si>
    <t>Deduct 200 ft for each object that will not be removed</t>
  </si>
  <si>
    <t>(Count both sides)</t>
  </si>
  <si>
    <t>Do not include Utility poles.</t>
  </si>
  <si>
    <t>Must treat all to get points</t>
  </si>
  <si>
    <t>No. of culverts</t>
  </si>
  <si>
    <t>L.F. upgraded,</t>
  </si>
  <si>
    <t xml:space="preserve"> installed</t>
  </si>
  <si>
    <t>(Fill height and lineal feet)</t>
  </si>
  <si>
    <t>Number of poles</t>
  </si>
  <si>
    <t xml:space="preserve"> ASPHALT (15 Points Max.)</t>
  </si>
  <si>
    <t>ACP/PCC (30 Points Max.)</t>
  </si>
  <si>
    <t>3R</t>
  </si>
  <si>
    <t>For 3R, multiply</t>
  </si>
  <si>
    <t>total by 0.6</t>
  </si>
  <si>
    <t>ROADWAY SURFACE CONDITION -  CONCRETE (30 Points Max.)</t>
  </si>
  <si>
    <t>total</t>
  </si>
  <si>
    <t>by 0.6</t>
  </si>
  <si>
    <t>ROADWAY SURFACE CONDITION - GRAVEL (30 Points Max.)</t>
  </si>
  <si>
    <t>I. ROADBED WIDTH (15 Pts. Max.)</t>
  </si>
  <si>
    <t>DESIGN ROADBED WIDTH CALCULATION</t>
  </si>
  <si>
    <t>II. HORIZONTAL ALIGNMENT (5 Pts. Max.)</t>
  </si>
  <si>
    <t>0.001 - 0.100</t>
  </si>
  <si>
    <t>0.101 - 0.200</t>
  </si>
  <si>
    <t>0.201 - 0.300</t>
  </si>
  <si>
    <t>0.301 - 0.400</t>
  </si>
  <si>
    <t>0.401 - 0.500</t>
  </si>
  <si>
    <t>III. VERTICAL ALIGNMENT (5 Pts. Max.)</t>
  </si>
  <si>
    <t>0.001 - 0.140</t>
  </si>
  <si>
    <t>0.141 - 0.280</t>
  </si>
  <si>
    <t>0.281 - 0.420</t>
  </si>
  <si>
    <r>
      <t>Full points for any turn lane</t>
    </r>
    <r>
      <rPr>
        <sz val="10"/>
        <rFont val="Arial"/>
        <family val="2"/>
      </rPr>
      <t xml:space="preserve"> recommended per Design Manual Fig 910-8&amp;11 (No credit for rt turn pockets or tapers).</t>
    </r>
  </si>
  <si>
    <r>
      <t xml:space="preserve">Proportion points by </t>
    </r>
    <r>
      <rPr>
        <b/>
        <sz val="10"/>
        <rFont val="Arial"/>
        <family val="2"/>
      </rPr>
      <t>% of clear zone</t>
    </r>
    <r>
      <rPr>
        <sz val="10"/>
        <rFont val="Arial"/>
        <family val="2"/>
      </rPr>
      <t xml:space="preserve"> &amp; recovery areas on project that will be free of obstructions (exception see Utility Relocation.</t>
    </r>
  </si>
  <si>
    <r>
      <t xml:space="preserve">Only get points if </t>
    </r>
    <r>
      <rPr>
        <b/>
        <sz val="10"/>
        <rFont val="Arial"/>
        <family val="2"/>
      </rPr>
      <t>all</t>
    </r>
    <r>
      <rPr>
        <sz val="10"/>
        <rFont val="Arial"/>
        <family val="2"/>
      </rPr>
      <t xml:space="preserve"> culvert ends treated</t>
    </r>
  </si>
  <si>
    <r>
      <t xml:space="preserve">Only get points if upgrade </t>
    </r>
    <r>
      <rPr>
        <b/>
        <sz val="10"/>
        <rFont val="Arial"/>
        <family val="2"/>
      </rPr>
      <t>all</t>
    </r>
    <r>
      <rPr>
        <sz val="10"/>
        <rFont val="Arial"/>
        <family val="2"/>
      </rPr>
      <t xml:space="preserve"> guardrail elements &amp; install new guardrail where recommended for entire project.</t>
    </r>
  </si>
  <si>
    <r>
      <t xml:space="preserve">Relocate </t>
    </r>
    <r>
      <rPr>
        <b/>
        <sz val="10"/>
        <rFont val="Arial"/>
        <family val="2"/>
      </rPr>
      <t>all</t>
    </r>
    <r>
      <rPr>
        <sz val="10"/>
        <rFont val="Arial"/>
        <family val="2"/>
      </rPr>
      <t xml:space="preserve"> nonbreakaway utilities for the entire project length within 5' of R/W limits and at least 4' outside of the bottom of ditch</t>
    </r>
  </si>
  <si>
    <r>
      <t xml:space="preserve">     (GR, Mailbox </t>
    </r>
    <r>
      <rPr>
        <u/>
        <sz val="10"/>
        <rFont val="Arial"/>
        <family val="2"/>
      </rPr>
      <t>&gt;</t>
    </r>
    <r>
      <rPr>
        <sz val="10"/>
        <rFont val="Arial"/>
        <family val="2"/>
      </rPr>
      <t xml:space="preserve"> 25 in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 trees, stumps, sign posts)</t>
    </r>
  </si>
  <si>
    <r>
      <t xml:space="preserve">Treat </t>
    </r>
    <r>
      <rPr>
        <b/>
        <sz val="10"/>
        <rFont val="MS Sans Serif"/>
        <family val="2"/>
      </rPr>
      <t>All</t>
    </r>
    <r>
      <rPr>
        <sz val="10"/>
        <rFont val="MS Sans Serif"/>
        <family val="2"/>
      </rPr>
      <t xml:space="preserve"> culvert ends (bevel and safety bar)</t>
    </r>
  </si>
  <si>
    <r>
      <t xml:space="preserve">Relocate </t>
    </r>
    <r>
      <rPr>
        <b/>
        <sz val="10"/>
        <rFont val="MS Sans Serif"/>
        <family val="2"/>
      </rPr>
      <t>All</t>
    </r>
    <r>
      <rPr>
        <sz val="10"/>
        <rFont val="MS Sans Serif"/>
        <family val="2"/>
      </rPr>
      <t xml:space="preserve"> Utilities (4' beyond bottom of ditch)</t>
    </r>
  </si>
  <si>
    <r>
      <t xml:space="preserve">/250 X </t>
    </r>
    <r>
      <rPr>
        <b/>
        <sz val="10"/>
        <rFont val="MS Sans Serif"/>
        <family val="2"/>
      </rPr>
      <t>30</t>
    </r>
    <r>
      <rPr>
        <sz val="10"/>
        <rFont val="MS Sans Serif"/>
        <family val="2"/>
      </rPr>
      <t>= ROADWAY SURFACE CONDITION RATING - GRAVEL</t>
    </r>
  </si>
  <si>
    <r>
      <t>PAVED</t>
    </r>
    <r>
      <rPr>
        <u/>
        <sz val="10"/>
        <rFont val="MS Sans Serif"/>
        <family val="2"/>
      </rPr>
      <t xml:space="preserve"> ROADBED WIDTH CALCUATION TABLE</t>
    </r>
  </si>
  <si>
    <r>
      <t>GRAVEL</t>
    </r>
    <r>
      <rPr>
        <u/>
        <sz val="10"/>
        <rFont val="MS Sans Serif"/>
        <family val="2"/>
      </rPr>
      <t xml:space="preserve"> ROADBED WIDTH CALCUATION TABLE</t>
    </r>
  </si>
  <si>
    <t>From Graph, Attach Printout</t>
  </si>
  <si>
    <r>
      <t xml:space="preserve">where </t>
    </r>
    <r>
      <rPr>
        <b/>
        <sz val="10"/>
        <color indexed="10"/>
        <rFont val="MS Sans Serif"/>
        <family val="2"/>
      </rPr>
      <t>A</t>
    </r>
    <r>
      <rPr>
        <sz val="10"/>
        <rFont val="MS Sans Serif"/>
      </rPr>
      <t xml:space="preserve"> = </t>
    </r>
  </si>
  <si>
    <t>Percentage of heavy trucks in design lane</t>
  </si>
  <si>
    <r>
      <t xml:space="preserve"> </t>
    </r>
    <r>
      <rPr>
        <b/>
        <sz val="10"/>
        <color indexed="10"/>
        <rFont val="MS Sans Serif"/>
        <family val="2"/>
      </rPr>
      <t>B</t>
    </r>
    <r>
      <rPr>
        <sz val="10"/>
        <rFont val="MS Sans Serif"/>
      </rPr>
      <t xml:space="preserve"> = </t>
    </r>
  </si>
  <si>
    <t>Percent of heavy trucks in traffic stream</t>
  </si>
  <si>
    <t>(this is the 3rd box from top, right side)</t>
  </si>
  <si>
    <t>(18K, online graph)</t>
  </si>
  <si>
    <t>FUNCTION CLASS</t>
  </si>
  <si>
    <t>LENGTH, (miles)</t>
  </si>
  <si>
    <r>
      <t xml:space="preserve">B = </t>
    </r>
    <r>
      <rPr>
        <b/>
        <sz val="10"/>
        <color indexed="12"/>
        <rFont val="MS Sans Serif"/>
        <family val="2"/>
      </rPr>
      <t>0.08</t>
    </r>
    <r>
      <rPr>
        <sz val="10"/>
        <rFont val="MS Sans Serif"/>
      </rPr>
      <t xml:space="preserve"> in Urbanized Rural Area</t>
    </r>
  </si>
  <si>
    <r>
      <t xml:space="preserve">B = </t>
    </r>
    <r>
      <rPr>
        <b/>
        <sz val="10"/>
        <color indexed="12"/>
        <rFont val="MS Sans Serif"/>
        <family val="2"/>
      </rPr>
      <t>0.14</t>
    </r>
    <r>
      <rPr>
        <sz val="10"/>
        <rFont val="MS Sans Serif"/>
      </rPr>
      <t xml:space="preserve"> in Average Rural Area</t>
    </r>
  </si>
  <si>
    <r>
      <t xml:space="preserve">B = </t>
    </r>
    <r>
      <rPr>
        <b/>
        <sz val="10"/>
        <color indexed="12"/>
        <rFont val="MS Sans Serif"/>
        <family val="2"/>
      </rPr>
      <t>0.16</t>
    </r>
    <r>
      <rPr>
        <sz val="10"/>
        <rFont val="MS Sans Serif"/>
      </rPr>
      <t xml:space="preserve"> in Heavy Rural Area, and</t>
    </r>
  </si>
  <si>
    <r>
      <t xml:space="preserve">A = </t>
    </r>
    <r>
      <rPr>
        <b/>
        <sz val="10"/>
        <color indexed="12"/>
        <rFont val="MS Sans Serif"/>
        <family val="2"/>
      </rPr>
      <t>50</t>
    </r>
    <r>
      <rPr>
        <sz val="10"/>
        <rFont val="MS Sans Serif"/>
      </rPr>
      <t xml:space="preserve"> for a two lane road</t>
    </r>
  </si>
  <si>
    <r>
      <t xml:space="preserve">A = </t>
    </r>
    <r>
      <rPr>
        <b/>
        <sz val="10"/>
        <color indexed="12"/>
        <rFont val="MS Sans Serif"/>
        <family val="2"/>
      </rPr>
      <t>45</t>
    </r>
    <r>
      <rPr>
        <sz val="10"/>
        <rFont val="MS Sans Serif"/>
      </rPr>
      <t xml:space="preserve"> for a four lane road, and</t>
    </r>
  </si>
  <si>
    <t>Exist. Safe</t>
  </si>
  <si>
    <t>i.e. 25 ACP X .6 = 15</t>
  </si>
  <si>
    <t>i.e. 50 PCC X .6 = 30</t>
  </si>
  <si>
    <t>(Add all deficiencies, do not imit, then mult. By 0.6)</t>
  </si>
  <si>
    <t>(Add all deficiencies, do not imit,</t>
  </si>
  <si>
    <t>then mult. By 0.6)</t>
  </si>
  <si>
    <r>
      <t xml:space="preserve">The result must be </t>
    </r>
    <r>
      <rPr>
        <b/>
        <u/>
        <sz val="8"/>
        <color indexed="10"/>
        <rFont val="MS Sans Serif"/>
        <family val="2"/>
      </rPr>
      <t>&lt;</t>
    </r>
    <r>
      <rPr>
        <b/>
        <sz val="8"/>
        <color indexed="10"/>
        <rFont val="MS Sans Serif"/>
        <family val="2"/>
      </rPr>
      <t xml:space="preserve"> 30</t>
    </r>
  </si>
  <si>
    <r>
      <t xml:space="preserve">The result must be </t>
    </r>
    <r>
      <rPr>
        <b/>
        <u/>
        <sz val="8"/>
        <color indexed="10"/>
        <rFont val="MS Sans Serif"/>
        <family val="2"/>
      </rPr>
      <t>&lt;</t>
    </r>
    <r>
      <rPr>
        <b/>
        <sz val="8"/>
        <color indexed="10"/>
        <rFont val="MS Sans Serif"/>
        <family val="2"/>
      </rPr>
      <t xml:space="preserve"> 15 or 30</t>
    </r>
  </si>
  <si>
    <t>Traffic Vol</t>
  </si>
  <si>
    <t>Accidents</t>
  </si>
  <si>
    <t>Structure</t>
  </si>
  <si>
    <t>Geometry</t>
  </si>
  <si>
    <t>Road Condition</t>
  </si>
  <si>
    <t>3R Summary Sheet SW Region</t>
  </si>
  <si>
    <t>This score includes weighted Structure and Geometry ratings</t>
  </si>
  <si>
    <t>Visual</t>
  </si>
  <si>
    <t>Special, M,L,FC</t>
  </si>
  <si>
    <t>14*SW*3R</t>
  </si>
  <si>
    <t>2R,3R, Safety</t>
  </si>
  <si>
    <t xml:space="preserve">Modified for SW 3R </t>
  </si>
  <si>
    <r>
      <rPr>
        <b/>
        <sz val="10"/>
        <rFont val="MS Sans Serif"/>
        <family val="2"/>
      </rPr>
      <t>Right</t>
    </r>
    <r>
      <rPr>
        <sz val="10"/>
        <rFont val="MS Sans Serif"/>
        <family val="2"/>
      </rPr>
      <t xml:space="preserve"> is the</t>
    </r>
    <r>
      <rPr>
        <b/>
        <sz val="10"/>
        <color indexed="62"/>
        <rFont val="MS Sans Serif"/>
        <family val="2"/>
      </rPr>
      <t xml:space="preserve"> ITN DTN GRAPHS</t>
    </r>
    <r>
      <rPr>
        <sz val="10"/>
        <rFont val="MS Sans Serif"/>
        <family val="2"/>
      </rPr>
      <t xml:space="preserve"> for NW and SW structural rating.  To get the ITN and DTN values, follow the </t>
    </r>
    <r>
      <rPr>
        <b/>
        <sz val="12"/>
        <color indexed="62"/>
        <rFont val="MS Sans Serif"/>
        <family val="2"/>
      </rPr>
      <t>PROCEDURE</t>
    </r>
    <r>
      <rPr>
        <sz val="10"/>
        <rFont val="MS Sans Serif"/>
        <family val="2"/>
      </rPr>
      <t xml:space="preserve"> listed below and then input the resulting NHT and GMHT values in the graphs.  Input the results in </t>
    </r>
    <r>
      <rPr>
        <b/>
        <sz val="10"/>
        <color indexed="62"/>
        <rFont val="MS Sans Serif"/>
        <family val="2"/>
      </rPr>
      <t>Step 7</t>
    </r>
  </si>
  <si>
    <r>
      <t xml:space="preserve"> ITN and DTN 
GRAPHS
</t>
    </r>
    <r>
      <rPr>
        <b/>
        <sz val="12"/>
        <color indexed="10"/>
        <rFont val="MS Sans Serif"/>
        <family val="2"/>
      </rPr>
      <t>double click
 here</t>
    </r>
  </si>
  <si>
    <t>PROCEDURE:</t>
  </si>
  <si>
    <r>
      <t>Determine the NUMBER OF HEAVY TRUCKS (</t>
    </r>
    <r>
      <rPr>
        <b/>
        <sz val="10"/>
        <rFont val="MS Sans Serif"/>
        <family val="2"/>
      </rPr>
      <t>NHT</t>
    </r>
    <r>
      <rPr>
        <sz val="10"/>
        <rFont val="MS Sans Serif"/>
      </rPr>
      <t>)</t>
    </r>
  </si>
  <si>
    <r>
      <t xml:space="preserve"> NHT = ADT x (</t>
    </r>
    <r>
      <rPr>
        <b/>
        <sz val="10"/>
        <color indexed="10"/>
        <rFont val="MS Sans Serif"/>
        <family val="2"/>
      </rPr>
      <t>A</t>
    </r>
    <r>
      <rPr>
        <b/>
        <sz val="10"/>
        <rFont val="MS Sans Serif"/>
        <family val="2"/>
      </rPr>
      <t xml:space="preserve">/100) x </t>
    </r>
    <r>
      <rPr>
        <b/>
        <sz val="10"/>
        <color indexed="10"/>
        <rFont val="MS Sans Serif"/>
        <family val="2"/>
      </rPr>
      <t>B</t>
    </r>
    <r>
      <rPr>
        <b/>
        <sz val="10"/>
        <rFont val="MS Sans Serif"/>
        <family val="2"/>
      </rPr>
      <t xml:space="preserve">    </t>
    </r>
  </si>
  <si>
    <r>
      <t xml:space="preserve">Type the </t>
    </r>
    <r>
      <rPr>
        <b/>
        <sz val="10"/>
        <color indexed="10"/>
        <rFont val="MS Sans Serif"/>
        <family val="2"/>
      </rPr>
      <t>NHT</t>
    </r>
    <r>
      <rPr>
        <b/>
        <sz val="10"/>
        <rFont val="MS Sans Serif"/>
        <family val="2"/>
      </rPr>
      <t xml:space="preserve"> number in </t>
    </r>
    <r>
      <rPr>
        <b/>
        <sz val="10"/>
        <color indexed="62"/>
        <rFont val="MS Sans Serif"/>
        <family val="2"/>
      </rPr>
      <t>GRAPH</t>
    </r>
    <r>
      <rPr>
        <b/>
        <sz val="10"/>
        <rFont val="MS Sans Serif"/>
        <family val="2"/>
      </rPr>
      <t xml:space="preserve"> above</t>
    </r>
  </si>
  <si>
    <r>
      <t>URBANIZED RURAL AREA</t>
    </r>
    <r>
      <rPr>
        <sz val="10"/>
        <rFont val="MS Sans Serif"/>
        <family val="2"/>
      </rPr>
      <t xml:space="preserve"> is defined as primarily residential with emphasis </t>
    </r>
  </si>
  <si>
    <r>
      <t xml:space="preserve">AVERAGE RURAL AREA </t>
    </r>
    <r>
      <rPr>
        <sz val="10"/>
        <rFont val="MS Sans Serif"/>
        <family val="2"/>
      </rPr>
      <t>is defined as primarily agricultural area with farm to market hauling.</t>
    </r>
  </si>
  <si>
    <r>
      <t>HEAVY RURAL AREA</t>
    </r>
    <r>
      <rPr>
        <sz val="10"/>
        <rFont val="MS Sans Serif"/>
        <family val="2"/>
      </rPr>
      <t xml:space="preserve"> is defined as primarily timbered or industrial use with heavy hauling.</t>
    </r>
  </si>
  <si>
    <r>
      <t>Determine the GROSS MASS OF HEAVY TRUCKS (</t>
    </r>
    <r>
      <rPr>
        <b/>
        <sz val="10"/>
        <rFont val="MS Sans Serif"/>
        <family val="2"/>
      </rPr>
      <t>GMHT</t>
    </r>
    <r>
      <rPr>
        <sz val="10"/>
        <rFont val="MS Sans Serif"/>
      </rPr>
      <t>)</t>
    </r>
  </si>
  <si>
    <r>
      <rPr>
        <b/>
        <sz val="10"/>
        <rFont val="MS Sans Serif"/>
        <family val="2"/>
      </rPr>
      <t>GMHT</t>
    </r>
    <r>
      <rPr>
        <sz val="10"/>
        <rFont val="MS Sans Serif"/>
      </rPr>
      <t xml:space="preserve"> = 25k in Urbanized Rural Area</t>
    </r>
  </si>
  <si>
    <r>
      <t xml:space="preserve">Input </t>
    </r>
    <r>
      <rPr>
        <b/>
        <sz val="10"/>
        <color indexed="10"/>
        <rFont val="MS Sans Serif"/>
        <family val="2"/>
      </rPr>
      <t>GMHT</t>
    </r>
    <r>
      <rPr>
        <b/>
        <sz val="10"/>
        <rFont val="MS Sans Serif"/>
        <family val="2"/>
      </rPr>
      <t xml:space="preserve"> in </t>
    </r>
    <r>
      <rPr>
        <b/>
        <sz val="10"/>
        <color indexed="62"/>
        <rFont val="MS Sans Serif"/>
        <family val="2"/>
      </rPr>
      <t>GRAPH</t>
    </r>
  </si>
  <si>
    <r>
      <t>Click on the CALCULATE Button and read the INITIAL TRAFFIC NUMBER (</t>
    </r>
    <r>
      <rPr>
        <b/>
        <sz val="10"/>
        <color indexed="10"/>
        <rFont val="MS Sans Serif"/>
        <family val="2"/>
      </rPr>
      <t>ITN</t>
    </r>
    <r>
      <rPr>
        <sz val="10"/>
        <rFont val="MS Sans Serif"/>
        <family val="2"/>
      </rPr>
      <t xml:space="preserve">) where extended line E B </t>
    </r>
  </si>
  <si>
    <r>
      <t>To determine the DESIGN TRAFFIC NUMBER (</t>
    </r>
    <r>
      <rPr>
        <b/>
        <sz val="10"/>
        <color indexed="10"/>
        <rFont val="MS Sans Serif"/>
        <family val="2"/>
      </rPr>
      <t>DTN</t>
    </r>
    <r>
      <rPr>
        <sz val="10"/>
        <rFont val="MS Sans Serif"/>
        <family val="2"/>
      </rPr>
      <t xml:space="preserve">) of the existing roadway enter </t>
    </r>
  </si>
  <si>
    <r>
      <t>the DESIGN REBOUND DEFLECTION (</t>
    </r>
    <r>
      <rPr>
        <b/>
        <sz val="10"/>
        <color indexed="10"/>
        <rFont val="MS Sans Serif"/>
        <family val="2"/>
      </rPr>
      <t>DRD</t>
    </r>
    <r>
      <rPr>
        <sz val="10"/>
        <rFont val="MS Sans Serif"/>
        <family val="2"/>
      </rPr>
      <t xml:space="preserve">) from the STRUCTURAL ADEQUACY EVALUATION tests </t>
    </r>
  </si>
  <si>
    <r>
      <t xml:space="preserve">made by the Benkelman Beam or Road Rater in the  </t>
    </r>
    <r>
      <rPr>
        <b/>
        <sz val="10"/>
        <color indexed="62"/>
        <rFont val="MS Sans Serif"/>
        <family val="2"/>
      </rPr>
      <t>DTN GRAPH</t>
    </r>
    <r>
      <rPr>
        <sz val="10"/>
        <rFont val="MS Sans Serif"/>
        <family val="2"/>
      </rPr>
      <t xml:space="preserve"> (2nd page of the PDF file) and click the Calculate button.</t>
    </r>
  </si>
  <si>
    <t>7)</t>
  </si>
  <si>
    <t xml:space="preserve"> =</t>
  </si>
  <si>
    <r>
      <t xml:space="preserve">Road Rater Structural Rating for </t>
    </r>
    <r>
      <rPr>
        <b/>
        <sz val="10"/>
        <rFont val="Arial"/>
        <family val="2"/>
      </rPr>
      <t>RC</t>
    </r>
    <r>
      <rPr>
        <sz val="10"/>
        <rFont val="Arial"/>
        <family val="2"/>
      </rPr>
      <t xml:space="preserve"> project</t>
    </r>
  </si>
  <si>
    <t>[1- (DTN / ITN)] x 25</t>
  </si>
  <si>
    <r>
      <t xml:space="preserve">Road Rater Structural Rating for </t>
    </r>
    <r>
      <rPr>
        <b/>
        <sz val="10"/>
        <rFont val="Arial"/>
        <family val="2"/>
      </rPr>
      <t>3R</t>
    </r>
    <r>
      <rPr>
        <sz val="10"/>
        <rFont val="Arial"/>
        <family val="2"/>
      </rPr>
      <t xml:space="preserve"> project</t>
    </r>
  </si>
  <si>
    <t>[1- (DTN / ITN)] x 15</t>
  </si>
  <si>
    <t>No. Accidents</t>
  </si>
  <si>
    <t>ACCIDENTS</t>
  </si>
  <si>
    <t>RAP 3R project
SW REGION</t>
  </si>
  <si>
    <t>3R RATING SUMMARY:</t>
  </si>
  <si>
    <t>IF USING NON-DESTRUCTIVE TESTING DATA, FOLLOW INSTRUCTIONS 1- BELOW:</t>
  </si>
  <si>
    <r>
      <t xml:space="preserve">ENTER   </t>
    </r>
    <r>
      <rPr>
        <b/>
        <sz val="10"/>
        <rFont val="MS Sans Serif"/>
      </rPr>
      <t>DRD</t>
    </r>
    <r>
      <rPr>
        <sz val="10"/>
        <rFont val="MS Sans Serif"/>
        <family val="2"/>
      </rPr>
      <t xml:space="preserve">,   </t>
    </r>
    <r>
      <rPr>
        <b/>
        <sz val="10"/>
        <rFont val="MS Sans Serif"/>
      </rPr>
      <t>ITN</t>
    </r>
    <r>
      <rPr>
        <sz val="10"/>
        <rFont val="MS Sans Serif"/>
        <family val="2"/>
      </rPr>
      <t xml:space="preserve">   AND   </t>
    </r>
    <r>
      <rPr>
        <b/>
        <sz val="10"/>
        <rFont val="MS Sans Serif"/>
      </rPr>
      <t>DTN</t>
    </r>
    <r>
      <rPr>
        <sz val="10"/>
        <rFont val="MS Sans Serif"/>
        <family val="2"/>
      </rPr>
      <t xml:space="preserve">   IN BOXES ABOVE</t>
    </r>
  </si>
  <si>
    <r>
      <t xml:space="preserve">Open ITN and DTN GRAPHS,
then follow 
</t>
    </r>
    <r>
      <rPr>
        <b/>
        <sz val="10"/>
        <color indexed="62"/>
        <rFont val="MS Sans Serif"/>
        <family val="2"/>
      </rPr>
      <t>PROCEDURE</t>
    </r>
    <r>
      <rPr>
        <sz val="10"/>
        <rFont val="MS Sans Serif"/>
        <family val="2"/>
      </rPr>
      <t xml:space="preserve"> 
</t>
    </r>
    <r>
      <rPr>
        <b/>
        <sz val="10"/>
        <color indexed="62"/>
        <rFont val="MS Sans Serif"/>
        <family val="2"/>
      </rPr>
      <t>2-7</t>
    </r>
  </si>
  <si>
    <t>See Below</t>
  </si>
  <si>
    <t>Follow Instructions 
Below</t>
  </si>
  <si>
    <r>
      <t xml:space="preserve">Flatten sideslopes for fills </t>
    </r>
    <r>
      <rPr>
        <b/>
        <sz val="10"/>
        <color indexed="10"/>
        <rFont val="MS Sans Serif"/>
        <family val="2"/>
      </rPr>
      <t xml:space="preserve">6' or higher, AND </t>
    </r>
    <r>
      <rPr>
        <b/>
        <u/>
        <sz val="10"/>
        <color indexed="10"/>
        <rFont val="MS Sans Serif"/>
        <family val="2"/>
      </rPr>
      <t>&lt;</t>
    </r>
    <r>
      <rPr>
        <b/>
        <sz val="10"/>
        <color indexed="10"/>
        <rFont val="MS Sans Serif"/>
        <family val="2"/>
      </rPr>
      <t xml:space="preserve"> 2:1</t>
    </r>
  </si>
  <si>
    <t>Count once for all treatments</t>
  </si>
  <si>
    <r>
      <t xml:space="preserve">Sideslopes:  </t>
    </r>
    <r>
      <rPr>
        <b/>
        <u/>
        <sz val="10"/>
        <color indexed="10"/>
        <rFont val="Arial"/>
        <family val="2"/>
      </rPr>
      <t>6' or Higher Fills and 2:1 or steeper</t>
    </r>
  </si>
  <si>
    <t>Points are allowed only for conditions and to extent of improvement to the project.</t>
  </si>
  <si>
    <r>
      <t xml:space="preserve">Visual Score as provided by </t>
    </r>
    <r>
      <rPr>
        <b/>
        <sz val="12"/>
        <color rgb="FFFF0000"/>
        <rFont val="Arial"/>
        <family val="2"/>
      </rPr>
      <t>CRAB</t>
    </r>
    <r>
      <rPr>
        <sz val="12"/>
        <color rgb="FFFF0000"/>
        <rFont val="Arial"/>
        <family val="2"/>
      </rPr>
      <t>, Mark only one:</t>
    </r>
  </si>
  <si>
    <t>Surface Rating:</t>
  </si>
  <si>
    <t>PSC</t>
  </si>
  <si>
    <t>PSC provided by CRAB</t>
  </si>
  <si>
    <t>PSC preformed by CRAB</t>
  </si>
  <si>
    <t>PAVEMENT SURFACE</t>
  </si>
  <si>
    <t>Pavement distress types and measurements are defined by Northwest Pavement Management Association Pavement Surface Condition Field Rating Manual for Asphalt Concrete and Portland Cement Concrete.</t>
  </si>
  <si>
    <t xml:space="preserve"> (3R)</t>
  </si>
  <si>
    <t xml:space="preserve">STRUCTURAL </t>
  </si>
  <si>
    <t>Surfaced Roads</t>
  </si>
  <si>
    <t>Dirt or Gravel Roads</t>
  </si>
  <si>
    <t>STRUCTURE SUBTOTAL</t>
  </si>
  <si>
    <t>Last 3 full years</t>
  </si>
  <si>
    <t>STRUCTURE AND GEOM. COMBINATION</t>
  </si>
  <si>
    <t>Attach Roadside Inventory form</t>
  </si>
  <si>
    <t>Minimum Des. Speed:</t>
  </si>
  <si>
    <t>Gravel Rdbed Width</t>
  </si>
  <si>
    <t>EXISTING ROADBED (paved roads)</t>
  </si>
  <si>
    <t>PROPOSED ROADBED (gravel or paved)</t>
  </si>
  <si>
    <t>STRUCTURE RATING - SW- 3R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</si>
</sst>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#,###"/>
    <numFmt numFmtId="165" formatCode="0.0"/>
    <numFmt numFmtId="166" formatCode="_(* #,##0_);_(* \(#,##0\);_(* &quot;-&quot;??_);_(@_)"/>
    <numFmt numFmtId="167" formatCode="0.000"/>
    <numFmt numFmtId="168" formatCode="#"/>
    <numFmt numFmtId="169" formatCode="#,##0.0"/>
    <numFmt numFmtId="170" formatCode="0#"/>
    <numFmt numFmtId="171" formatCode="yyyy"/>
  </numFmts>
  <fonts count="103" x14ac:knownFonts="1">
    <font>
      <sz val="10"/>
      <name val="MS Sans Serif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sz val="10"/>
      <name val="Arial"/>
      <family val="2"/>
    </font>
    <font>
      <b/>
      <u/>
      <sz val="10"/>
      <name val="MS Sans Serif"/>
      <family val="2"/>
    </font>
    <font>
      <u/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color indexed="30"/>
      <name val="MS Sans Serif"/>
      <family val="2"/>
    </font>
    <font>
      <u/>
      <sz val="10"/>
      <name val="MS Sans Serif"/>
      <family val="2"/>
    </font>
    <font>
      <b/>
      <sz val="10"/>
      <color indexed="10"/>
      <name val="MS Sans Serif"/>
      <family val="2"/>
    </font>
    <font>
      <b/>
      <u/>
      <sz val="10"/>
      <name val="MS Sans Serif"/>
      <family val="2"/>
    </font>
    <font>
      <b/>
      <sz val="10"/>
      <name val="MS Sans Serif"/>
      <family val="2"/>
    </font>
    <font>
      <sz val="9.5"/>
      <name val="MS Sans Serif"/>
      <family val="2"/>
    </font>
    <font>
      <b/>
      <sz val="12"/>
      <name val="MS Sans Serif"/>
      <family val="2"/>
    </font>
    <font>
      <u/>
      <sz val="8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10"/>
      <color indexed="10"/>
      <name val="MS Sans Serif"/>
      <family val="2"/>
    </font>
    <font>
      <b/>
      <sz val="10"/>
      <color indexed="12"/>
      <name val="MS Sans Serif"/>
      <family val="2"/>
    </font>
    <font>
      <sz val="10"/>
      <color indexed="14"/>
      <name val="MS Sans Serif"/>
      <family val="2"/>
    </font>
    <font>
      <b/>
      <sz val="10"/>
      <name val="Arial"/>
      <family val="2"/>
    </font>
    <font>
      <sz val="8"/>
      <name val="MS Sans Serif"/>
      <family val="2"/>
    </font>
    <font>
      <sz val="10"/>
      <color indexed="10"/>
      <name val="MS Sans Serif"/>
      <family val="2"/>
    </font>
    <font>
      <b/>
      <sz val="10"/>
      <color indexed="14"/>
      <name val="MS Sans Serif"/>
      <family val="2"/>
    </font>
    <font>
      <b/>
      <sz val="12"/>
      <color indexed="10"/>
      <name val="MS Sans Serif"/>
      <family val="2"/>
    </font>
    <font>
      <b/>
      <sz val="12"/>
      <name val="MS Sans Serif"/>
      <family val="2"/>
    </font>
    <font>
      <b/>
      <sz val="8"/>
      <color indexed="12"/>
      <name val="MS Sans Serif"/>
      <family val="2"/>
    </font>
    <font>
      <b/>
      <u/>
      <sz val="12"/>
      <color indexed="14"/>
      <name val="MS Sans Serif"/>
      <family val="2"/>
    </font>
    <font>
      <sz val="10"/>
      <name val="MS Sans Serif"/>
      <family val="2"/>
    </font>
    <font>
      <b/>
      <sz val="10"/>
      <color indexed="14"/>
      <name val="MS Sans Serif"/>
      <family val="2"/>
    </font>
    <font>
      <b/>
      <sz val="10"/>
      <color indexed="10"/>
      <name val="MS Sans Serif"/>
      <family val="2"/>
    </font>
    <font>
      <sz val="12"/>
      <name val="MS Sans Serif"/>
      <family val="2"/>
    </font>
    <font>
      <sz val="14"/>
      <name val="Courier New"/>
      <family val="3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color indexed="9"/>
      <name val="MS Sans Serif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2"/>
      <color indexed="14"/>
      <name val="MS Sans Serif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u/>
      <sz val="10"/>
      <name val="Arial"/>
      <family val="2"/>
    </font>
    <font>
      <sz val="12"/>
      <color indexed="14"/>
      <name val="Arial"/>
      <family val="2"/>
    </font>
    <font>
      <b/>
      <sz val="12"/>
      <color indexed="14"/>
      <name val="Arial"/>
      <family val="2"/>
    </font>
    <font>
      <u/>
      <sz val="8"/>
      <name val="Arial"/>
      <family val="2"/>
    </font>
    <font>
      <b/>
      <u/>
      <sz val="10"/>
      <color indexed="10"/>
      <name val="Arial"/>
      <family val="2"/>
    </font>
    <font>
      <sz val="8"/>
      <color indexed="10"/>
      <name val="MS Sans Serif"/>
      <family val="2"/>
    </font>
    <font>
      <b/>
      <sz val="10"/>
      <color indexed="30"/>
      <name val="MS Sans Serif"/>
      <family val="2"/>
    </font>
    <font>
      <b/>
      <u/>
      <sz val="10"/>
      <color indexed="14"/>
      <name val="MS Sans Serif"/>
      <family val="2"/>
    </font>
    <font>
      <sz val="7"/>
      <name val="Arial"/>
      <family val="2"/>
    </font>
    <font>
      <strike/>
      <sz val="10"/>
      <name val="Arial"/>
      <family val="2"/>
    </font>
    <font>
      <strike/>
      <sz val="10"/>
      <name val="MS Sans Serif"/>
      <family val="2"/>
    </font>
    <font>
      <b/>
      <sz val="12"/>
      <color indexed="14"/>
      <name val="Arial"/>
      <family val="2"/>
    </font>
    <font>
      <sz val="10"/>
      <color indexed="57"/>
      <name val="Arial"/>
      <family val="2"/>
    </font>
    <font>
      <b/>
      <sz val="10"/>
      <color indexed="14"/>
      <name val="Arial"/>
      <family val="2"/>
    </font>
    <font>
      <b/>
      <u/>
      <sz val="10"/>
      <color indexed="10"/>
      <name val="MS Sans Serif"/>
      <family val="2"/>
    </font>
    <font>
      <vertAlign val="superscript"/>
      <sz val="10"/>
      <name val="Arial"/>
      <family val="2"/>
    </font>
    <font>
      <b/>
      <u/>
      <sz val="10"/>
      <color indexed="12"/>
      <name val="MS Sans Serif"/>
      <family val="2"/>
    </font>
    <font>
      <b/>
      <u/>
      <sz val="10"/>
      <color indexed="12"/>
      <name val="MS Sans Serif"/>
      <family val="2"/>
    </font>
    <font>
      <u/>
      <sz val="10"/>
      <color indexed="10"/>
      <name val="MS Sans Serif"/>
      <family val="2"/>
    </font>
    <font>
      <sz val="18"/>
      <name val="Arial"/>
      <family val="2"/>
    </font>
    <font>
      <b/>
      <sz val="18"/>
      <name val="MS Sans Serif"/>
      <family val="2"/>
    </font>
    <font>
      <b/>
      <sz val="8"/>
      <color indexed="10"/>
      <name val="MS Sans Serif"/>
      <family val="2"/>
    </font>
    <font>
      <b/>
      <u/>
      <sz val="8"/>
      <color indexed="10"/>
      <name val="MS Sans Serif"/>
      <family val="2"/>
    </font>
    <font>
      <b/>
      <sz val="10"/>
      <color indexed="10"/>
      <name val="MS Sans Serif"/>
      <family val="2"/>
    </font>
    <font>
      <sz val="20"/>
      <name val="Calibri"/>
      <family val="2"/>
    </font>
    <font>
      <sz val="8"/>
      <color indexed="9"/>
      <name val="Arial"/>
      <family val="2"/>
    </font>
    <font>
      <b/>
      <sz val="10"/>
      <color indexed="62"/>
      <name val="MS Sans Serif"/>
      <family val="2"/>
    </font>
    <font>
      <b/>
      <sz val="12"/>
      <color indexed="62"/>
      <name val="MS Sans Serif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MS Sans Serif"/>
      <family val="2"/>
    </font>
    <font>
      <b/>
      <i/>
      <sz val="10"/>
      <color theme="0" tint="-0.499984740745262"/>
      <name val="MS Sans Serif"/>
      <family val="2"/>
    </font>
    <font>
      <b/>
      <sz val="10"/>
      <color rgb="FFFF0000"/>
      <name val="MS Sans Serif"/>
      <family val="2"/>
    </font>
    <font>
      <b/>
      <sz val="10"/>
      <color rgb="FF7030A0"/>
      <name val="MS Sans Serif"/>
      <family val="2"/>
    </font>
    <font>
      <b/>
      <sz val="12"/>
      <color rgb="FF7030A0"/>
      <name val="MS Sans Serif"/>
      <family val="2"/>
    </font>
    <font>
      <b/>
      <sz val="10"/>
      <color rgb="FF002060"/>
      <name val="MS Sans Serif"/>
    </font>
    <font>
      <sz val="10"/>
      <color rgb="FFFF0000"/>
      <name val="Arial"/>
      <family val="2"/>
    </font>
    <font>
      <sz val="10"/>
      <name val="MS Sans Serif"/>
    </font>
    <font>
      <b/>
      <sz val="18"/>
      <color indexed="62"/>
      <name val="Arial"/>
      <family val="2"/>
    </font>
    <font>
      <b/>
      <sz val="14"/>
      <name val="MS Sans Serif"/>
      <family val="2"/>
    </font>
    <font>
      <sz val="8"/>
      <color theme="0" tint="-0.14999847407452621"/>
      <name val="MS Sans Serif"/>
      <family val="2"/>
    </font>
    <font>
      <sz val="10"/>
      <color theme="0" tint="-0.14999847407452621"/>
      <name val="Arial"/>
      <family val="2"/>
    </font>
    <font>
      <u/>
      <sz val="10"/>
      <color theme="0" tint="-0.14999847407452621"/>
      <name val="MS Sans Serif"/>
      <family val="2"/>
    </font>
    <font>
      <sz val="10"/>
      <color theme="0" tint="-0.14999847407452621"/>
      <name val="MS Sans Serif"/>
      <family val="2"/>
    </font>
    <font>
      <sz val="10"/>
      <color theme="0" tint="-0.14999847407452621"/>
      <name val="MS Sans Serif"/>
    </font>
    <font>
      <b/>
      <sz val="12"/>
      <color rgb="FFC00000"/>
      <name val="MS Sans Serif"/>
      <family val="2"/>
    </font>
    <font>
      <b/>
      <sz val="12"/>
      <color rgb="FFC00000"/>
      <name val="MS Sans Serif"/>
    </font>
    <font>
      <b/>
      <sz val="10"/>
      <name val="MS Sans Serif"/>
    </font>
    <font>
      <b/>
      <sz val="14"/>
      <color rgb="FF7030A0"/>
      <name val="MS Sans Serif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indexed="12"/>
      <name val="MS Sans Serif"/>
      <family val="2"/>
    </font>
    <font>
      <sz val="8"/>
      <name val="MS Sans Serif"/>
    </font>
    <font>
      <b/>
      <sz val="7"/>
      <color indexed="10"/>
      <name val="MS Sans Serif"/>
      <family val="2"/>
    </font>
    <font>
      <b/>
      <u/>
      <sz val="18"/>
      <color indexed="12"/>
      <name val="Arial"/>
      <family val="2"/>
    </font>
    <font>
      <b/>
      <u/>
      <sz val="12"/>
      <color indexed="12"/>
      <name val="MS Sans Serif"/>
      <family val="2"/>
    </font>
    <font>
      <b/>
      <u/>
      <sz val="10"/>
      <name val="MS Sans Serif"/>
    </font>
    <font>
      <b/>
      <u/>
      <sz val="10"/>
      <color rgb="FFFF0000"/>
      <name val="Arial"/>
      <family val="2"/>
    </font>
    <font>
      <sz val="10"/>
      <color rgb="FFFF0000"/>
      <name val="MS Sans Serif"/>
      <family val="2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48"/>
      </left>
      <right/>
      <top style="medium">
        <color indexed="48"/>
      </top>
      <bottom/>
      <diagonal/>
    </border>
    <border>
      <left/>
      <right/>
      <top style="medium">
        <color indexed="12"/>
      </top>
      <bottom/>
      <diagonal/>
    </border>
    <border>
      <left/>
      <right/>
      <top style="medium">
        <color indexed="48"/>
      </top>
      <bottom/>
      <diagonal/>
    </border>
    <border>
      <left/>
      <right style="medium">
        <color indexed="48"/>
      </right>
      <top style="medium">
        <color indexed="48"/>
      </top>
      <bottom/>
      <diagonal/>
    </border>
    <border>
      <left style="medium">
        <color indexed="48"/>
      </left>
      <right/>
      <top/>
      <bottom/>
      <diagonal/>
    </border>
    <border>
      <left/>
      <right style="medium">
        <color indexed="48"/>
      </right>
      <top/>
      <bottom/>
      <diagonal/>
    </border>
    <border>
      <left style="medium">
        <color indexed="48"/>
      </left>
      <right/>
      <top/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4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45"/>
      </left>
      <right/>
      <top style="medium">
        <color indexed="45"/>
      </top>
      <bottom/>
      <diagonal/>
    </border>
    <border>
      <left/>
      <right style="medium">
        <color indexed="45"/>
      </right>
      <top style="medium">
        <color indexed="45"/>
      </top>
      <bottom/>
      <diagonal/>
    </border>
    <border>
      <left style="medium">
        <color indexed="45"/>
      </left>
      <right/>
      <top/>
      <bottom style="medium">
        <color indexed="45"/>
      </bottom>
      <diagonal/>
    </border>
    <border>
      <left/>
      <right style="medium">
        <color indexed="45"/>
      </right>
      <top/>
      <bottom style="medium">
        <color indexed="45"/>
      </bottom>
      <diagonal/>
    </border>
    <border>
      <left style="thin">
        <color indexed="64"/>
      </left>
      <right/>
      <top/>
      <bottom style="medium">
        <color indexed="48"/>
      </bottom>
      <diagonal/>
    </border>
    <border>
      <left/>
      <right style="medium">
        <color indexed="48"/>
      </right>
      <top/>
      <bottom style="medium">
        <color indexed="48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rgb="FF0066FF"/>
      </left>
      <right/>
      <top style="medium">
        <color rgb="FF0066FF"/>
      </top>
      <bottom/>
      <diagonal/>
    </border>
    <border>
      <left/>
      <right/>
      <top style="medium">
        <color rgb="FF0066FF"/>
      </top>
      <bottom/>
      <diagonal/>
    </border>
    <border>
      <left/>
      <right style="medium">
        <color rgb="FF0066FF"/>
      </right>
      <top style="medium">
        <color rgb="FF0066FF"/>
      </top>
      <bottom/>
      <diagonal/>
    </border>
    <border>
      <left style="medium">
        <color rgb="FF0066FF"/>
      </left>
      <right/>
      <top/>
      <bottom/>
      <diagonal/>
    </border>
    <border>
      <left/>
      <right style="medium">
        <color rgb="FF0066FF"/>
      </right>
      <top/>
      <bottom/>
      <diagonal/>
    </border>
    <border>
      <left style="medium">
        <color rgb="FF0066FF"/>
      </left>
      <right/>
      <top/>
      <bottom style="medium">
        <color rgb="FF0066FF"/>
      </bottom>
      <diagonal/>
    </border>
    <border>
      <left/>
      <right/>
      <top/>
      <bottom style="medium">
        <color rgb="FF0066FF"/>
      </bottom>
      <diagonal/>
    </border>
    <border>
      <left/>
      <right style="medium">
        <color rgb="FF0066FF"/>
      </right>
      <top/>
      <bottom style="medium">
        <color rgb="FF0066FF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medium">
        <color indexed="50"/>
      </right>
      <top/>
      <bottom style="medium">
        <color indexed="50"/>
      </bottom>
      <diagonal/>
    </border>
    <border>
      <left/>
      <right/>
      <top/>
      <bottom style="medium">
        <color indexed="50"/>
      </bottom>
      <diagonal/>
    </border>
    <border>
      <left style="medium">
        <color indexed="50"/>
      </left>
      <right/>
      <top/>
      <bottom style="medium">
        <color indexed="50"/>
      </bottom>
      <diagonal/>
    </border>
    <border>
      <left/>
      <right style="medium">
        <color indexed="50"/>
      </right>
      <top/>
      <bottom/>
      <diagonal/>
    </border>
    <border>
      <left style="medium">
        <color indexed="50"/>
      </left>
      <right/>
      <top/>
      <bottom/>
      <diagonal/>
    </border>
    <border>
      <left/>
      <right style="medium">
        <color indexed="50"/>
      </right>
      <top style="thick">
        <color indexed="50"/>
      </top>
      <bottom/>
      <diagonal/>
    </border>
    <border>
      <left/>
      <right/>
      <top style="thick">
        <color indexed="50"/>
      </top>
      <bottom/>
      <diagonal/>
    </border>
    <border>
      <left style="medium">
        <color indexed="50"/>
      </left>
      <right/>
      <top style="thick">
        <color indexed="50"/>
      </top>
      <bottom/>
      <diagonal/>
    </border>
    <border>
      <left/>
      <right style="medium">
        <color indexed="50"/>
      </right>
      <top style="medium">
        <color indexed="50"/>
      </top>
      <bottom/>
      <diagonal/>
    </border>
    <border>
      <left/>
      <right/>
      <top style="medium">
        <color indexed="50"/>
      </top>
      <bottom/>
      <diagonal/>
    </border>
    <border>
      <left/>
      <right/>
      <top style="medium">
        <color indexed="17"/>
      </top>
      <bottom/>
      <diagonal/>
    </border>
    <border>
      <left style="medium">
        <color indexed="50"/>
      </left>
      <right/>
      <top style="medium">
        <color indexed="50"/>
      </top>
      <bottom/>
      <diagonal/>
    </border>
    <border>
      <left/>
      <right style="medium">
        <color rgb="FF339933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30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>
      <alignment horizontal="center"/>
    </xf>
    <xf numFmtId="0" fontId="73" fillId="0" borderId="0"/>
    <xf numFmtId="0" fontId="8" fillId="0" borderId="0"/>
    <xf numFmtId="0" fontId="30" fillId="0" borderId="0"/>
    <xf numFmtId="0" fontId="1" fillId="0" borderId="0"/>
    <xf numFmtId="0" fontId="2" fillId="0" borderId="0"/>
    <xf numFmtId="0" fontId="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79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 applyAlignment="1" applyProtection="1">
      <alignment horizontal="center"/>
    </xf>
    <xf numFmtId="0" fontId="35" fillId="0" borderId="0" xfId="0" applyFont="1"/>
    <xf numFmtId="0" fontId="1" fillId="0" borderId="0" xfId="0" applyFont="1"/>
    <xf numFmtId="0" fontId="0" fillId="0" borderId="0" xfId="0" applyProtection="1"/>
    <xf numFmtId="0" fontId="1" fillId="0" borderId="0" xfId="8" applyProtection="1"/>
    <xf numFmtId="0" fontId="1" fillId="0" borderId="0" xfId="8" applyAlignment="1" applyProtection="1">
      <alignment horizontal="left"/>
    </xf>
    <xf numFmtId="0" fontId="1" fillId="0" borderId="0" xfId="8" applyBorder="1" applyProtection="1"/>
    <xf numFmtId="0" fontId="1" fillId="0" borderId="0" xfId="8" applyAlignment="1" applyProtection="1"/>
    <xf numFmtId="0" fontId="12" fillId="0" borderId="0" xfId="8" applyFont="1" applyBorder="1" applyAlignment="1" applyProtection="1">
      <alignment horizontal="left"/>
    </xf>
    <xf numFmtId="0" fontId="1" fillId="0" borderId="0" xfId="8" applyBorder="1" applyAlignment="1" applyProtection="1">
      <alignment horizontal="left"/>
    </xf>
    <xf numFmtId="0" fontId="1" fillId="3" borderId="1" xfId="8" applyFill="1" applyBorder="1" applyAlignment="1" applyProtection="1">
      <alignment horizontal="center"/>
      <protection locked="0"/>
    </xf>
    <xf numFmtId="0" fontId="1" fillId="0" borderId="4" xfId="8" applyBorder="1" applyAlignment="1" applyProtection="1">
      <alignment horizontal="left"/>
    </xf>
    <xf numFmtId="0" fontId="1" fillId="0" borderId="5" xfId="8" applyBorder="1" applyAlignment="1" applyProtection="1">
      <alignment horizontal="left"/>
    </xf>
    <xf numFmtId="0" fontId="1" fillId="0" borderId="6" xfId="8" applyBorder="1" applyAlignment="1" applyProtection="1">
      <alignment horizontal="left"/>
    </xf>
    <xf numFmtId="0" fontId="1" fillId="0" borderId="7" xfId="8" applyBorder="1" applyAlignment="1" applyProtection="1"/>
    <xf numFmtId="0" fontId="1" fillId="0" borderId="2" xfId="8" applyBorder="1" applyAlignment="1" applyProtection="1">
      <alignment horizontal="center"/>
    </xf>
    <xf numFmtId="0" fontId="6" fillId="0" borderId="2" xfId="8" applyFont="1" applyBorder="1" applyAlignment="1" applyProtection="1">
      <alignment horizontal="center"/>
    </xf>
    <xf numFmtId="0" fontId="1" fillId="0" borderId="0" xfId="8" applyFill="1" applyBorder="1" applyAlignment="1" applyProtection="1">
      <alignment horizontal="center"/>
    </xf>
    <xf numFmtId="0" fontId="1" fillId="0" borderId="4" xfId="8" applyBorder="1" applyAlignment="1" applyProtection="1">
      <alignment horizontal="center"/>
    </xf>
    <xf numFmtId="0" fontId="1" fillId="0" borderId="5" xfId="8" applyFill="1" applyBorder="1" applyAlignment="1" applyProtection="1">
      <alignment horizontal="center"/>
    </xf>
    <xf numFmtId="0" fontId="49" fillId="0" borderId="0" xfId="8" applyFont="1" applyAlignment="1" applyProtection="1">
      <alignment vertical="top" wrapText="1"/>
    </xf>
    <xf numFmtId="0" fontId="1" fillId="0" borderId="7" xfId="8" applyBorder="1" applyProtection="1"/>
    <xf numFmtId="0" fontId="1" fillId="0" borderId="2" xfId="8" applyBorder="1" applyAlignment="1" applyProtection="1">
      <alignment horizontal="left"/>
    </xf>
    <xf numFmtId="0" fontId="4" fillId="0" borderId="0" xfId="8" applyFont="1" applyBorder="1" applyProtection="1"/>
    <xf numFmtId="0" fontId="8" fillId="0" borderId="7" xfId="8" applyFont="1" applyBorder="1" applyAlignment="1" applyProtection="1">
      <alignment horizontal="right"/>
    </xf>
    <xf numFmtId="4" fontId="1" fillId="0" borderId="2" xfId="8" applyNumberFormat="1" applyBorder="1" applyAlignment="1" applyProtection="1">
      <alignment horizontal="left"/>
    </xf>
    <xf numFmtId="0" fontId="50" fillId="0" borderId="0" xfId="8" applyFont="1" applyBorder="1" applyAlignment="1" applyProtection="1">
      <alignment horizontal="left"/>
    </xf>
    <xf numFmtId="0" fontId="51" fillId="0" borderId="0" xfId="8" applyFont="1" applyBorder="1" applyAlignment="1" applyProtection="1">
      <alignment horizontal="right"/>
    </xf>
    <xf numFmtId="0" fontId="1" fillId="0" borderId="2" xfId="8" applyFont="1" applyBorder="1" applyAlignment="1" applyProtection="1">
      <alignment horizontal="left"/>
    </xf>
    <xf numFmtId="0" fontId="1" fillId="0" borderId="0" xfId="8"/>
    <xf numFmtId="0" fontId="8" fillId="0" borderId="0" xfId="8" applyFont="1" applyBorder="1" applyAlignment="1" applyProtection="1">
      <alignment horizontal="right"/>
    </xf>
    <xf numFmtId="0" fontId="1" fillId="0" borderId="7" xfId="8" applyFont="1" applyBorder="1" applyAlignment="1" applyProtection="1"/>
    <xf numFmtId="0" fontId="8" fillId="0" borderId="4" xfId="8" applyFont="1" applyBorder="1" applyAlignment="1" applyProtection="1">
      <alignment horizontal="center"/>
    </xf>
    <xf numFmtId="0" fontId="5" fillId="0" borderId="0" xfId="8" applyFont="1" applyBorder="1" applyAlignment="1" applyProtection="1">
      <alignment horizontal="left"/>
    </xf>
    <xf numFmtId="4" fontId="25" fillId="0" borderId="3" xfId="8" applyNumberFormat="1" applyFont="1" applyBorder="1" applyAlignment="1" applyProtection="1">
      <alignment horizontal="center"/>
    </xf>
    <xf numFmtId="0" fontId="1" fillId="0" borderId="11" xfId="8" applyFont="1" applyBorder="1" applyAlignment="1" applyProtection="1"/>
    <xf numFmtId="0" fontId="1" fillId="0" borderId="12" xfId="8" applyBorder="1" applyAlignment="1" applyProtection="1">
      <alignment horizontal="left"/>
    </xf>
    <xf numFmtId="0" fontId="1" fillId="0" borderId="0" xfId="8" applyFont="1" applyAlignment="1" applyProtection="1"/>
    <xf numFmtId="0" fontId="7" fillId="0" borderId="0" xfId="8" applyFont="1" applyAlignment="1" applyProtection="1">
      <alignment horizontal="right"/>
    </xf>
    <xf numFmtId="0" fontId="7" fillId="0" borderId="0" xfId="8" applyFont="1" applyAlignment="1" applyProtection="1">
      <alignment horizontal="left"/>
    </xf>
    <xf numFmtId="0" fontId="1" fillId="0" borderId="1" xfId="8" applyFill="1" applyBorder="1" applyAlignment="1" applyProtection="1">
      <alignment horizontal="center"/>
    </xf>
    <xf numFmtId="0" fontId="1" fillId="0" borderId="4" xfId="8" applyFill="1" applyBorder="1" applyAlignment="1" applyProtection="1">
      <alignment horizontal="center"/>
    </xf>
    <xf numFmtId="0" fontId="1" fillId="0" borderId="9" xfId="8" applyFill="1" applyBorder="1" applyAlignment="1" applyProtection="1">
      <alignment horizontal="center"/>
    </xf>
    <xf numFmtId="0" fontId="1" fillId="0" borderId="0" xfId="8" applyFill="1" applyBorder="1" applyAlignment="1" applyProtection="1">
      <alignment horizontal="left"/>
    </xf>
    <xf numFmtId="0" fontId="8" fillId="0" borderId="0" xfId="8" applyFont="1" applyBorder="1" applyAlignment="1" applyProtection="1">
      <alignment horizontal="center"/>
    </xf>
    <xf numFmtId="0" fontId="1" fillId="0" borderId="13" xfId="8" applyBorder="1" applyAlignment="1" applyProtection="1">
      <alignment horizontal="left"/>
    </xf>
    <xf numFmtId="0" fontId="63" fillId="0" borderId="0" xfId="8" applyFont="1" applyAlignment="1" applyProtection="1"/>
    <xf numFmtId="0" fontId="63" fillId="0" borderId="4" xfId="8" applyFont="1" applyBorder="1" applyAlignment="1" applyProtection="1"/>
    <xf numFmtId="0" fontId="67" fillId="0" borderId="0" xfId="0" applyFont="1" applyBorder="1"/>
    <xf numFmtId="0" fontId="45" fillId="0" borderId="0" xfId="8" applyFont="1" applyBorder="1" applyAlignment="1" applyProtection="1">
      <alignment horizontal="center"/>
    </xf>
    <xf numFmtId="0" fontId="74" fillId="0" borderId="2" xfId="0" applyFont="1" applyBorder="1" applyAlignment="1">
      <alignment horizontal="center"/>
    </xf>
    <xf numFmtId="0" fontId="74" fillId="0" borderId="2" xfId="0" applyFont="1" applyBorder="1"/>
    <xf numFmtId="0" fontId="1" fillId="0" borderId="0" xfId="8" applyBorder="1"/>
    <xf numFmtId="0" fontId="29" fillId="0" borderId="37" xfId="8" applyFont="1" applyFill="1" applyBorder="1" applyAlignment="1" applyProtection="1">
      <alignment horizontal="center"/>
    </xf>
    <xf numFmtId="0" fontId="27" fillId="0" borderId="37" xfId="8" applyFont="1" applyFill="1" applyBorder="1" applyAlignment="1" applyProtection="1">
      <alignment vertical="center" wrapText="1"/>
    </xf>
    <xf numFmtId="0" fontId="33" fillId="0" borderId="0" xfId="8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horizontal="center"/>
    </xf>
    <xf numFmtId="0" fontId="69" fillId="0" borderId="0" xfId="0" applyFont="1" applyAlignment="1" applyProtection="1">
      <alignment horizontal="left" vertical="top"/>
    </xf>
    <xf numFmtId="0" fontId="36" fillId="0" borderId="0" xfId="0" applyFont="1" applyAlignment="1" applyProtection="1">
      <alignment horizontal="right" vertical="top"/>
    </xf>
    <xf numFmtId="0" fontId="22" fillId="0" borderId="0" xfId="0" applyFont="1" applyAlignment="1" applyProtection="1">
      <alignment horizontal="left"/>
    </xf>
    <xf numFmtId="0" fontId="35" fillId="0" borderId="0" xfId="0" applyFont="1" applyAlignment="1" applyProtection="1">
      <alignment horizontal="left" vertical="top"/>
    </xf>
    <xf numFmtId="0" fontId="36" fillId="0" borderId="0" xfId="0" quotePrefix="1" applyFont="1" applyAlignment="1" applyProtection="1">
      <alignment horizontal="center" vertical="top"/>
    </xf>
    <xf numFmtId="0" fontId="2" fillId="0" borderId="0" xfId="0" applyFont="1" applyAlignment="1" applyProtection="1">
      <alignment horizontal="right"/>
    </xf>
    <xf numFmtId="2" fontId="67" fillId="0" borderId="0" xfId="0" applyNumberFormat="1" applyFont="1" applyBorder="1" applyAlignment="1">
      <alignment horizontal="center"/>
    </xf>
    <xf numFmtId="0" fontId="0" fillId="0" borderId="0" xfId="0" applyAlignment="1" applyProtection="1">
      <alignment horizontal="center"/>
    </xf>
    <xf numFmtId="0" fontId="68" fillId="0" borderId="0" xfId="0" applyFont="1" applyAlignment="1" applyProtection="1">
      <alignment horizontal="center"/>
    </xf>
    <xf numFmtId="0" fontId="0" fillId="0" borderId="0" xfId="0" applyAlignment="1" applyProtection="1">
      <alignment horizontal="right"/>
    </xf>
    <xf numFmtId="0" fontId="7" fillId="0" borderId="0" xfId="0" applyFont="1" applyAlignment="1" applyProtection="1">
      <alignment horizontal="right"/>
    </xf>
    <xf numFmtId="4" fontId="0" fillId="0" borderId="1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center"/>
    </xf>
    <xf numFmtId="0" fontId="7" fillId="4" borderId="0" xfId="0" applyFont="1" applyFill="1" applyAlignment="1" applyProtection="1">
      <alignment horizontal="right"/>
    </xf>
    <xf numFmtId="4" fontId="0" fillId="0" borderId="0" xfId="0" applyNumberFormat="1" applyAlignment="1" applyProtection="1">
      <alignment horizontal="center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75" fillId="4" borderId="0" xfId="0" applyFont="1" applyFill="1" applyAlignment="1" applyProtection="1">
      <alignment horizontal="right"/>
    </xf>
    <xf numFmtId="4" fontId="0" fillId="4" borderId="0" xfId="0" applyNumberFormat="1" applyFill="1" applyBorder="1" applyAlignment="1" applyProtection="1">
      <alignment horizontal="center"/>
    </xf>
    <xf numFmtId="0" fontId="0" fillId="4" borderId="0" xfId="0" applyFill="1" applyAlignment="1" applyProtection="1">
      <alignment horizontal="center"/>
    </xf>
    <xf numFmtId="4" fontId="0" fillId="4" borderId="1" xfId="0" applyNumberFormat="1" applyFill="1" applyBorder="1" applyAlignment="1" applyProtection="1">
      <alignment horizontal="center"/>
    </xf>
    <xf numFmtId="0" fontId="24" fillId="0" borderId="0" xfId="8" applyFont="1" applyFill="1" applyBorder="1" applyAlignment="1" applyProtection="1">
      <alignment horizontal="left" vertical="center"/>
    </xf>
    <xf numFmtId="0" fontId="11" fillId="0" borderId="0" xfId="8" applyFont="1" applyBorder="1" applyAlignment="1">
      <alignment horizontal="center" vertical="top" wrapText="1"/>
    </xf>
    <xf numFmtId="0" fontId="6" fillId="0" borderId="0" xfId="8" applyFont="1" applyBorder="1" applyAlignment="1" applyProtection="1">
      <alignment horizontal="center"/>
    </xf>
    <xf numFmtId="0" fontId="1" fillId="0" borderId="0" xfId="8" applyBorder="1" applyAlignment="1" applyProtection="1">
      <alignment horizontal="center"/>
    </xf>
    <xf numFmtId="0" fontId="5" fillId="0" borderId="5" xfId="8" applyFont="1" applyFill="1" applyBorder="1" applyAlignment="1" applyProtection="1">
      <alignment horizontal="center"/>
    </xf>
    <xf numFmtId="0" fontId="1" fillId="0" borderId="5" xfId="8" applyFill="1" applyBorder="1" applyAlignment="1" applyProtection="1">
      <alignment horizontal="left"/>
    </xf>
    <xf numFmtId="0" fontId="1" fillId="0" borderId="5" xfId="8" applyFill="1" applyBorder="1" applyAlignment="1" applyProtection="1"/>
    <xf numFmtId="0" fontId="1" fillId="0" borderId="0" xfId="8" applyFill="1" applyBorder="1" applyProtection="1"/>
    <xf numFmtId="0" fontId="1" fillId="0" borderId="7" xfId="8" applyBorder="1" applyAlignment="1" applyProtection="1">
      <alignment horizontal="left"/>
    </xf>
    <xf numFmtId="0" fontId="42" fillId="0" borderId="0" xfId="8" applyFont="1" applyBorder="1" applyAlignment="1" applyProtection="1">
      <alignment horizontal="center"/>
    </xf>
    <xf numFmtId="0" fontId="43" fillId="0" borderId="0" xfId="8" applyFont="1" applyBorder="1" applyAlignment="1" applyProtection="1">
      <alignment horizontal="center"/>
    </xf>
    <xf numFmtId="0" fontId="22" fillId="0" borderId="0" xfId="8" applyFont="1" applyBorder="1" applyAlignment="1" applyProtection="1">
      <alignment horizontal="right"/>
    </xf>
    <xf numFmtId="0" fontId="22" fillId="0" borderId="0" xfId="8" applyFont="1" applyBorder="1" applyAlignment="1" applyProtection="1">
      <alignment horizontal="center"/>
    </xf>
    <xf numFmtId="0" fontId="46" fillId="0" borderId="0" xfId="8" applyFont="1" applyBorder="1" applyAlignment="1" applyProtection="1">
      <alignment horizontal="center"/>
    </xf>
    <xf numFmtId="0" fontId="45" fillId="0" borderId="0" xfId="8" applyFont="1" applyBorder="1" applyAlignment="1" applyProtection="1">
      <alignment horizontal="left"/>
    </xf>
    <xf numFmtId="0" fontId="1" fillId="0" borderId="0" xfId="8" applyBorder="1" applyAlignment="1" applyProtection="1"/>
    <xf numFmtId="0" fontId="35" fillId="0" borderId="0" xfId="8" applyFont="1" applyBorder="1" applyAlignment="1" applyProtection="1">
      <alignment horizontal="left"/>
    </xf>
    <xf numFmtId="0" fontId="13" fillId="0" borderId="0" xfId="8" applyFont="1" applyBorder="1" applyAlignment="1" applyProtection="1">
      <alignment horizontal="center"/>
    </xf>
    <xf numFmtId="2" fontId="9" fillId="0" borderId="0" xfId="8" applyNumberFormat="1" applyFont="1" applyBorder="1" applyAlignment="1" applyProtection="1">
      <alignment horizontal="center"/>
    </xf>
    <xf numFmtId="2" fontId="13" fillId="0" borderId="0" xfId="8" applyNumberFormat="1" applyFont="1" applyBorder="1" applyAlignment="1" applyProtection="1">
      <alignment horizontal="center"/>
    </xf>
    <xf numFmtId="0" fontId="31" fillId="0" borderId="0" xfId="8" applyFont="1" applyBorder="1" applyAlignment="1" applyProtection="1">
      <alignment horizontal="center"/>
    </xf>
    <xf numFmtId="2" fontId="31" fillId="0" borderId="0" xfId="8" applyNumberFormat="1" applyFont="1" applyBorder="1" applyAlignment="1" applyProtection="1">
      <alignment horizontal="center"/>
    </xf>
    <xf numFmtId="0" fontId="8" fillId="0" borderId="0" xfId="8" applyFont="1" applyBorder="1" applyAlignment="1" applyProtection="1">
      <alignment horizontal="left"/>
    </xf>
    <xf numFmtId="2" fontId="33" fillId="0" borderId="0" xfId="8" applyNumberFormat="1" applyFont="1" applyBorder="1" applyAlignment="1" applyProtection="1">
      <alignment horizontal="center"/>
    </xf>
    <xf numFmtId="2" fontId="8" fillId="0" borderId="0" xfId="8" applyNumberFormat="1" applyFont="1" applyBorder="1" applyAlignment="1" applyProtection="1">
      <alignment horizontal="center"/>
    </xf>
    <xf numFmtId="0" fontId="52" fillId="0" borderId="0" xfId="8" applyFont="1" applyBorder="1" applyProtection="1"/>
    <xf numFmtId="0" fontId="53" fillId="0" borderId="0" xfId="8" applyFont="1" applyBorder="1" applyProtection="1"/>
    <xf numFmtId="0" fontId="54" fillId="0" borderId="0" xfId="8" applyFont="1" applyBorder="1" applyAlignment="1" applyProtection="1">
      <alignment horizontal="left"/>
    </xf>
    <xf numFmtId="0" fontId="1" fillId="0" borderId="0" xfId="8" applyFont="1" applyBorder="1" applyAlignment="1" applyProtection="1">
      <alignment horizontal="left"/>
    </xf>
    <xf numFmtId="0" fontId="55" fillId="0" borderId="0" xfId="8" applyFont="1" applyBorder="1" applyAlignment="1" applyProtection="1">
      <alignment horizontal="center"/>
    </xf>
    <xf numFmtId="3" fontId="13" fillId="0" borderId="0" xfId="8" applyNumberFormat="1" applyFont="1" applyBorder="1" applyAlignment="1" applyProtection="1">
      <alignment horizontal="center"/>
    </xf>
    <xf numFmtId="0" fontId="1" fillId="0" borderId="0" xfId="8" applyFont="1" applyBorder="1" applyAlignment="1" applyProtection="1">
      <alignment horizontal="center"/>
    </xf>
    <xf numFmtId="0" fontId="56" fillId="0" borderId="0" xfId="8" applyFont="1" applyBorder="1" applyAlignment="1" applyProtection="1">
      <alignment horizontal="center"/>
    </xf>
    <xf numFmtId="3" fontId="30" fillId="0" borderId="0" xfId="8" applyNumberFormat="1" applyFont="1" applyBorder="1" applyAlignment="1" applyProtection="1">
      <alignment horizontal="center"/>
    </xf>
    <xf numFmtId="0" fontId="7" fillId="0" borderId="0" xfId="8" applyFont="1" applyBorder="1" applyAlignment="1" applyProtection="1">
      <alignment horizontal="center"/>
    </xf>
    <xf numFmtId="0" fontId="57" fillId="0" borderId="0" xfId="8" applyFont="1" applyBorder="1" applyAlignment="1" applyProtection="1">
      <alignment horizontal="center"/>
    </xf>
    <xf numFmtId="0" fontId="1" fillId="8" borderId="0" xfId="8" applyFill="1" applyProtection="1"/>
    <xf numFmtId="0" fontId="1" fillId="8" borderId="0" xfId="8" applyFill="1" applyBorder="1" applyAlignment="1" applyProtection="1">
      <alignment horizontal="center"/>
    </xf>
    <xf numFmtId="0" fontId="0" fillId="8" borderId="0" xfId="0" applyFill="1"/>
    <xf numFmtId="0" fontId="1" fillId="0" borderId="36" xfId="8" applyFill="1" applyBorder="1" applyProtection="1"/>
    <xf numFmtId="0" fontId="1" fillId="0" borderId="37" xfId="8" applyFill="1" applyBorder="1" applyProtection="1"/>
    <xf numFmtId="4" fontId="41" fillId="0" borderId="37" xfId="8" applyNumberFormat="1" applyFont="1" applyFill="1" applyBorder="1" applyAlignment="1" applyProtection="1"/>
    <xf numFmtId="0" fontId="6" fillId="0" borderId="38" xfId="8" applyFont="1" applyFill="1" applyBorder="1" applyAlignment="1" applyProtection="1">
      <alignment horizontal="center"/>
    </xf>
    <xf numFmtId="0" fontId="12" fillId="0" borderId="39" xfId="8" applyFont="1" applyFill="1" applyBorder="1" applyProtection="1"/>
    <xf numFmtId="0" fontId="5" fillId="0" borderId="0" xfId="8" applyFont="1" applyFill="1" applyBorder="1" applyProtection="1"/>
    <xf numFmtId="0" fontId="1" fillId="0" borderId="40" xfId="8" applyFill="1" applyBorder="1" applyProtection="1"/>
    <xf numFmtId="0" fontId="12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8" applyFill="1" applyProtection="1"/>
    <xf numFmtId="0" fontId="1" fillId="0" borderId="39" xfId="8" applyFill="1" applyBorder="1" applyProtection="1"/>
    <xf numFmtId="0" fontId="23" fillId="0" borderId="0" xfId="0" applyFont="1" applyFill="1" applyBorder="1"/>
    <xf numFmtId="171" fontId="19" fillId="0" borderId="0" xfId="8" quotePrefix="1" applyNumberFormat="1" applyFont="1" applyFill="1" applyBorder="1" applyAlignment="1" applyProtection="1">
      <alignment horizontal="right"/>
    </xf>
    <xf numFmtId="0" fontId="39" fillId="0" borderId="0" xfId="8" applyFont="1" applyFill="1" applyBorder="1" applyProtection="1"/>
    <xf numFmtId="0" fontId="39" fillId="0" borderId="0" xfId="0" applyFont="1" applyFill="1" applyBorder="1" applyProtection="1"/>
    <xf numFmtId="0" fontId="3" fillId="0" borderId="0" xfId="2" applyFill="1" applyBorder="1" applyAlignment="1" applyProtection="1">
      <protection locked="0"/>
    </xf>
    <xf numFmtId="171" fontId="19" fillId="0" borderId="0" xfId="8" applyNumberFormat="1" applyFont="1" applyFill="1" applyBorder="1" applyAlignment="1" applyProtection="1">
      <alignment horizontal="right"/>
    </xf>
    <xf numFmtId="0" fontId="1" fillId="0" borderId="0" xfId="8" applyFill="1" applyBorder="1" applyAlignment="1" applyProtection="1">
      <alignment vertical="center"/>
    </xf>
    <xf numFmtId="0" fontId="1" fillId="0" borderId="41" xfId="8" applyFill="1" applyBorder="1" applyProtection="1"/>
    <xf numFmtId="0" fontId="1" fillId="0" borderId="42" xfId="8" applyFill="1" applyBorder="1" applyProtection="1"/>
    <xf numFmtId="0" fontId="1" fillId="0" borderId="42" xfId="8" applyFill="1" applyBorder="1" applyAlignment="1" applyProtection="1">
      <alignment vertical="center"/>
    </xf>
    <xf numFmtId="0" fontId="1" fillId="0" borderId="43" xfId="8" applyFill="1" applyBorder="1" applyProtection="1"/>
    <xf numFmtId="0" fontId="1" fillId="7" borderId="1" xfId="8" applyFill="1" applyBorder="1" applyAlignment="1" applyProtection="1">
      <alignment horizontal="center"/>
      <protection locked="0"/>
    </xf>
    <xf numFmtId="2" fontId="1" fillId="7" borderId="1" xfId="8" applyNumberFormat="1" applyFill="1" applyBorder="1" applyAlignment="1" applyProtection="1">
      <alignment horizontal="center"/>
      <protection locked="0"/>
    </xf>
    <xf numFmtId="170" fontId="1" fillId="7" borderId="1" xfId="8" applyNumberFormat="1" applyFill="1" applyBorder="1" applyAlignment="1" applyProtection="1">
      <alignment horizontal="center"/>
      <protection locked="0"/>
    </xf>
    <xf numFmtId="0" fontId="1" fillId="7" borderId="1" xfId="8" applyFont="1" applyFill="1" applyBorder="1" applyAlignment="1" applyProtection="1">
      <alignment horizontal="center"/>
      <protection locked="0"/>
    </xf>
    <xf numFmtId="0" fontId="1" fillId="4" borderId="0" xfId="8" applyFill="1" applyProtection="1"/>
    <xf numFmtId="0" fontId="0" fillId="4" borderId="0" xfId="0" applyFill="1"/>
    <xf numFmtId="0" fontId="49" fillId="4" borderId="0" xfId="8" applyFont="1" applyFill="1" applyAlignment="1" applyProtection="1">
      <alignment vertical="top" wrapText="1"/>
    </xf>
    <xf numFmtId="0" fontId="12" fillId="0" borderId="36" xfId="8" applyFont="1" applyFill="1" applyBorder="1" applyProtection="1"/>
    <xf numFmtId="0" fontId="1" fillId="0" borderId="38" xfId="8" applyFill="1" applyBorder="1" applyProtection="1"/>
    <xf numFmtId="0" fontId="47" fillId="0" borderId="0" xfId="8" applyFont="1" applyFill="1" applyBorder="1" applyAlignment="1" applyProtection="1">
      <alignment horizontal="center"/>
    </xf>
    <xf numFmtId="0" fontId="47" fillId="0" borderId="0" xfId="8" applyFont="1" applyFill="1" applyBorder="1" applyAlignment="1">
      <alignment horizontal="center"/>
    </xf>
    <xf numFmtId="0" fontId="0" fillId="0" borderId="0" xfId="0" applyFill="1" applyBorder="1" applyProtection="1"/>
    <xf numFmtId="0" fontId="11" fillId="0" borderId="0" xfId="8" applyFont="1" applyFill="1" applyBorder="1" applyAlignment="1" applyProtection="1">
      <alignment horizontal="center" vertical="center" wrapText="1"/>
    </xf>
    <xf numFmtId="0" fontId="19" fillId="0" borderId="0" xfId="8" applyFont="1" applyFill="1" applyBorder="1" applyAlignment="1" applyProtection="1">
      <alignment vertical="center"/>
    </xf>
    <xf numFmtId="0" fontId="26" fillId="0" borderId="0" xfId="8" applyFont="1" applyFill="1" applyBorder="1" applyAlignment="1" applyProtection="1">
      <alignment vertical="center" wrapText="1"/>
    </xf>
    <xf numFmtId="0" fontId="1" fillId="0" borderId="0" xfId="8" applyFill="1" applyBorder="1" applyAlignment="1" applyProtection="1">
      <alignment horizontal="right"/>
    </xf>
    <xf numFmtId="0" fontId="49" fillId="0" borderId="40" xfId="8" applyFont="1" applyFill="1" applyBorder="1" applyAlignment="1" applyProtection="1">
      <alignment vertical="top" wrapText="1"/>
    </xf>
    <xf numFmtId="0" fontId="49" fillId="0" borderId="42" xfId="8" applyFont="1" applyFill="1" applyBorder="1" applyAlignment="1" applyProtection="1">
      <alignment vertical="top" wrapText="1"/>
    </xf>
    <xf numFmtId="0" fontId="49" fillId="0" borderId="43" xfId="8" applyFont="1" applyFill="1" applyBorder="1" applyAlignment="1" applyProtection="1">
      <alignment vertical="top" wrapText="1"/>
    </xf>
    <xf numFmtId="0" fontId="49" fillId="4" borderId="0" xfId="8" applyFont="1" applyFill="1" applyAlignment="1" applyProtection="1">
      <alignment horizontal="left" vertical="top" wrapText="1"/>
    </xf>
    <xf numFmtId="0" fontId="1" fillId="4" borderId="0" xfId="8" applyFill="1"/>
    <xf numFmtId="0" fontId="1" fillId="4" borderId="0" xfId="8" applyFill="1" applyAlignment="1">
      <alignment horizontal="center"/>
    </xf>
    <xf numFmtId="0" fontId="6" fillId="4" borderId="0" xfId="8" applyFont="1" applyFill="1" applyAlignment="1">
      <alignment horizontal="center"/>
    </xf>
    <xf numFmtId="9" fontId="38" fillId="4" borderId="0" xfId="11" applyFont="1" applyFill="1" applyBorder="1" applyAlignment="1" applyProtection="1">
      <alignment horizontal="center"/>
    </xf>
    <xf numFmtId="0" fontId="32" fillId="4" borderId="0" xfId="8" applyFont="1" applyFill="1" applyAlignment="1">
      <alignment wrapText="1"/>
    </xf>
    <xf numFmtId="0" fontId="11" fillId="4" borderId="0" xfId="8" applyFont="1" applyFill="1" applyAlignment="1">
      <alignment horizontal="center" vertical="top" wrapText="1"/>
    </xf>
    <xf numFmtId="0" fontId="5" fillId="0" borderId="36" xfId="8" applyFont="1" applyFill="1" applyBorder="1" applyAlignment="1" applyProtection="1">
      <alignment horizontal="left"/>
    </xf>
    <xf numFmtId="0" fontId="1" fillId="0" borderId="37" xfId="8" applyFont="1" applyFill="1" applyBorder="1" applyProtection="1"/>
    <xf numFmtId="0" fontId="1" fillId="0" borderId="37" xfId="8" applyFont="1" applyFill="1" applyBorder="1" applyAlignment="1" applyProtection="1">
      <alignment horizontal="center"/>
    </xf>
    <xf numFmtId="0" fontId="17" fillId="0" borderId="37" xfId="8" applyFont="1" applyFill="1" applyBorder="1" applyAlignment="1" applyProtection="1">
      <alignment vertical="top" wrapText="1"/>
    </xf>
    <xf numFmtId="0" fontId="17" fillId="0" borderId="38" xfId="8" applyFont="1" applyFill="1" applyBorder="1" applyAlignment="1" applyProtection="1">
      <alignment vertical="top" wrapText="1"/>
    </xf>
    <xf numFmtId="0" fontId="5" fillId="0" borderId="39" xfId="8" applyFont="1" applyFill="1" applyBorder="1" applyAlignment="1" applyProtection="1">
      <alignment horizontal="left"/>
    </xf>
    <xf numFmtId="0" fontId="1" fillId="0" borderId="0" xfId="8" applyFont="1" applyFill="1" applyBorder="1" applyProtection="1"/>
    <xf numFmtId="0" fontId="1" fillId="0" borderId="0" xfId="8" applyFont="1" applyFill="1" applyBorder="1" applyAlignment="1" applyProtection="1">
      <alignment horizontal="center"/>
    </xf>
    <xf numFmtId="0" fontId="17" fillId="0" borderId="0" xfId="8" applyFont="1" applyFill="1" applyBorder="1" applyAlignment="1" applyProtection="1">
      <alignment vertical="top" wrapText="1"/>
    </xf>
    <xf numFmtId="0" fontId="17" fillId="0" borderId="40" xfId="8" applyFont="1" applyFill="1" applyBorder="1" applyAlignment="1" applyProtection="1">
      <alignment vertical="top" wrapText="1"/>
    </xf>
    <xf numFmtId="0" fontId="1" fillId="0" borderId="39" xfId="8" applyFont="1" applyFill="1" applyBorder="1" applyProtection="1"/>
    <xf numFmtId="0" fontId="6" fillId="0" borderId="0" xfId="8" applyFont="1" applyFill="1" applyBorder="1" applyAlignment="1" applyProtection="1">
      <alignment horizontal="center"/>
    </xf>
    <xf numFmtId="0" fontId="1" fillId="0" borderId="0" xfId="8" applyFont="1" applyFill="1" applyBorder="1" applyAlignment="1" applyProtection="1">
      <alignment horizontal="right"/>
    </xf>
    <xf numFmtId="0" fontId="1" fillId="0" borderId="0" xfId="8" applyFont="1" applyFill="1" applyBorder="1" applyAlignment="1" applyProtection="1">
      <alignment horizontal="left"/>
    </xf>
    <xf numFmtId="0" fontId="47" fillId="0" borderId="0" xfId="8" applyFont="1" applyFill="1" applyBorder="1" applyAlignment="1" applyProtection="1">
      <alignment horizontal="left"/>
    </xf>
    <xf numFmtId="0" fontId="1" fillId="0" borderId="1" xfId="8" applyFont="1" applyFill="1" applyBorder="1" applyAlignment="1" applyProtection="1">
      <alignment horizontal="center"/>
    </xf>
    <xf numFmtId="0" fontId="1" fillId="0" borderId="40" xfId="8" applyFont="1" applyFill="1" applyBorder="1" applyProtection="1"/>
    <xf numFmtId="0" fontId="1" fillId="0" borderId="39" xfId="8" applyFont="1" applyFill="1" applyBorder="1"/>
    <xf numFmtId="0" fontId="1" fillId="0" borderId="0" xfId="8" applyFont="1" applyFill="1" applyBorder="1"/>
    <xf numFmtId="0" fontId="6" fillId="0" borderId="0" xfId="8" applyFont="1" applyFill="1" applyBorder="1" applyAlignment="1"/>
    <xf numFmtId="0" fontId="1" fillId="0" borderId="40" xfId="8" applyFont="1" applyFill="1" applyBorder="1"/>
    <xf numFmtId="0" fontId="1" fillId="0" borderId="0" xfId="8" applyFont="1" applyFill="1" applyBorder="1" applyAlignment="1">
      <alignment horizontal="center"/>
    </xf>
    <xf numFmtId="0" fontId="81" fillId="0" borderId="40" xfId="0" applyFont="1" applyFill="1" applyBorder="1" applyAlignment="1">
      <alignment horizontal="center"/>
    </xf>
    <xf numFmtId="0" fontId="17" fillId="0" borderId="0" xfId="8" applyFont="1" applyFill="1" applyBorder="1" applyAlignment="1">
      <alignment horizontal="center"/>
    </xf>
    <xf numFmtId="0" fontId="17" fillId="0" borderId="0" xfId="8" applyFont="1" applyFill="1" applyBorder="1" applyAlignment="1" applyProtection="1">
      <alignment horizontal="center"/>
    </xf>
    <xf numFmtId="0" fontId="1" fillId="0" borderId="40" xfId="8" applyFont="1" applyFill="1" applyBorder="1" applyAlignment="1">
      <alignment horizontal="center"/>
    </xf>
    <xf numFmtId="0" fontId="16" fillId="0" borderId="0" xfId="8" applyFont="1" applyFill="1" applyBorder="1" applyAlignment="1" applyProtection="1">
      <alignment horizontal="center"/>
    </xf>
    <xf numFmtId="0" fontId="6" fillId="0" borderId="0" xfId="8" applyFont="1" applyFill="1" applyBorder="1" applyAlignment="1">
      <alignment horizontal="center"/>
    </xf>
    <xf numFmtId="0" fontId="6" fillId="0" borderId="40" xfId="8" applyFont="1" applyFill="1" applyBorder="1" applyAlignment="1">
      <alignment horizontal="center"/>
    </xf>
    <xf numFmtId="0" fontId="83" fillId="0" borderId="39" xfId="8" applyFont="1" applyFill="1" applyBorder="1" applyAlignment="1">
      <alignment horizontal="center" vertical="top"/>
    </xf>
    <xf numFmtId="9" fontId="1" fillId="0" borderId="0" xfId="11" applyFont="1" applyFill="1" applyBorder="1" applyAlignment="1" applyProtection="1">
      <alignment horizontal="center"/>
    </xf>
    <xf numFmtId="9" fontId="8" fillId="0" borderId="0" xfId="11" applyFont="1" applyFill="1" applyBorder="1" applyAlignment="1" applyProtection="1">
      <alignment horizontal="center"/>
    </xf>
    <xf numFmtId="0" fontId="83" fillId="0" borderId="0" xfId="8" applyFont="1" applyFill="1" applyBorder="1" applyAlignment="1">
      <alignment horizontal="center" vertical="top"/>
    </xf>
    <xf numFmtId="9" fontId="1" fillId="0" borderId="0" xfId="11" applyNumberFormat="1" applyFont="1" applyFill="1" applyBorder="1" applyAlignment="1" applyProtection="1">
      <alignment horizontal="center"/>
    </xf>
    <xf numFmtId="2" fontId="1" fillId="0" borderId="1" xfId="8" applyNumberFormat="1" applyFont="1" applyFill="1" applyBorder="1" applyAlignment="1">
      <alignment horizontal="center"/>
    </xf>
    <xf numFmtId="9" fontId="6" fillId="0" borderId="0" xfId="11" applyFont="1" applyFill="1" applyBorder="1" applyAlignment="1" applyProtection="1">
      <alignment horizontal="right"/>
    </xf>
    <xf numFmtId="0" fontId="83" fillId="0" borderId="39" xfId="8" applyFont="1" applyFill="1" applyBorder="1" applyAlignment="1" applyProtection="1">
      <alignment horizontal="right" vertical="top"/>
    </xf>
    <xf numFmtId="9" fontId="8" fillId="0" borderId="0" xfId="11" applyFont="1" applyFill="1" applyBorder="1" applyAlignment="1" applyProtection="1"/>
    <xf numFmtId="0" fontId="83" fillId="0" borderId="0" xfId="8" applyFont="1" applyFill="1" applyBorder="1" applyAlignment="1" applyProtection="1">
      <alignment horizontal="right" vertical="top"/>
    </xf>
    <xf numFmtId="0" fontId="1" fillId="0" borderId="0" xfId="8" applyFont="1" applyFill="1" applyBorder="1" applyAlignment="1">
      <alignment horizontal="right"/>
    </xf>
    <xf numFmtId="0" fontId="1" fillId="0" borderId="41" xfId="8" applyFont="1" applyFill="1" applyBorder="1"/>
    <xf numFmtId="0" fontId="7" fillId="0" borderId="42" xfId="8" applyFont="1" applyFill="1" applyBorder="1" applyAlignment="1">
      <alignment wrapText="1"/>
    </xf>
    <xf numFmtId="0" fontId="1" fillId="0" borderId="42" xfId="8" applyFont="1" applyFill="1" applyBorder="1"/>
    <xf numFmtId="0" fontId="1" fillId="0" borderId="43" xfId="8" applyFont="1" applyFill="1" applyBorder="1"/>
    <xf numFmtId="0" fontId="1" fillId="7" borderId="9" xfId="8" applyFont="1" applyFill="1" applyBorder="1" applyAlignment="1" applyProtection="1">
      <alignment horizontal="center"/>
      <protection locked="0"/>
    </xf>
    <xf numFmtId="0" fontId="84" fillId="4" borderId="0" xfId="8" applyFont="1" applyFill="1" applyAlignment="1" applyProtection="1">
      <alignment vertical="top" wrapText="1"/>
    </xf>
    <xf numFmtId="0" fontId="84" fillId="4" borderId="0" xfId="8" applyFont="1" applyFill="1" applyAlignment="1" applyProtection="1">
      <alignment horizontal="left" vertical="top" wrapText="1"/>
    </xf>
    <xf numFmtId="0" fontId="85" fillId="4" borderId="0" xfId="8" applyFont="1" applyFill="1" applyProtection="1"/>
    <xf numFmtId="0" fontId="85" fillId="4" borderId="0" xfId="8" applyFont="1" applyFill="1"/>
    <xf numFmtId="0" fontId="85" fillId="4" borderId="0" xfId="8" applyFont="1" applyFill="1" applyAlignment="1">
      <alignment horizontal="center"/>
    </xf>
    <xf numFmtId="0" fontId="86" fillId="4" borderId="0" xfId="8" applyFont="1" applyFill="1" applyAlignment="1">
      <alignment horizontal="center"/>
    </xf>
    <xf numFmtId="0" fontId="88" fillId="4" borderId="0" xfId="0" applyFont="1" applyFill="1"/>
    <xf numFmtId="0" fontId="1" fillId="0" borderId="13" xfId="8" applyBorder="1" applyProtection="1"/>
    <xf numFmtId="0" fontId="1" fillId="0" borderId="5" xfId="8" applyBorder="1" applyProtection="1"/>
    <xf numFmtId="0" fontId="1" fillId="0" borderId="7" xfId="8" applyBorder="1"/>
    <xf numFmtId="0" fontId="32" fillId="0" borderId="0" xfId="8" applyFont="1" applyBorder="1" applyAlignment="1">
      <alignment wrapText="1"/>
    </xf>
    <xf numFmtId="0" fontId="12" fillId="0" borderId="7" xfId="8" applyFont="1" applyBorder="1" applyAlignment="1" applyProtection="1">
      <alignment horizontal="left"/>
    </xf>
    <xf numFmtId="0" fontId="44" fillId="0" borderId="0" xfId="8" applyFont="1" applyBorder="1" applyProtection="1"/>
    <xf numFmtId="0" fontId="19" fillId="0" borderId="0" xfId="8" applyFont="1" applyBorder="1" applyAlignment="1" applyProtection="1">
      <alignment horizontal="left"/>
    </xf>
    <xf numFmtId="0" fontId="40" fillId="0" borderId="0" xfId="8" applyFont="1" applyBorder="1" applyProtection="1"/>
    <xf numFmtId="0" fontId="13" fillId="0" borderId="0" xfId="8" applyFont="1" applyBorder="1" applyAlignment="1" applyProtection="1">
      <alignment horizontal="left"/>
    </xf>
    <xf numFmtId="169" fontId="13" fillId="0" borderId="0" xfId="8" applyNumberFormat="1" applyFont="1" applyBorder="1" applyAlignment="1" applyProtection="1">
      <alignment horizontal="center"/>
    </xf>
    <xf numFmtId="0" fontId="1" fillId="0" borderId="11" xfId="8" applyBorder="1" applyProtection="1"/>
    <xf numFmtId="0" fontId="1" fillId="0" borderId="4" xfId="8" applyBorder="1" applyProtection="1"/>
    <xf numFmtId="0" fontId="0" fillId="0" borderId="2" xfId="0" applyBorder="1"/>
    <xf numFmtId="0" fontId="0" fillId="0" borderId="6" xfId="0" applyBorder="1"/>
    <xf numFmtId="0" fontId="0" fillId="0" borderId="12" xfId="0" applyBorder="1"/>
    <xf numFmtId="0" fontId="0" fillId="6" borderId="0" xfId="0" applyFill="1"/>
    <xf numFmtId="0" fontId="29" fillId="4" borderId="0" xfId="8" applyFont="1" applyFill="1" applyAlignment="1" applyProtection="1">
      <alignment horizontal="center"/>
    </xf>
    <xf numFmtId="0" fontId="27" fillId="4" borderId="0" xfId="8" applyFont="1" applyFill="1" applyAlignment="1" applyProtection="1">
      <alignment vertical="center" wrapText="1"/>
    </xf>
    <xf numFmtId="4" fontId="41" fillId="4" borderId="0" xfId="8" applyNumberFormat="1" applyFont="1" applyFill="1" applyBorder="1" applyAlignment="1" applyProtection="1"/>
    <xf numFmtId="0" fontId="6" fillId="4" borderId="0" xfId="8" applyFont="1" applyFill="1" applyAlignment="1" applyProtection="1">
      <alignment horizontal="center"/>
    </xf>
    <xf numFmtId="0" fontId="30" fillId="4" borderId="0" xfId="7" applyFill="1" applyAlignment="1">
      <alignment horizontal="left"/>
    </xf>
    <xf numFmtId="0" fontId="60" fillId="4" borderId="0" xfId="7" applyFont="1" applyFill="1" applyAlignment="1">
      <alignment horizontal="left"/>
    </xf>
    <xf numFmtId="0" fontId="10" fillId="4" borderId="0" xfId="7" applyFont="1" applyFill="1" applyAlignment="1">
      <alignment horizontal="left"/>
    </xf>
    <xf numFmtId="0" fontId="10" fillId="4" borderId="13" xfId="7" applyFont="1" applyFill="1" applyBorder="1" applyAlignment="1">
      <alignment horizontal="left"/>
    </xf>
    <xf numFmtId="0" fontId="10" fillId="4" borderId="6" xfId="7" applyFont="1" applyFill="1" applyBorder="1" applyAlignment="1">
      <alignment horizontal="left"/>
    </xf>
    <xf numFmtId="0" fontId="30" fillId="4" borderId="7" xfId="7" applyFill="1" applyBorder="1" applyAlignment="1">
      <alignment horizontal="left"/>
    </xf>
    <xf numFmtId="0" fontId="30" fillId="4" borderId="2" xfId="7" applyFill="1" applyBorder="1" applyAlignment="1">
      <alignment horizontal="left"/>
    </xf>
    <xf numFmtId="0" fontId="4" fillId="4" borderId="1" xfId="7" applyFont="1" applyFill="1" applyBorder="1" applyAlignment="1">
      <alignment horizontal="left"/>
    </xf>
    <xf numFmtId="0" fontId="6" fillId="4" borderId="0" xfId="7" applyFont="1" applyFill="1" applyAlignment="1">
      <alignment horizontal="left"/>
    </xf>
    <xf numFmtId="0" fontId="11" fillId="4" borderId="0" xfId="7" applyFont="1" applyFill="1" applyAlignment="1">
      <alignment horizontal="left"/>
    </xf>
    <xf numFmtId="0" fontId="30" fillId="4" borderId="1" xfId="7" applyFill="1" applyBorder="1" applyAlignment="1">
      <alignment horizontal="center"/>
    </xf>
    <xf numFmtId="0" fontId="30" fillId="4" borderId="7" xfId="7" applyFill="1" applyBorder="1" applyAlignment="1">
      <alignment horizontal="center"/>
    </xf>
    <xf numFmtId="0" fontId="30" fillId="4" borderId="0" xfId="7" applyFill="1" applyAlignment="1"/>
    <xf numFmtId="0" fontId="30" fillId="4" borderId="0" xfId="7" applyFill="1" applyAlignment="1">
      <alignment horizontal="right"/>
    </xf>
    <xf numFmtId="0" fontId="30" fillId="4" borderId="44" xfId="7" applyFill="1" applyBorder="1" applyAlignment="1">
      <alignment horizontal="center"/>
    </xf>
    <xf numFmtId="0" fontId="30" fillId="4" borderId="11" xfId="7" applyFill="1" applyBorder="1" applyAlignment="1">
      <alignment horizontal="center"/>
    </xf>
    <xf numFmtId="0" fontId="30" fillId="4" borderId="12" xfId="7" applyFill="1" applyBorder="1" applyAlignment="1">
      <alignment horizontal="left"/>
    </xf>
    <xf numFmtId="0" fontId="30" fillId="4" borderId="13" xfId="7" applyFill="1" applyBorder="1" applyAlignment="1"/>
    <xf numFmtId="0" fontId="30" fillId="4" borderId="5" xfId="7" applyFill="1" applyBorder="1" applyAlignment="1">
      <alignment horizontal="left"/>
    </xf>
    <xf numFmtId="0" fontId="30" fillId="4" borderId="6" xfId="7" applyFill="1" applyBorder="1" applyAlignment="1">
      <alignment horizontal="left"/>
    </xf>
    <xf numFmtId="0" fontId="30" fillId="4" borderId="0" xfId="7" applyFill="1" applyBorder="1" applyAlignment="1">
      <alignment horizontal="left"/>
    </xf>
    <xf numFmtId="0" fontId="6" fillId="4" borderId="7" xfId="7" applyFont="1" applyFill="1" applyBorder="1" applyAlignment="1">
      <alignment horizontal="right"/>
    </xf>
    <xf numFmtId="0" fontId="6" fillId="4" borderId="0" xfId="7" applyFont="1" applyFill="1" applyBorder="1" applyAlignment="1">
      <alignment horizontal="left"/>
    </xf>
    <xf numFmtId="0" fontId="30" fillId="4" borderId="0" xfId="7" applyFill="1" applyBorder="1" applyAlignment="1"/>
    <xf numFmtId="0" fontId="8" fillId="4" borderId="7" xfId="7" applyFont="1" applyFill="1" applyBorder="1" applyAlignment="1">
      <alignment horizontal="left"/>
    </xf>
    <xf numFmtId="0" fontId="30" fillId="4" borderId="0" xfId="7" applyFill="1" applyBorder="1" applyAlignment="1">
      <alignment horizontal="center"/>
    </xf>
    <xf numFmtId="164" fontId="30" fillId="4" borderId="8" xfId="7" applyNumberFormat="1" applyFill="1" applyBorder="1" applyAlignment="1">
      <alignment horizontal="center"/>
    </xf>
    <xf numFmtId="164" fontId="30" fillId="4" borderId="0" xfId="7" applyNumberFormat="1" applyFill="1" applyBorder="1" applyAlignment="1">
      <alignment horizontal="center"/>
    </xf>
    <xf numFmtId="0" fontId="30" fillId="4" borderId="0" xfId="7" quotePrefix="1" applyFill="1" applyBorder="1" applyAlignment="1">
      <alignment horizontal="center"/>
    </xf>
    <xf numFmtId="164" fontId="12" fillId="4" borderId="8" xfId="7" applyNumberFormat="1" applyFont="1" applyFill="1" applyBorder="1" applyAlignment="1">
      <alignment horizontal="center"/>
    </xf>
    <xf numFmtId="0" fontId="30" fillId="4" borderId="11" xfId="7" applyFill="1" applyBorder="1" applyAlignment="1">
      <alignment horizontal="left"/>
    </xf>
    <xf numFmtId="0" fontId="30" fillId="4" borderId="4" xfId="7" applyFill="1" applyBorder="1" applyAlignment="1">
      <alignment horizontal="left"/>
    </xf>
    <xf numFmtId="3" fontId="7" fillId="4" borderId="4" xfId="7" applyNumberFormat="1" applyFont="1" applyFill="1" applyBorder="1" applyAlignment="1">
      <alignment horizontal="center"/>
    </xf>
    <xf numFmtId="0" fontId="30" fillId="4" borderId="0" xfId="7" applyFill="1" applyAlignment="1">
      <alignment horizontal="center"/>
    </xf>
    <xf numFmtId="0" fontId="4" fillId="4" borderId="1" xfId="7" applyFont="1" applyFill="1" applyBorder="1" applyAlignment="1">
      <alignment horizontal="center"/>
    </xf>
    <xf numFmtId="0" fontId="30" fillId="4" borderId="0" xfId="7" quotePrefix="1" applyFill="1" applyAlignment="1">
      <alignment horizontal="center"/>
    </xf>
    <xf numFmtId="2" fontId="30" fillId="4" borderId="4" xfId="7" applyNumberFormat="1" applyFill="1" applyBorder="1" applyAlignment="1">
      <alignment horizontal="center"/>
    </xf>
    <xf numFmtId="2" fontId="13" fillId="4" borderId="0" xfId="7" applyNumberFormat="1" applyFont="1" applyFill="1" applyAlignment="1"/>
    <xf numFmtId="0" fontId="79" fillId="4" borderId="1" xfId="7" applyFont="1" applyFill="1" applyBorder="1" applyAlignment="1">
      <alignment horizontal="center"/>
    </xf>
    <xf numFmtId="0" fontId="30" fillId="4" borderId="13" xfId="7" applyFill="1" applyBorder="1" applyAlignment="1">
      <alignment horizontal="left"/>
    </xf>
    <xf numFmtId="0" fontId="30" fillId="4" borderId="5" xfId="7" applyFill="1" applyBorder="1" applyAlignment="1">
      <alignment horizontal="center"/>
    </xf>
    <xf numFmtId="0" fontId="14" fillId="4" borderId="0" xfId="7" applyFont="1" applyFill="1" applyAlignment="1">
      <alignment horizontal="right"/>
    </xf>
    <xf numFmtId="0" fontId="30" fillId="4" borderId="2" xfId="7" applyFill="1" applyBorder="1" applyAlignment="1">
      <alignment horizontal="center"/>
    </xf>
    <xf numFmtId="0" fontId="6" fillId="4" borderId="7" xfId="7" applyFont="1" applyFill="1" applyBorder="1" applyAlignment="1">
      <alignment horizontal="center"/>
    </xf>
    <xf numFmtId="0" fontId="6" fillId="4" borderId="0" xfId="7" applyFont="1" applyFill="1" applyAlignment="1">
      <alignment horizontal="center"/>
    </xf>
    <xf numFmtId="0" fontId="6" fillId="4" borderId="2" xfId="7" applyFont="1" applyFill="1" applyBorder="1" applyAlignment="1">
      <alignment horizontal="center"/>
    </xf>
    <xf numFmtId="16" fontId="30" fillId="4" borderId="0" xfId="7" quotePrefix="1" applyNumberFormat="1" applyFill="1" applyAlignment="1">
      <alignment horizontal="center"/>
    </xf>
    <xf numFmtId="0" fontId="30" fillId="4" borderId="4" xfId="7" applyFill="1" applyBorder="1" applyAlignment="1">
      <alignment horizontal="center"/>
    </xf>
    <xf numFmtId="0" fontId="30" fillId="4" borderId="12" xfId="7" applyFill="1" applyBorder="1" applyAlignment="1">
      <alignment horizontal="center"/>
    </xf>
    <xf numFmtId="0" fontId="1" fillId="7" borderId="53" xfId="8" applyFill="1" applyBorder="1" applyAlignment="1" applyProtection="1">
      <alignment horizontal="center"/>
      <protection locked="0"/>
    </xf>
    <xf numFmtId="0" fontId="80" fillId="0" borderId="0" xfId="8" applyFont="1" applyFill="1" applyBorder="1" applyAlignment="1" applyProtection="1">
      <alignment horizontal="center"/>
    </xf>
    <xf numFmtId="0" fontId="93" fillId="0" borderId="0" xfId="8" applyFont="1" applyFill="1" applyBorder="1" applyAlignment="1" applyProtection="1">
      <alignment horizontal="center"/>
    </xf>
    <xf numFmtId="0" fontId="8" fillId="8" borderId="0" xfId="3" applyFill="1" applyProtection="1"/>
    <xf numFmtId="0" fontId="49" fillId="8" borderId="0" xfId="8" applyFont="1" applyFill="1" applyAlignment="1" applyProtection="1">
      <alignment vertical="top" wrapText="1"/>
    </xf>
    <xf numFmtId="0" fontId="1" fillId="0" borderId="0" xfId="8" applyFill="1" applyBorder="1" applyAlignment="1" applyProtection="1">
      <alignment horizontal="center"/>
    </xf>
    <xf numFmtId="0" fontId="3" fillId="0" borderId="37" xfId="2" applyFill="1" applyBorder="1" applyAlignment="1" applyProtection="1">
      <protection locked="0"/>
    </xf>
    <xf numFmtId="0" fontId="8" fillId="0" borderId="0" xfId="8" applyFont="1" applyFill="1" applyBorder="1" applyAlignment="1" applyProtection="1">
      <alignment horizontal="right" vertical="center"/>
    </xf>
    <xf numFmtId="0" fontId="8" fillId="8" borderId="0" xfId="3" applyFill="1" applyAlignment="1" applyProtection="1"/>
    <xf numFmtId="9" fontId="87" fillId="4" borderId="39" xfId="11" applyFont="1" applyFill="1" applyBorder="1" applyAlignment="1" applyProtection="1">
      <alignment horizontal="center"/>
    </xf>
    <xf numFmtId="0" fontId="39" fillId="0" borderId="40" xfId="8" applyFont="1" applyFill="1" applyBorder="1" applyAlignment="1" applyProtection="1">
      <alignment horizontal="left"/>
    </xf>
    <xf numFmtId="0" fontId="39" fillId="0" borderId="40" xfId="8" applyFont="1" applyFill="1" applyBorder="1"/>
    <xf numFmtId="0" fontId="1" fillId="4" borderId="0" xfId="8" applyFill="1" applyAlignment="1" applyProtection="1">
      <alignment horizontal="left"/>
    </xf>
    <xf numFmtId="0" fontId="12" fillId="4" borderId="0" xfId="8" applyFont="1" applyFill="1" applyBorder="1" applyAlignment="1" applyProtection="1">
      <alignment horizontal="left"/>
    </xf>
    <xf numFmtId="0" fontId="1" fillId="4" borderId="0" xfId="8" applyFill="1" applyAlignment="1" applyProtection="1">
      <alignment horizontal="right"/>
    </xf>
    <xf numFmtId="0" fontId="1" fillId="4" borderId="0" xfId="8" applyFill="1" applyAlignment="1" applyProtection="1"/>
    <xf numFmtId="0" fontId="1" fillId="4" borderId="54" xfId="8" applyFill="1" applyBorder="1" applyProtection="1"/>
    <xf numFmtId="0" fontId="1" fillId="4" borderId="55" xfId="8" applyFill="1" applyBorder="1" applyProtection="1"/>
    <xf numFmtId="0" fontId="0" fillId="4" borderId="56" xfId="0" applyFill="1" applyBorder="1"/>
    <xf numFmtId="0" fontId="1" fillId="4" borderId="57" xfId="8" applyFill="1" applyBorder="1" applyAlignment="1" applyProtection="1">
      <alignment horizontal="left"/>
    </xf>
    <xf numFmtId="0" fontId="1" fillId="4" borderId="0" xfId="8" applyFill="1" applyBorder="1" applyAlignment="1" applyProtection="1">
      <alignment horizontal="left"/>
    </xf>
    <xf numFmtId="0" fontId="1" fillId="4" borderId="0" xfId="8" applyFill="1" applyBorder="1" applyProtection="1"/>
    <xf numFmtId="0" fontId="0" fillId="4" borderId="58" xfId="0" applyFill="1" applyBorder="1"/>
    <xf numFmtId="0" fontId="1" fillId="4" borderId="57" xfId="8" applyFill="1" applyBorder="1" applyProtection="1"/>
    <xf numFmtId="0" fontId="12" fillId="4" borderId="57" xfId="8" applyFont="1" applyFill="1" applyBorder="1" applyAlignment="1" applyProtection="1">
      <alignment horizontal="left"/>
    </xf>
    <xf numFmtId="0" fontId="12" fillId="4" borderId="0" xfId="8" applyFont="1" applyFill="1" applyBorder="1" applyAlignment="1" applyProtection="1">
      <alignment horizontal="center"/>
    </xf>
    <xf numFmtId="0" fontId="13" fillId="4" borderId="0" xfId="8" applyFont="1" applyFill="1" applyBorder="1" applyAlignment="1" applyProtection="1">
      <alignment horizontal="center"/>
    </xf>
    <xf numFmtId="0" fontId="44" fillId="4" borderId="57" xfId="8" applyFont="1" applyFill="1" applyBorder="1" applyAlignment="1" applyProtection="1">
      <alignment horizontal="left"/>
    </xf>
    <xf numFmtId="0" fontId="1" fillId="4" borderId="0" xfId="8" applyFill="1" applyBorder="1" applyAlignment="1" applyProtection="1">
      <alignment horizontal="center"/>
    </xf>
    <xf numFmtId="0" fontId="22" fillId="4" borderId="0" xfId="8" applyFont="1" applyFill="1" applyBorder="1" applyAlignment="1" applyProtection="1">
      <alignment horizontal="left"/>
    </xf>
    <xf numFmtId="0" fontId="1" fillId="4" borderId="0" xfId="8" applyFill="1" applyBorder="1" applyAlignment="1" applyProtection="1"/>
    <xf numFmtId="0" fontId="1" fillId="4" borderId="0" xfId="8" applyFill="1" applyBorder="1" applyAlignment="1" applyProtection="1">
      <alignment horizontal="right"/>
    </xf>
    <xf numFmtId="0" fontId="1" fillId="4" borderId="59" xfId="8" applyFill="1" applyBorder="1" applyProtection="1"/>
    <xf numFmtId="0" fontId="1" fillId="4" borderId="60" xfId="8" applyFill="1" applyBorder="1" applyProtection="1"/>
    <xf numFmtId="0" fontId="0" fillId="4" borderId="61" xfId="0" applyFill="1" applyBorder="1"/>
    <xf numFmtId="0" fontId="29" fillId="4" borderId="0" xfId="8" applyFont="1" applyFill="1" applyAlignment="1" applyProtection="1">
      <alignment horizontal="left"/>
    </xf>
    <xf numFmtId="0" fontId="30" fillId="4" borderId="0" xfId="8" applyFont="1" applyFill="1" applyAlignment="1" applyProtection="1">
      <alignment horizontal="left"/>
    </xf>
    <xf numFmtId="4" fontId="31" fillId="4" borderId="0" xfId="8" applyNumberFormat="1" applyFont="1" applyFill="1" applyBorder="1" applyAlignment="1" applyProtection="1">
      <alignment horizontal="center"/>
    </xf>
    <xf numFmtId="0" fontId="7" fillId="4" borderId="0" xfId="8" applyFont="1" applyFill="1" applyAlignment="1" applyProtection="1">
      <alignment horizontal="left"/>
    </xf>
    <xf numFmtId="0" fontId="1" fillId="0" borderId="0" xfId="8" applyFill="1" applyAlignment="1" applyProtection="1">
      <alignment horizontal="left"/>
    </xf>
    <xf numFmtId="0" fontId="82" fillId="0" borderId="0" xfId="0" applyFont="1" applyFill="1" applyBorder="1" applyAlignment="1" applyProtection="1">
      <alignment horizontal="center" vertical="top"/>
    </xf>
    <xf numFmtId="0" fontId="74" fillId="0" borderId="0" xfId="0" applyFont="1" applyFill="1" applyBorder="1" applyAlignment="1">
      <alignment horizontal="center"/>
    </xf>
    <xf numFmtId="0" fontId="74" fillId="0" borderId="0" xfId="0" applyFont="1" applyFill="1" applyBorder="1"/>
    <xf numFmtId="4" fontId="1" fillId="0" borderId="0" xfId="8" applyNumberFormat="1" applyFill="1" applyBorder="1" applyAlignment="1" applyProtection="1">
      <alignment horizontal="left"/>
    </xf>
    <xf numFmtId="0" fontId="30" fillId="5" borderId="0" xfId="7" applyFill="1" applyAlignment="1">
      <alignment horizontal="left"/>
    </xf>
    <xf numFmtId="0" fontId="30" fillId="5" borderId="0" xfId="7" applyFill="1" applyAlignment="1"/>
    <xf numFmtId="0" fontId="61" fillId="5" borderId="0" xfId="7" applyFont="1" applyFill="1" applyAlignment="1">
      <alignment horizontal="left"/>
    </xf>
    <xf numFmtId="0" fontId="5" fillId="5" borderId="0" xfId="7" applyFont="1" applyFill="1" applyAlignment="1">
      <alignment horizontal="left"/>
    </xf>
    <xf numFmtId="0" fontId="30" fillId="5" borderId="0" xfId="7" applyFont="1" applyFill="1" applyAlignment="1">
      <alignment horizontal="left"/>
    </xf>
    <xf numFmtId="0" fontId="65" fillId="5" borderId="0" xfId="7" applyFont="1" applyFill="1" applyAlignment="1">
      <alignment horizontal="left"/>
    </xf>
    <xf numFmtId="0" fontId="15" fillId="5" borderId="0" xfId="7" applyFont="1" applyFill="1" applyAlignment="1">
      <alignment horizontal="center"/>
    </xf>
    <xf numFmtId="0" fontId="30" fillId="5" borderId="0" xfId="7" applyFill="1" applyBorder="1" applyAlignment="1">
      <alignment horizontal="left"/>
    </xf>
    <xf numFmtId="0" fontId="13" fillId="5" borderId="0" xfId="7" applyFont="1" applyFill="1" applyBorder="1" applyAlignment="1">
      <alignment horizontal="left"/>
    </xf>
    <xf numFmtId="0" fontId="30" fillId="5" borderId="0" xfId="7" applyFill="1" applyBorder="1" applyAlignment="1">
      <alignment horizontal="center"/>
    </xf>
    <xf numFmtId="0" fontId="30" fillId="5" borderId="0" xfId="7" applyFill="1" applyBorder="1" applyAlignment="1"/>
    <xf numFmtId="0" fontId="30" fillId="5" borderId="0" xfId="7" applyFill="1" applyBorder="1" applyAlignment="1">
      <alignment horizontal="right"/>
    </xf>
    <xf numFmtId="0" fontId="6" fillId="5" borderId="0" xfId="7" applyFont="1" applyFill="1" applyBorder="1" applyAlignment="1">
      <alignment horizontal="left"/>
    </xf>
    <xf numFmtId="0" fontId="6" fillId="5" borderId="0" xfId="7" applyFont="1" applyFill="1" applyBorder="1" applyAlignment="1">
      <alignment horizontal="center"/>
    </xf>
    <xf numFmtId="0" fontId="1" fillId="5" borderId="0" xfId="8" applyFill="1" applyBorder="1" applyAlignment="1">
      <alignment horizontal="center"/>
    </xf>
    <xf numFmtId="0" fontId="4" fillId="5" borderId="1" xfId="7" applyFont="1" applyFill="1" applyBorder="1" applyAlignment="1">
      <alignment horizontal="center"/>
    </xf>
    <xf numFmtId="0" fontId="4" fillId="5" borderId="25" xfId="7" applyFont="1" applyFill="1" applyBorder="1" applyAlignment="1">
      <alignment horizontal="center"/>
    </xf>
    <xf numFmtId="0" fontId="4" fillId="5" borderId="9" xfId="7" applyFont="1" applyFill="1" applyBorder="1" applyAlignment="1">
      <alignment horizontal="center"/>
    </xf>
    <xf numFmtId="0" fontId="4" fillId="5" borderId="12" xfId="7" applyFont="1" applyFill="1" applyBorder="1" applyAlignment="1">
      <alignment horizontal="center"/>
    </xf>
    <xf numFmtId="0" fontId="30" fillId="5" borderId="0" xfId="7" applyFont="1" applyFill="1" applyBorder="1" applyAlignment="1">
      <alignment horizontal="center"/>
    </xf>
    <xf numFmtId="0" fontId="23" fillId="5" borderId="0" xfId="7" applyFont="1" applyFill="1" applyAlignment="1">
      <alignment horizontal="left"/>
    </xf>
    <xf numFmtId="3" fontId="7" fillId="5" borderId="1" xfId="7" applyNumberFormat="1" applyFont="1" applyFill="1" applyBorder="1" applyAlignment="1">
      <alignment horizontal="center"/>
    </xf>
    <xf numFmtId="0" fontId="7" fillId="5" borderId="0" xfId="7" applyFont="1" applyFill="1" applyBorder="1" applyAlignment="1">
      <alignment horizontal="center"/>
    </xf>
    <xf numFmtId="3" fontId="7" fillId="5" borderId="0" xfId="7" applyNumberFormat="1" applyFont="1" applyFill="1" applyBorder="1" applyAlignment="1">
      <alignment horizontal="center"/>
    </xf>
    <xf numFmtId="0" fontId="30" fillId="5" borderId="0" xfId="7" applyFill="1" applyAlignment="1">
      <alignment horizontal="right"/>
    </xf>
    <xf numFmtId="0" fontId="7" fillId="5" borderId="0" xfId="7" applyFont="1" applyFill="1" applyAlignment="1">
      <alignment horizontal="center"/>
    </xf>
    <xf numFmtId="3" fontId="30" fillId="5" borderId="0" xfId="7" applyNumberFormat="1" applyFill="1" applyAlignment="1">
      <alignment horizontal="right"/>
    </xf>
    <xf numFmtId="0" fontId="30" fillId="5" borderId="0" xfId="7" applyFill="1" applyAlignment="1" applyProtection="1">
      <alignment horizontal="left"/>
      <protection locked="0"/>
    </xf>
    <xf numFmtId="0" fontId="13" fillId="5" borderId="0" xfId="7" applyFont="1" applyFill="1" applyAlignment="1">
      <alignment horizontal="left"/>
    </xf>
    <xf numFmtId="0" fontId="65" fillId="5" borderId="0" xfId="7" applyFont="1" applyFill="1" applyAlignment="1"/>
    <xf numFmtId="0" fontId="30" fillId="5" borderId="14" xfId="7" applyFill="1" applyBorder="1" applyAlignment="1">
      <alignment horizontal="left"/>
    </xf>
    <xf numFmtId="0" fontId="30" fillId="5" borderId="15" xfId="7" applyFill="1" applyBorder="1" applyAlignment="1">
      <alignment horizontal="left"/>
    </xf>
    <xf numFmtId="0" fontId="30" fillId="5" borderId="15" xfId="7" applyFill="1" applyBorder="1" applyAlignment="1">
      <alignment horizontal="center"/>
    </xf>
    <xf numFmtId="0" fontId="30" fillId="5" borderId="16" xfId="7" applyFill="1" applyBorder="1" applyAlignment="1">
      <alignment horizontal="left"/>
    </xf>
    <xf numFmtId="0" fontId="30" fillId="5" borderId="17" xfId="7" applyFill="1" applyBorder="1" applyAlignment="1">
      <alignment horizontal="left"/>
    </xf>
    <xf numFmtId="0" fontId="30" fillId="5" borderId="18" xfId="7" applyFill="1" applyBorder="1" applyAlignment="1">
      <alignment horizontal="left"/>
    </xf>
    <xf numFmtId="0" fontId="30" fillId="5" borderId="19" xfId="7" applyFill="1" applyBorder="1" applyAlignment="1">
      <alignment horizontal="left"/>
    </xf>
    <xf numFmtId="0" fontId="30" fillId="5" borderId="0" xfId="7" applyFill="1" applyAlignment="1">
      <alignment horizontal="center"/>
    </xf>
    <xf numFmtId="0" fontId="30" fillId="5" borderId="0" xfId="7" applyFont="1" applyFill="1" applyAlignment="1">
      <alignment horizontal="center"/>
    </xf>
    <xf numFmtId="0" fontId="1" fillId="5" borderId="0" xfId="8" applyFill="1" applyAlignment="1">
      <alignment horizontal="center"/>
    </xf>
    <xf numFmtId="0" fontId="4" fillId="5" borderId="1" xfId="7" applyFont="1" applyFill="1" applyBorder="1" applyAlignment="1">
      <alignment horizontal="left"/>
    </xf>
    <xf numFmtId="0" fontId="4" fillId="5" borderId="7" xfId="7" applyFont="1" applyFill="1" applyBorder="1" applyAlignment="1">
      <alignment horizontal="left"/>
    </xf>
    <xf numFmtId="0" fontId="4" fillId="5" borderId="9" xfId="7" applyFont="1" applyFill="1" applyBorder="1" applyAlignment="1">
      <alignment horizontal="left"/>
    </xf>
    <xf numFmtId="0" fontId="24" fillId="5" borderId="0" xfId="7" applyFont="1" applyFill="1" applyAlignment="1">
      <alignment horizontal="left"/>
    </xf>
    <xf numFmtId="0" fontId="24" fillId="5" borderId="0" xfId="7" applyFont="1" applyFill="1" applyBorder="1" applyAlignment="1">
      <alignment horizontal="right"/>
    </xf>
    <xf numFmtId="0" fontId="24" fillId="5" borderId="19" xfId="7" applyFont="1" applyFill="1" applyBorder="1" applyAlignment="1">
      <alignment horizontal="left"/>
    </xf>
    <xf numFmtId="0" fontId="30" fillId="5" borderId="20" xfId="7" applyFill="1" applyBorder="1" applyAlignment="1">
      <alignment horizontal="left"/>
    </xf>
    <xf numFmtId="0" fontId="30" fillId="5" borderId="21" xfId="7" applyFill="1" applyBorder="1" applyAlignment="1">
      <alignment horizontal="left"/>
    </xf>
    <xf numFmtId="0" fontId="30" fillId="5" borderId="21" xfId="7" applyFont="1" applyFill="1" applyBorder="1" applyAlignment="1">
      <alignment horizontal="right"/>
    </xf>
    <xf numFmtId="3" fontId="7" fillId="5" borderId="22" xfId="7" applyNumberFormat="1" applyFont="1" applyFill="1" applyBorder="1" applyAlignment="1">
      <alignment horizontal="center"/>
    </xf>
    <xf numFmtId="0" fontId="8" fillId="5" borderId="0" xfId="3" applyFill="1" applyProtection="1"/>
    <xf numFmtId="0" fontId="8" fillId="5" borderId="62" xfId="3" applyFill="1" applyBorder="1" applyProtection="1"/>
    <xf numFmtId="0" fontId="8" fillId="5" borderId="63" xfId="3" applyFill="1" applyBorder="1" applyProtection="1"/>
    <xf numFmtId="0" fontId="8" fillId="5" borderId="64" xfId="3" applyFill="1" applyBorder="1" applyProtection="1"/>
    <xf numFmtId="0" fontId="8" fillId="5" borderId="65" xfId="3" applyFill="1" applyBorder="1" applyProtection="1"/>
    <xf numFmtId="0" fontId="61" fillId="5" borderId="0" xfId="7" applyFont="1" applyFill="1" applyBorder="1" applyAlignment="1">
      <alignment horizontal="left"/>
    </xf>
    <xf numFmtId="0" fontId="5" fillId="5" borderId="0" xfId="7" applyFont="1" applyFill="1" applyBorder="1" applyAlignment="1">
      <alignment horizontal="left"/>
    </xf>
    <xf numFmtId="0" fontId="8" fillId="5" borderId="0" xfId="3" applyFill="1" applyBorder="1" applyProtection="1"/>
    <xf numFmtId="0" fontId="8" fillId="5" borderId="66" xfId="3" applyFill="1" applyBorder="1" applyProtection="1"/>
    <xf numFmtId="0" fontId="22" fillId="5" borderId="1" xfId="7" applyFont="1" applyFill="1" applyBorder="1" applyAlignment="1">
      <alignment horizontal="center"/>
    </xf>
    <xf numFmtId="0" fontId="30" fillId="5" borderId="0" xfId="7" applyFont="1" applyFill="1" applyBorder="1" applyAlignment="1"/>
    <xf numFmtId="0" fontId="30" fillId="5" borderId="23" xfId="7" applyFill="1" applyBorder="1" applyAlignment="1">
      <alignment horizontal="left"/>
    </xf>
    <xf numFmtId="3" fontId="7" fillId="5" borderId="8" xfId="7" applyNumberFormat="1" applyFont="1" applyFill="1" applyBorder="1" applyAlignment="1">
      <alignment horizontal="center"/>
    </xf>
    <xf numFmtId="0" fontId="8" fillId="5" borderId="67" xfId="3" applyFill="1" applyBorder="1" applyProtection="1"/>
    <xf numFmtId="0" fontId="8" fillId="5" borderId="68" xfId="3" applyFill="1" applyBorder="1" applyProtection="1"/>
    <xf numFmtId="0" fontId="8" fillId="5" borderId="69" xfId="3" applyFill="1" applyBorder="1" applyProtection="1"/>
    <xf numFmtId="0" fontId="8" fillId="5" borderId="54" xfId="3" applyFill="1" applyBorder="1" applyProtection="1"/>
    <xf numFmtId="0" fontId="8" fillId="5" borderId="55" xfId="3" applyFill="1" applyBorder="1" applyProtection="1"/>
    <xf numFmtId="0" fontId="8" fillId="5" borderId="55" xfId="3" applyFill="1" applyBorder="1" applyProtection="1">
      <protection locked="0"/>
    </xf>
    <xf numFmtId="0" fontId="8" fillId="5" borderId="56" xfId="3" applyFill="1" applyBorder="1" applyProtection="1"/>
    <xf numFmtId="0" fontId="8" fillId="5" borderId="57" xfId="3" applyFill="1" applyBorder="1" applyAlignment="1" applyProtection="1"/>
    <xf numFmtId="0" fontId="8" fillId="5" borderId="58" xfId="3" applyFill="1" applyBorder="1" applyProtection="1"/>
    <xf numFmtId="0" fontId="8" fillId="5" borderId="57" xfId="3" applyFill="1" applyBorder="1" applyProtection="1"/>
    <xf numFmtId="0" fontId="8" fillId="5" borderId="0" xfId="10" applyFont="1" applyFill="1" applyBorder="1" applyAlignment="1" applyProtection="1">
      <alignment horizontal="left"/>
    </xf>
    <xf numFmtId="0" fontId="78" fillId="5" borderId="57" xfId="10" applyFont="1" applyFill="1" applyBorder="1" applyAlignment="1" applyProtection="1">
      <alignment horizontal="left"/>
    </xf>
    <xf numFmtId="0" fontId="8" fillId="5" borderId="0" xfId="3" applyFont="1" applyFill="1" applyBorder="1" applyAlignment="1" applyProtection="1">
      <alignment horizontal="left"/>
    </xf>
    <xf numFmtId="0" fontId="8" fillId="5" borderId="0" xfId="3" applyFill="1" applyBorder="1" applyAlignment="1" applyProtection="1">
      <alignment horizontal="left"/>
    </xf>
    <xf numFmtId="0" fontId="8" fillId="5" borderId="57" xfId="3" applyFill="1" applyBorder="1" applyAlignment="1" applyProtection="1">
      <alignment horizontal="left"/>
    </xf>
    <xf numFmtId="0" fontId="7" fillId="5" borderId="0" xfId="3" applyFont="1" applyFill="1" applyBorder="1" applyAlignment="1" applyProtection="1">
      <alignment horizontal="left"/>
    </xf>
    <xf numFmtId="0" fontId="8" fillId="5" borderId="0" xfId="10" applyFont="1" applyFill="1" applyBorder="1" applyAlignment="1" applyProtection="1">
      <alignment vertical="top" wrapText="1"/>
    </xf>
    <xf numFmtId="0" fontId="8" fillId="5" borderId="0" xfId="3" applyFill="1" applyBorder="1" applyAlignment="1" applyProtection="1">
      <alignment horizontal="right"/>
    </xf>
    <xf numFmtId="0" fontId="8" fillId="5" borderId="0" xfId="10" applyFont="1" applyFill="1" applyBorder="1" applyAlignment="1" applyProtection="1"/>
    <xf numFmtId="0" fontId="20" fillId="5" borderId="0" xfId="3" applyFont="1" applyFill="1" applyBorder="1" applyAlignment="1" applyProtection="1">
      <alignment vertical="center" wrapText="1"/>
    </xf>
    <xf numFmtId="0" fontId="20" fillId="5" borderId="58" xfId="3" applyFont="1" applyFill="1" applyBorder="1" applyAlignment="1" applyProtection="1">
      <alignment vertical="center" wrapText="1"/>
    </xf>
    <xf numFmtId="0" fontId="7" fillId="5" borderId="0" xfId="10" applyFont="1" applyFill="1" applyBorder="1" applyAlignment="1" applyProtection="1">
      <alignment horizontal="left"/>
    </xf>
    <xf numFmtId="0" fontId="8" fillId="5" borderId="57" xfId="10" applyFont="1" applyFill="1" applyBorder="1" applyAlignment="1" applyProtection="1">
      <alignment horizontal="left"/>
    </xf>
    <xf numFmtId="0" fontId="8" fillId="5" borderId="0" xfId="3" applyFont="1" applyFill="1" applyBorder="1" applyAlignment="1" applyProtection="1">
      <alignment horizontal="center"/>
    </xf>
    <xf numFmtId="0" fontId="18" fillId="5" borderId="0" xfId="10" applyFont="1" applyFill="1" applyBorder="1" applyAlignment="1" applyProtection="1">
      <alignment horizontal="right"/>
    </xf>
    <xf numFmtId="2" fontId="7" fillId="5" borderId="1" xfId="10" quotePrefix="1" applyNumberFormat="1" applyFont="1" applyFill="1" applyBorder="1" applyAlignment="1" applyProtection="1">
      <alignment horizontal="center"/>
    </xf>
    <xf numFmtId="0" fontId="2" fillId="5" borderId="0" xfId="9" applyFill="1" applyBorder="1" applyAlignment="1" applyProtection="1">
      <alignment horizontal="left"/>
    </xf>
    <xf numFmtId="0" fontId="72" fillId="5" borderId="0" xfId="10" applyFont="1" applyFill="1" applyBorder="1" applyAlignment="1" applyProtection="1">
      <alignment horizontal="center"/>
    </xf>
    <xf numFmtId="2" fontId="7" fillId="5" borderId="1" xfId="10" quotePrefix="1" applyNumberFormat="1" applyFont="1" applyFill="1" applyBorder="1" applyAlignment="1">
      <alignment horizontal="center"/>
    </xf>
    <xf numFmtId="0" fontId="8" fillId="5" borderId="0" xfId="10" applyFill="1" applyBorder="1" applyAlignment="1"/>
    <xf numFmtId="0" fontId="8" fillId="5" borderId="0" xfId="10" applyFill="1" applyBorder="1" applyAlignment="1">
      <alignment horizontal="left"/>
    </xf>
    <xf numFmtId="0" fontId="8" fillId="5" borderId="0" xfId="10" applyFill="1" applyBorder="1" applyAlignment="1">
      <alignment horizontal="right"/>
    </xf>
    <xf numFmtId="0" fontId="7" fillId="5" borderId="0" xfId="10" applyFont="1" applyFill="1" applyBorder="1" applyAlignment="1">
      <alignment horizontal="left"/>
    </xf>
    <xf numFmtId="0" fontId="7" fillId="5" borderId="0" xfId="10" applyFont="1" applyFill="1" applyBorder="1" applyAlignment="1">
      <alignment horizontal="center"/>
    </xf>
    <xf numFmtId="0" fontId="8" fillId="5" borderId="59" xfId="3" applyFill="1" applyBorder="1" applyProtection="1"/>
    <xf numFmtId="0" fontId="8" fillId="5" borderId="60" xfId="3" applyFill="1" applyBorder="1" applyProtection="1"/>
    <xf numFmtId="0" fontId="8" fillId="5" borderId="61" xfId="3" applyFill="1" applyBorder="1" applyProtection="1"/>
    <xf numFmtId="0" fontId="0" fillId="0" borderId="0" xfId="0" applyFill="1"/>
    <xf numFmtId="0" fontId="3" fillId="0" borderId="0" xfId="2" applyFill="1" applyBorder="1" applyAlignment="1" applyProtection="1">
      <alignment horizontal="right"/>
    </xf>
    <xf numFmtId="0" fontId="3" fillId="0" borderId="0" xfId="2" applyFill="1" applyBorder="1" applyAlignment="1" applyProtection="1">
      <alignment vertical="center" wrapText="1"/>
    </xf>
    <xf numFmtId="0" fontId="3" fillId="0" borderId="0" xfId="2" applyFill="1" applyBorder="1" applyAlignment="1" applyProtection="1"/>
    <xf numFmtId="0" fontId="0" fillId="0" borderId="0" xfId="0" applyFont="1" applyBorder="1" applyAlignment="1">
      <alignment horizontal="right"/>
    </xf>
    <xf numFmtId="0" fontId="96" fillId="0" borderId="0" xfId="0" applyFont="1" applyBorder="1"/>
    <xf numFmtId="0" fontId="0" fillId="0" borderId="0" xfId="0" applyFont="1" applyBorder="1"/>
    <xf numFmtId="2" fontId="0" fillId="0" borderId="0" xfId="0" applyNumberFormat="1" applyFont="1" applyBorder="1" applyAlignment="1">
      <alignment horizontal="center"/>
    </xf>
    <xf numFmtId="2" fontId="0" fillId="0" borderId="4" xfId="0" quotePrefix="1" applyNumberFormat="1" applyFont="1" applyBorder="1" applyAlignment="1">
      <alignment horizontal="center"/>
    </xf>
    <xf numFmtId="0" fontId="61" fillId="5" borderId="70" xfId="7" applyFont="1" applyFill="1" applyBorder="1" applyAlignment="1">
      <alignment horizontal="left"/>
    </xf>
    <xf numFmtId="0" fontId="7" fillId="5" borderId="24" xfId="7" applyFont="1" applyFill="1" applyBorder="1" applyAlignment="1">
      <alignment horizontal="left"/>
    </xf>
    <xf numFmtId="0" fontId="30" fillId="5" borderId="24" xfId="7" applyFill="1" applyBorder="1" applyAlignment="1">
      <alignment horizontal="left"/>
    </xf>
    <xf numFmtId="0" fontId="30" fillId="5" borderId="24" xfId="7" applyFont="1" applyFill="1" applyBorder="1" applyAlignment="1">
      <alignment horizontal="left"/>
    </xf>
    <xf numFmtId="0" fontId="62" fillId="5" borderId="36" xfId="7" applyFont="1" applyFill="1" applyBorder="1" applyAlignment="1">
      <alignment horizontal="left"/>
    </xf>
    <xf numFmtId="0" fontId="10" fillId="5" borderId="37" xfId="7" applyFont="1" applyFill="1" applyBorder="1" applyAlignment="1">
      <alignment horizontal="left"/>
    </xf>
    <xf numFmtId="0" fontId="30" fillId="5" borderId="37" xfId="7" applyFill="1" applyBorder="1" applyAlignment="1">
      <alignment horizontal="left"/>
    </xf>
    <xf numFmtId="0" fontId="30" fillId="5" borderId="38" xfId="7" applyFill="1" applyBorder="1" applyAlignment="1">
      <alignment horizontal="left"/>
    </xf>
    <xf numFmtId="0" fontId="30" fillId="5" borderId="71" xfId="7" applyFill="1" applyBorder="1" applyAlignment="1">
      <alignment horizontal="left"/>
    </xf>
    <xf numFmtId="0" fontId="30" fillId="5" borderId="72" xfId="7" applyFill="1" applyBorder="1" applyAlignment="1"/>
    <xf numFmtId="0" fontId="30" fillId="5" borderId="39" xfId="7" applyFill="1" applyBorder="1" applyAlignment="1">
      <alignment horizontal="left"/>
    </xf>
    <xf numFmtId="0" fontId="30" fillId="5" borderId="40" xfId="7" applyFill="1" applyBorder="1" applyAlignment="1">
      <alignment horizontal="left"/>
    </xf>
    <xf numFmtId="0" fontId="30" fillId="5" borderId="73" xfId="7" applyFill="1" applyBorder="1" applyAlignment="1">
      <alignment horizontal="left"/>
    </xf>
    <xf numFmtId="0" fontId="7" fillId="5" borderId="0" xfId="7" applyFont="1" applyFill="1" applyBorder="1" applyAlignment="1">
      <alignment horizontal="left"/>
    </xf>
    <xf numFmtId="0" fontId="30" fillId="5" borderId="39" xfId="7" applyFill="1" applyBorder="1" applyAlignment="1">
      <alignment horizontal="center"/>
    </xf>
    <xf numFmtId="0" fontId="30" fillId="5" borderId="40" xfId="7" applyFill="1" applyBorder="1" applyAlignment="1">
      <alignment horizontal="center"/>
    </xf>
    <xf numFmtId="0" fontId="30" fillId="5" borderId="0" xfId="7" applyFont="1" applyFill="1" applyBorder="1" applyAlignment="1">
      <alignment horizontal="left"/>
    </xf>
    <xf numFmtId="0" fontId="30" fillId="5" borderId="41" xfId="7" applyFill="1" applyBorder="1" applyAlignment="1">
      <alignment horizontal="center"/>
    </xf>
    <xf numFmtId="0" fontId="30" fillId="5" borderId="42" xfId="7" applyFill="1" applyBorder="1" applyAlignment="1">
      <alignment horizontal="left"/>
    </xf>
    <xf numFmtId="0" fontId="30" fillId="5" borderId="42" xfId="7" applyFill="1" applyBorder="1" applyAlignment="1">
      <alignment horizontal="center"/>
    </xf>
    <xf numFmtId="0" fontId="30" fillId="5" borderId="43" xfId="7" applyFill="1" applyBorder="1" applyAlignment="1">
      <alignment horizontal="center"/>
    </xf>
    <xf numFmtId="0" fontId="1" fillId="5" borderId="0" xfId="8" applyFill="1" applyBorder="1" applyAlignment="1">
      <alignment horizontal="left"/>
    </xf>
    <xf numFmtId="0" fontId="1" fillId="5" borderId="1" xfId="8" applyFill="1" applyBorder="1" applyAlignment="1">
      <alignment horizontal="center"/>
    </xf>
    <xf numFmtId="0" fontId="30" fillId="5" borderId="72" xfId="7" applyFill="1" applyBorder="1" applyAlignment="1">
      <alignment horizontal="center"/>
    </xf>
    <xf numFmtId="0" fontId="1" fillId="5" borderId="0" xfId="8" applyFill="1" applyBorder="1" applyAlignment="1">
      <alignment horizontal="right"/>
    </xf>
    <xf numFmtId="0" fontId="13" fillId="5" borderId="0" xfId="8" applyFont="1" applyFill="1" applyBorder="1" applyAlignment="1"/>
    <xf numFmtId="0" fontId="30" fillId="5" borderId="13" xfId="7" applyFill="1" applyBorder="1" applyAlignment="1">
      <alignment horizontal="left"/>
    </xf>
    <xf numFmtId="0" fontId="30" fillId="5" borderId="5" xfId="7" applyFill="1" applyBorder="1" applyAlignment="1">
      <alignment horizontal="center"/>
    </xf>
    <xf numFmtId="0" fontId="30" fillId="5" borderId="5" xfId="7" applyFill="1" applyBorder="1" applyAlignment="1">
      <alignment horizontal="left"/>
    </xf>
    <xf numFmtId="0" fontId="30" fillId="5" borderId="6" xfId="7" applyFill="1" applyBorder="1" applyAlignment="1">
      <alignment horizontal="left"/>
    </xf>
    <xf numFmtId="0" fontId="30" fillId="5" borderId="13" xfId="7" applyFill="1" applyBorder="1" applyAlignment="1">
      <alignment horizontal="center"/>
    </xf>
    <xf numFmtId="0" fontId="6" fillId="5" borderId="7" xfId="7" applyFont="1" applyFill="1" applyBorder="1" applyAlignment="1">
      <alignment horizontal="center"/>
    </xf>
    <xf numFmtId="0" fontId="5" fillId="5" borderId="2" xfId="7" applyFont="1" applyFill="1" applyBorder="1" applyAlignment="1">
      <alignment horizontal="center"/>
    </xf>
    <xf numFmtId="0" fontId="1" fillId="5" borderId="4" xfId="8" applyFill="1" applyBorder="1" applyAlignment="1">
      <alignment horizontal="center"/>
    </xf>
    <xf numFmtId="0" fontId="30" fillId="5" borderId="7" xfId="7" applyFill="1" applyBorder="1" applyAlignment="1">
      <alignment horizontal="center"/>
    </xf>
    <xf numFmtId="0" fontId="7" fillId="5" borderId="2" xfId="7" applyFont="1" applyFill="1" applyBorder="1" applyAlignment="1">
      <alignment horizontal="center"/>
    </xf>
    <xf numFmtId="0" fontId="22" fillId="5" borderId="0" xfId="8" applyFont="1" applyFill="1" applyBorder="1" applyAlignment="1">
      <alignment horizontal="center"/>
    </xf>
    <xf numFmtId="165" fontId="16" fillId="5" borderId="7" xfId="7" applyNumberFormat="1" applyFont="1" applyFill="1" applyBorder="1" applyAlignment="1">
      <alignment horizontal="center"/>
    </xf>
    <xf numFmtId="165" fontId="16" fillId="5" borderId="0" xfId="7" applyNumberFormat="1" applyFont="1" applyFill="1" applyBorder="1" applyAlignment="1">
      <alignment horizontal="center"/>
    </xf>
    <xf numFmtId="0" fontId="18" fillId="5" borderId="2" xfId="7" applyFont="1" applyFill="1" applyBorder="1" applyAlignment="1">
      <alignment horizontal="center"/>
    </xf>
    <xf numFmtId="3" fontId="18" fillId="5" borderId="2" xfId="7" applyNumberFormat="1" applyFont="1" applyFill="1" applyBorder="1" applyAlignment="1">
      <alignment horizontal="center"/>
    </xf>
    <xf numFmtId="165" fontId="17" fillId="5" borderId="7" xfId="7" applyNumberFormat="1" applyFont="1" applyFill="1" applyBorder="1" applyAlignment="1">
      <alignment horizontal="center"/>
    </xf>
    <xf numFmtId="165" fontId="17" fillId="5" borderId="0" xfId="7" applyNumberFormat="1" applyFont="1" applyFill="1" applyBorder="1" applyAlignment="1">
      <alignment horizontal="center"/>
    </xf>
    <xf numFmtId="165" fontId="17" fillId="5" borderId="11" xfId="7" applyNumberFormat="1" applyFont="1" applyFill="1" applyBorder="1" applyAlignment="1">
      <alignment horizontal="center"/>
    </xf>
    <xf numFmtId="165" fontId="17" fillId="5" borderId="4" xfId="7" applyNumberFormat="1" applyFont="1" applyFill="1" applyBorder="1" applyAlignment="1">
      <alignment horizontal="center"/>
    </xf>
    <xf numFmtId="0" fontId="18" fillId="5" borderId="12" xfId="7" applyFont="1" applyFill="1" applyBorder="1" applyAlignment="1">
      <alignment horizontal="center"/>
    </xf>
    <xf numFmtId="3" fontId="18" fillId="5" borderId="12" xfId="7" applyNumberFormat="1" applyFont="1" applyFill="1" applyBorder="1" applyAlignment="1">
      <alignment horizontal="center"/>
    </xf>
    <xf numFmtId="0" fontId="30" fillId="5" borderId="76" xfId="7" applyFill="1" applyBorder="1" applyAlignment="1">
      <alignment horizontal="left"/>
    </xf>
    <xf numFmtId="0" fontId="30" fillId="5" borderId="3" xfId="7" applyFill="1" applyBorder="1" applyAlignment="1">
      <alignment horizontal="left"/>
    </xf>
    <xf numFmtId="0" fontId="30" fillId="5" borderId="3" xfId="7" applyFill="1" applyBorder="1" applyAlignment="1">
      <alignment horizontal="center"/>
    </xf>
    <xf numFmtId="0" fontId="7" fillId="5" borderId="3" xfId="7" applyFont="1" applyFill="1" applyBorder="1" applyAlignment="1">
      <alignment horizontal="center"/>
    </xf>
    <xf numFmtId="0" fontId="30" fillId="5" borderId="77" xfId="7" applyFill="1" applyBorder="1" applyAlignment="1">
      <alignment horizontal="left"/>
    </xf>
    <xf numFmtId="0" fontId="19" fillId="5" borderId="0" xfId="7" applyFont="1" applyFill="1" applyBorder="1" applyAlignment="1">
      <alignment horizontal="center"/>
    </xf>
    <xf numFmtId="0" fontId="11" fillId="5" borderId="0" xfId="7" applyFont="1" applyFill="1" applyBorder="1" applyAlignment="1">
      <alignment horizontal="left"/>
    </xf>
    <xf numFmtId="0" fontId="11" fillId="5" borderId="0" xfId="7" applyFont="1" applyFill="1" applyBorder="1" applyAlignment="1">
      <alignment horizontal="right"/>
    </xf>
    <xf numFmtId="0" fontId="11" fillId="5" borderId="0" xfId="7" applyFont="1" applyFill="1" applyBorder="1" applyAlignment="1">
      <alignment horizontal="center"/>
    </xf>
    <xf numFmtId="0" fontId="10" fillId="5" borderId="0" xfId="7" applyFont="1" applyFill="1" applyBorder="1" applyAlignment="1">
      <alignment horizontal="left"/>
    </xf>
    <xf numFmtId="0" fontId="8" fillId="5" borderId="0" xfId="7" applyFont="1" applyFill="1" applyBorder="1" applyAlignment="1">
      <alignment horizontal="left"/>
    </xf>
    <xf numFmtId="0" fontId="13" fillId="5" borderId="0" xfId="7" applyFont="1" applyFill="1" applyBorder="1" applyAlignment="1">
      <alignment horizontal="right"/>
    </xf>
    <xf numFmtId="0" fontId="30" fillId="5" borderId="1" xfId="7" applyFill="1" applyBorder="1" applyAlignment="1">
      <alignment horizontal="center"/>
    </xf>
    <xf numFmtId="0" fontId="10" fillId="5" borderId="0" xfId="7" applyFont="1" applyFill="1" applyBorder="1" applyAlignment="1">
      <alignment horizontal="center"/>
    </xf>
    <xf numFmtId="0" fontId="8" fillId="5" borderId="0" xfId="7" applyFont="1" applyFill="1" applyBorder="1" applyAlignment="1">
      <alignment horizontal="center" vertical="center"/>
    </xf>
    <xf numFmtId="0" fontId="13" fillId="5" borderId="1" xfId="7" applyFont="1" applyFill="1" applyBorder="1" applyAlignment="1">
      <alignment horizontal="center"/>
    </xf>
    <xf numFmtId="0" fontId="17" fillId="5" borderId="0" xfId="7" applyFont="1" applyFill="1" applyBorder="1" applyAlignment="1">
      <alignment horizontal="center"/>
    </xf>
    <xf numFmtId="0" fontId="30" fillId="5" borderId="0" xfId="7" applyFill="1" applyBorder="1" applyAlignment="1">
      <alignment horizontal="left" vertical="center"/>
    </xf>
    <xf numFmtId="0" fontId="30" fillId="5" borderId="72" xfId="7" applyFill="1" applyBorder="1" applyAlignment="1" applyProtection="1">
      <alignment horizontal="left"/>
      <protection locked="0"/>
    </xf>
    <xf numFmtId="0" fontId="76" fillId="5" borderId="0" xfId="7" applyFont="1" applyFill="1" applyBorder="1" applyAlignment="1">
      <alignment horizontal="left"/>
    </xf>
    <xf numFmtId="0" fontId="30" fillId="5" borderId="73" xfId="7" applyFill="1" applyBorder="1" applyAlignment="1">
      <alignment horizontal="center"/>
    </xf>
    <xf numFmtId="0" fontId="30" fillId="5" borderId="74" xfId="7" applyFill="1" applyBorder="1" applyAlignment="1">
      <alignment horizontal="left"/>
    </xf>
    <xf numFmtId="0" fontId="30" fillId="5" borderId="7" xfId="7" applyFill="1" applyBorder="1" applyAlignment="1">
      <alignment horizontal="left"/>
    </xf>
    <xf numFmtId="0" fontId="30" fillId="5" borderId="11" xfId="7" applyFill="1" applyBorder="1" applyAlignment="1">
      <alignment horizontal="left"/>
    </xf>
    <xf numFmtId="0" fontId="30" fillId="5" borderId="4" xfId="7" applyFill="1" applyBorder="1" applyAlignment="1">
      <alignment horizontal="left"/>
    </xf>
    <xf numFmtId="0" fontId="30" fillId="5" borderId="25" xfId="7" applyFill="1" applyBorder="1" applyAlignment="1">
      <alignment horizontal="center"/>
    </xf>
    <xf numFmtId="0" fontId="30" fillId="5" borderId="12" xfId="7" applyFill="1" applyBorder="1" applyAlignment="1">
      <alignment horizontal="center"/>
    </xf>
    <xf numFmtId="0" fontId="28" fillId="5" borderId="0" xfId="7" applyFont="1" applyFill="1" applyBorder="1" applyAlignment="1">
      <alignment horizontal="left"/>
    </xf>
    <xf numFmtId="0" fontId="20" fillId="5" borderId="0" xfId="7" applyFont="1" applyFill="1" applyBorder="1" applyAlignment="1">
      <alignment horizontal="left"/>
    </xf>
    <xf numFmtId="0" fontId="17" fillId="5" borderId="0" xfId="7" applyFont="1" applyFill="1" applyBorder="1" applyAlignment="1">
      <alignment horizontal="left"/>
    </xf>
    <xf numFmtId="0" fontId="28" fillId="5" borderId="0" xfId="7" applyFont="1" applyFill="1" applyBorder="1" applyAlignment="1">
      <alignment horizontal="center"/>
    </xf>
    <xf numFmtId="167" fontId="30" fillId="5" borderId="0" xfId="7" quotePrefix="1" applyNumberFormat="1" applyFill="1" applyBorder="1" applyAlignment="1">
      <alignment horizontal="center"/>
    </xf>
    <xf numFmtId="2" fontId="30" fillId="5" borderId="0" xfId="7" applyNumberFormat="1" applyFill="1" applyBorder="1" applyAlignment="1">
      <alignment horizontal="center"/>
    </xf>
    <xf numFmtId="1" fontId="8" fillId="5" borderId="1" xfId="7" applyNumberFormat="1" applyFont="1" applyFill="1" applyBorder="1" applyAlignment="1">
      <alignment horizontal="center"/>
    </xf>
    <xf numFmtId="0" fontId="30" fillId="5" borderId="75" xfId="7" applyFill="1" applyBorder="1" applyAlignment="1">
      <alignment horizontal="left"/>
    </xf>
    <xf numFmtId="164" fontId="7" fillId="5" borderId="4" xfId="7" applyNumberFormat="1" applyFont="1" applyFill="1" applyBorder="1" applyAlignment="1">
      <alignment horizontal="center"/>
    </xf>
    <xf numFmtId="166" fontId="22" fillId="5" borderId="0" xfId="1" applyNumberFormat="1" applyFont="1" applyFill="1" applyBorder="1" applyAlignment="1">
      <alignment horizontal="center"/>
    </xf>
    <xf numFmtId="0" fontId="30" fillId="5" borderId="76" xfId="7" applyFill="1" applyBorder="1" applyAlignment="1" applyProtection="1">
      <alignment horizontal="left"/>
      <protection locked="0"/>
    </xf>
    <xf numFmtId="166" fontId="22" fillId="5" borderId="3" xfId="1" applyNumberFormat="1" applyFont="1" applyFill="1" applyBorder="1" applyAlignment="1">
      <alignment horizontal="center"/>
    </xf>
    <xf numFmtId="0" fontId="30" fillId="9" borderId="36" xfId="7" applyFill="1" applyBorder="1" applyAlignment="1">
      <alignment horizontal="left"/>
    </xf>
    <xf numFmtId="0" fontId="30" fillId="9" borderId="38" xfId="7" applyFill="1" applyBorder="1" applyAlignment="1">
      <alignment horizontal="left"/>
    </xf>
    <xf numFmtId="0" fontId="30" fillId="9" borderId="39" xfId="7" applyFill="1" applyBorder="1" applyAlignment="1">
      <alignment horizontal="left"/>
    </xf>
    <xf numFmtId="0" fontId="30" fillId="9" borderId="40" xfId="7" applyFill="1" applyBorder="1" applyAlignment="1">
      <alignment horizontal="left"/>
    </xf>
    <xf numFmtId="0" fontId="10" fillId="9" borderId="39" xfId="7" applyFont="1" applyFill="1" applyBorder="1" applyAlignment="1">
      <alignment horizontal="center"/>
    </xf>
    <xf numFmtId="0" fontId="10" fillId="9" borderId="40" xfId="7" quotePrefix="1" applyFont="1" applyFill="1" applyBorder="1" applyAlignment="1">
      <alignment horizontal="center"/>
    </xf>
    <xf numFmtId="0" fontId="30" fillId="9" borderId="39" xfId="7" applyFill="1" applyBorder="1" applyAlignment="1">
      <alignment horizontal="center"/>
    </xf>
    <xf numFmtId="0" fontId="30" fillId="9" borderId="40" xfId="7" applyFill="1" applyBorder="1" applyAlignment="1">
      <alignment horizontal="center"/>
    </xf>
    <xf numFmtId="0" fontId="30" fillId="9" borderId="41" xfId="7" applyFill="1" applyBorder="1" applyAlignment="1">
      <alignment horizontal="left"/>
    </xf>
    <xf numFmtId="0" fontId="30" fillId="9" borderId="43" xfId="7" applyFill="1" applyBorder="1" applyAlignment="1">
      <alignment horizontal="left"/>
    </xf>
    <xf numFmtId="0" fontId="10" fillId="9" borderId="36" xfId="7" applyFont="1" applyFill="1" applyBorder="1" applyAlignment="1">
      <alignment horizontal="left"/>
    </xf>
    <xf numFmtId="0" fontId="10" fillId="9" borderId="37" xfId="7" applyFont="1" applyFill="1" applyBorder="1" applyAlignment="1">
      <alignment horizontal="left"/>
    </xf>
    <xf numFmtId="0" fontId="10" fillId="9" borderId="38" xfId="7" applyFont="1" applyFill="1" applyBorder="1" applyAlignment="1">
      <alignment horizontal="left"/>
    </xf>
    <xf numFmtId="0" fontId="30" fillId="9" borderId="0" xfId="7" applyFill="1" applyBorder="1" applyAlignment="1">
      <alignment horizontal="left"/>
    </xf>
    <xf numFmtId="0" fontId="30" fillId="9" borderId="42" xfId="7" applyFill="1" applyBorder="1" applyAlignment="1">
      <alignment horizontal="left"/>
    </xf>
    <xf numFmtId="0" fontId="30" fillId="9" borderId="1" xfId="7" applyFill="1" applyBorder="1" applyAlignment="1">
      <alignment horizontal="center"/>
    </xf>
    <xf numFmtId="0" fontId="30" fillId="9" borderId="9" xfId="7" applyFill="1" applyBorder="1" applyAlignment="1">
      <alignment horizontal="center"/>
    </xf>
    <xf numFmtId="0" fontId="10" fillId="9" borderId="0" xfId="7" applyFont="1" applyFill="1" applyBorder="1" applyAlignment="1">
      <alignment horizontal="left"/>
    </xf>
    <xf numFmtId="0" fontId="30" fillId="9" borderId="73" xfId="7" applyFill="1" applyBorder="1" applyAlignment="1">
      <alignment horizontal="left"/>
    </xf>
    <xf numFmtId="0" fontId="30" fillId="9" borderId="0" xfId="7" applyFill="1" applyBorder="1" applyAlignment="1">
      <alignment horizontal="center"/>
    </xf>
    <xf numFmtId="0" fontId="30" fillId="9" borderId="73" xfId="7" applyFill="1" applyBorder="1" applyAlignment="1">
      <alignment horizontal="center"/>
    </xf>
    <xf numFmtId="0" fontId="4" fillId="10" borderId="44" xfId="7" applyFont="1" applyFill="1" applyBorder="1" applyAlignment="1">
      <alignment horizontal="center"/>
    </xf>
    <xf numFmtId="0" fontId="4" fillId="10" borderId="44" xfId="7" applyFont="1" applyFill="1" applyBorder="1" applyAlignment="1">
      <alignment horizontal="center" vertical="center"/>
    </xf>
    <xf numFmtId="0" fontId="6" fillId="9" borderId="0" xfId="7" applyFont="1" applyFill="1" applyBorder="1" applyAlignment="1">
      <alignment horizontal="center"/>
    </xf>
    <xf numFmtId="0" fontId="30" fillId="9" borderId="0" xfId="7" applyFill="1" applyBorder="1" applyAlignment="1"/>
    <xf numFmtId="0" fontId="17" fillId="9" borderId="0" xfId="7" applyFont="1" applyFill="1" applyBorder="1" applyAlignment="1">
      <alignment horizontal="center"/>
    </xf>
    <xf numFmtId="0" fontId="17" fillId="9" borderId="0" xfId="7" applyFont="1" applyFill="1" applyBorder="1" applyAlignment="1">
      <alignment horizontal="left"/>
    </xf>
    <xf numFmtId="0" fontId="17" fillId="9" borderId="0" xfId="7" applyFont="1" applyFill="1" applyBorder="1" applyAlignment="1">
      <alignment horizontal="right"/>
    </xf>
    <xf numFmtId="0" fontId="21" fillId="9" borderId="0" xfId="7" applyFont="1" applyFill="1" applyBorder="1" applyAlignment="1">
      <alignment horizontal="center"/>
    </xf>
    <xf numFmtId="0" fontId="5" fillId="9" borderId="0" xfId="7" applyFont="1" applyFill="1" applyBorder="1" applyAlignment="1">
      <alignment horizontal="center"/>
    </xf>
    <xf numFmtId="0" fontId="6" fillId="9" borderId="13" xfId="7" applyFont="1" applyFill="1" applyBorder="1" applyAlignment="1"/>
    <xf numFmtId="0" fontId="30" fillId="9" borderId="5" xfId="7" applyFill="1" applyBorder="1" applyAlignment="1">
      <alignment horizontal="right"/>
    </xf>
    <xf numFmtId="0" fontId="6" fillId="9" borderId="5" xfId="7" applyFont="1" applyFill="1" applyBorder="1" applyAlignment="1">
      <alignment horizontal="center"/>
    </xf>
    <xf numFmtId="0" fontId="6" fillId="9" borderId="6" xfId="7" applyFont="1" applyFill="1" applyBorder="1" applyAlignment="1">
      <alignment horizontal="center"/>
    </xf>
    <xf numFmtId="0" fontId="30" fillId="9" borderId="7" xfId="7" applyFill="1" applyBorder="1" applyAlignment="1">
      <alignment horizontal="left"/>
    </xf>
    <xf numFmtId="0" fontId="30" fillId="9" borderId="2" xfId="7" applyFill="1" applyBorder="1" applyAlignment="1">
      <alignment horizontal="center"/>
    </xf>
    <xf numFmtId="0" fontId="8" fillId="9" borderId="0" xfId="7" applyFont="1" applyFill="1" applyBorder="1" applyAlignment="1">
      <alignment horizontal="center"/>
    </xf>
    <xf numFmtId="0" fontId="8" fillId="9" borderId="2" xfId="7" applyFont="1" applyFill="1" applyBorder="1" applyAlignment="1">
      <alignment horizontal="center"/>
    </xf>
    <xf numFmtId="0" fontId="30" fillId="9" borderId="11" xfId="7" applyFill="1" applyBorder="1" applyAlignment="1">
      <alignment horizontal="left"/>
    </xf>
    <xf numFmtId="0" fontId="30" fillId="9" borderId="4" xfId="7" applyFill="1" applyBorder="1" applyAlignment="1">
      <alignment horizontal="left"/>
    </xf>
    <xf numFmtId="0" fontId="8" fillId="9" borderId="4" xfId="7" applyFont="1" applyFill="1" applyBorder="1" applyAlignment="1">
      <alignment horizontal="center"/>
    </xf>
    <xf numFmtId="0" fontId="8" fillId="9" borderId="12" xfId="7" applyFont="1" applyFill="1" applyBorder="1" applyAlignment="1">
      <alignment horizontal="center"/>
    </xf>
    <xf numFmtId="3" fontId="8" fillId="10" borderId="44" xfId="7" applyNumberFormat="1" applyFont="1" applyFill="1" applyBorder="1" applyAlignment="1">
      <alignment horizontal="center" vertical="center"/>
    </xf>
    <xf numFmtId="0" fontId="39" fillId="0" borderId="40" xfId="8" applyFont="1" applyFill="1" applyBorder="1" applyAlignment="1">
      <alignment horizontal="center"/>
    </xf>
    <xf numFmtId="0" fontId="3" fillId="0" borderId="37" xfId="2" applyFill="1" applyBorder="1" applyAlignment="1" applyProtection="1"/>
    <xf numFmtId="0" fontId="3" fillId="0" borderId="0" xfId="2" applyFont="1" applyFill="1" applyBorder="1" applyAlignment="1" applyProtection="1"/>
    <xf numFmtId="0" fontId="0" fillId="11" borderId="0" xfId="0" applyFill="1" applyProtection="1"/>
    <xf numFmtId="0" fontId="0" fillId="0" borderId="78" xfId="0" applyFill="1" applyBorder="1" applyAlignment="1" applyProtection="1">
      <alignment horizontal="left"/>
    </xf>
    <xf numFmtId="0" fontId="0" fillId="0" borderId="79" xfId="0" applyFill="1" applyBorder="1" applyAlignment="1" applyProtection="1">
      <alignment horizontal="left"/>
    </xf>
    <xf numFmtId="0" fontId="0" fillId="0" borderId="79" xfId="0" applyFill="1" applyBorder="1" applyProtection="1"/>
    <xf numFmtId="0" fontId="1" fillId="0" borderId="79" xfId="0" applyFont="1" applyFill="1" applyBorder="1" applyAlignment="1" applyProtection="1">
      <alignment horizontal="center"/>
    </xf>
    <xf numFmtId="0" fontId="11" fillId="0" borderId="79" xfId="0" applyFont="1" applyFill="1" applyBorder="1" applyAlignment="1" applyProtection="1">
      <alignment horizontal="center"/>
    </xf>
    <xf numFmtId="0" fontId="38" fillId="0" borderId="79" xfId="0" applyFont="1" applyFill="1" applyBorder="1" applyAlignment="1" applyProtection="1">
      <alignment horizontal="left"/>
    </xf>
    <xf numFmtId="0" fontId="0" fillId="0" borderId="80" xfId="0" applyFill="1" applyBorder="1" applyAlignment="1" applyProtection="1">
      <alignment horizontal="left"/>
    </xf>
    <xf numFmtId="0" fontId="0" fillId="0" borderId="81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horizontal="center"/>
    </xf>
    <xf numFmtId="0" fontId="0" fillId="0" borderId="0" xfId="0" applyFill="1" applyProtection="1"/>
    <xf numFmtId="0" fontId="38" fillId="0" borderId="0" xfId="0" applyFont="1" applyFill="1" applyBorder="1" applyAlignment="1" applyProtection="1">
      <alignment horizontal="left"/>
    </xf>
    <xf numFmtId="0" fontId="0" fillId="0" borderId="82" xfId="0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1" fontId="7" fillId="12" borderId="1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wrapText="1"/>
    </xf>
    <xf numFmtId="0" fontId="8" fillId="0" borderId="0" xfId="0" applyFont="1" applyFill="1" applyBorder="1" applyAlignment="1" applyProtection="1">
      <alignment horizontal="left" wrapText="1"/>
    </xf>
    <xf numFmtId="0" fontId="0" fillId="0" borderId="83" xfId="0" applyFill="1" applyBorder="1" applyAlignment="1" applyProtection="1">
      <alignment horizontal="left"/>
    </xf>
    <xf numFmtId="0" fontId="0" fillId="0" borderId="84" xfId="0" applyFill="1" applyBorder="1" applyAlignment="1" applyProtection="1">
      <alignment horizontal="left"/>
    </xf>
    <xf numFmtId="0" fontId="0" fillId="0" borderId="84" xfId="0" applyFill="1" applyBorder="1" applyProtection="1"/>
    <xf numFmtId="0" fontId="1" fillId="0" borderId="84" xfId="0" applyFont="1" applyFill="1" applyBorder="1" applyAlignment="1" applyProtection="1">
      <alignment horizontal="center"/>
    </xf>
    <xf numFmtId="0" fontId="11" fillId="0" borderId="84" xfId="0" applyFont="1" applyFill="1" applyBorder="1" applyAlignment="1" applyProtection="1">
      <alignment horizontal="center"/>
    </xf>
    <xf numFmtId="0" fontId="38" fillId="0" borderId="84" xfId="0" applyFont="1" applyFill="1" applyBorder="1" applyAlignment="1" applyProtection="1">
      <alignment horizontal="left"/>
    </xf>
    <xf numFmtId="0" fontId="0" fillId="0" borderId="85" xfId="0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center"/>
    </xf>
    <xf numFmtId="0" fontId="0" fillId="0" borderId="81" xfId="0" applyFill="1" applyBorder="1" applyProtection="1"/>
    <xf numFmtId="0" fontId="17" fillId="0" borderId="0" xfId="0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0" fillId="0" borderId="82" xfId="0" applyFill="1" applyBorder="1" applyProtection="1"/>
    <xf numFmtId="1" fontId="36" fillId="0" borderId="0" xfId="0" applyNumberFormat="1" applyFont="1" applyFill="1" applyBorder="1" applyAlignment="1" applyProtection="1">
      <alignment horizontal="center"/>
    </xf>
    <xf numFmtId="0" fontId="1" fillId="13" borderId="1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0" fillId="14" borderId="0" xfId="0" applyFill="1" applyProtection="1"/>
    <xf numFmtId="0" fontId="97" fillId="0" borderId="0" xfId="0" applyFont="1" applyFill="1" applyBorder="1" applyAlignment="1" applyProtection="1">
      <alignment wrapText="1"/>
    </xf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left"/>
    </xf>
    <xf numFmtId="0" fontId="3" fillId="0" borderId="0" xfId="2" applyFill="1" applyBorder="1" applyAlignment="1" applyProtection="1">
      <alignment horizontal="center"/>
    </xf>
    <xf numFmtId="0" fontId="18" fillId="0" borderId="0" xfId="0" applyFont="1" applyFill="1" applyBorder="1" applyProtection="1"/>
    <xf numFmtId="0" fontId="18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98" fillId="0" borderId="0" xfId="0" applyFont="1" applyFill="1" applyBorder="1" applyAlignment="1" applyProtection="1">
      <alignment vertical="center"/>
    </xf>
    <xf numFmtId="0" fontId="99" fillId="0" borderId="0" xfId="0" applyFont="1" applyFill="1" applyBorder="1" applyAlignment="1" applyProtection="1">
      <alignment vertical="center"/>
    </xf>
    <xf numFmtId="0" fontId="0" fillId="0" borderId="86" xfId="0" applyFill="1" applyBorder="1" applyAlignment="1" applyProtection="1">
      <alignment horizontal="left"/>
    </xf>
    <xf numFmtId="0" fontId="98" fillId="0" borderId="88" xfId="0" applyFont="1" applyFill="1" applyBorder="1" applyAlignment="1" applyProtection="1">
      <alignment vertical="center"/>
    </xf>
    <xf numFmtId="0" fontId="99" fillId="0" borderId="87" xfId="0" applyFont="1" applyFill="1" applyBorder="1" applyAlignment="1" applyProtection="1">
      <alignment vertical="center"/>
    </xf>
    <xf numFmtId="0" fontId="0" fillId="0" borderId="88" xfId="0" applyFill="1" applyBorder="1" applyProtection="1"/>
    <xf numFmtId="0" fontId="0" fillId="0" borderId="89" xfId="0" applyFill="1" applyBorder="1" applyAlignment="1" applyProtection="1">
      <alignment horizontal="left"/>
    </xf>
    <xf numFmtId="1" fontId="19" fillId="0" borderId="0" xfId="0" applyNumberFormat="1" applyFont="1" applyFill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/>
    </xf>
    <xf numFmtId="1" fontId="91" fillId="0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1" fontId="7" fillId="0" borderId="0" xfId="0" applyNumberFormat="1" applyFont="1" applyFill="1" applyBorder="1" applyAlignment="1" applyProtection="1">
      <alignment horizontal="center"/>
    </xf>
    <xf numFmtId="0" fontId="100" fillId="0" borderId="0" xfId="0" applyFont="1" applyFill="1" applyBorder="1" applyAlignment="1" applyProtection="1">
      <alignment horizontal="center"/>
    </xf>
    <xf numFmtId="0" fontId="100" fillId="0" borderId="0" xfId="0" applyFont="1" applyFill="1" applyBorder="1" applyAlignment="1" applyProtection="1">
      <alignment horizontal="left"/>
    </xf>
    <xf numFmtId="0" fontId="91" fillId="0" borderId="0" xfId="0" applyFont="1" applyFill="1" applyBorder="1" applyAlignment="1" applyProtection="1">
      <alignment horizontal="left"/>
    </xf>
    <xf numFmtId="0" fontId="91" fillId="0" borderId="0" xfId="0" applyFont="1" applyFill="1" applyAlignment="1" applyProtection="1"/>
    <xf numFmtId="168" fontId="1" fillId="6" borderId="0" xfId="8" applyNumberForma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left"/>
    </xf>
    <xf numFmtId="0" fontId="0" fillId="0" borderId="90" xfId="0" applyFill="1" applyBorder="1" applyAlignment="1" applyProtection="1">
      <alignment horizontal="left"/>
    </xf>
    <xf numFmtId="165" fontId="0" fillId="0" borderId="90" xfId="0" applyNumberFormat="1" applyFill="1" applyBorder="1" applyAlignment="1" applyProtection="1">
      <alignment horizontal="left"/>
    </xf>
    <xf numFmtId="2" fontId="0" fillId="0" borderId="0" xfId="0" quotePrefix="1" applyNumberFormat="1" applyFont="1" applyBorder="1" applyAlignment="1">
      <alignment horizontal="center"/>
    </xf>
    <xf numFmtId="0" fontId="1" fillId="0" borderId="0" xfId="8" applyBorder="1" applyAlignment="1" applyProtection="1">
      <alignment wrapText="1"/>
    </xf>
    <xf numFmtId="2" fontId="1" fillId="0" borderId="8" xfId="8" applyNumberFormat="1" applyBorder="1" applyAlignment="1" applyProtection="1">
      <alignment horizontal="center"/>
    </xf>
    <xf numFmtId="2" fontId="1" fillId="0" borderId="4" xfId="8" applyNumberFormat="1" applyBorder="1" applyAlignment="1" applyProtection="1">
      <alignment horizontal="center"/>
    </xf>
    <xf numFmtId="2" fontId="7" fillId="0" borderId="5" xfId="8" applyNumberFormat="1" applyFont="1" applyBorder="1" applyAlignment="1" applyProtection="1">
      <alignment horizontal="center"/>
    </xf>
    <xf numFmtId="2" fontId="1" fillId="0" borderId="0" xfId="8" applyNumberFormat="1" applyBorder="1" applyAlignment="1" applyProtection="1">
      <alignment horizontal="center"/>
    </xf>
    <xf numFmtId="2" fontId="1" fillId="0" borderId="0" xfId="8" applyNumberFormat="1" applyBorder="1" applyAlignment="1" applyProtection="1">
      <alignment horizontal="left"/>
    </xf>
    <xf numFmtId="2" fontId="7" fillId="0" borderId="0" xfId="8" applyNumberFormat="1" applyFont="1" applyBorder="1" applyAlignment="1" applyProtection="1">
      <alignment horizontal="center"/>
    </xf>
    <xf numFmtId="2" fontId="1" fillId="0" borderId="10" xfId="8" applyNumberFormat="1" applyBorder="1" applyAlignment="1" applyProtection="1">
      <alignment horizontal="center"/>
    </xf>
    <xf numFmtId="2" fontId="13" fillId="0" borderId="0" xfId="8" applyNumberFormat="1" applyFont="1" applyBorder="1" applyAlignment="1">
      <alignment horizontal="center"/>
    </xf>
    <xf numFmtId="0" fontId="1" fillId="0" borderId="0" xfId="8" applyFill="1" applyBorder="1" applyAlignment="1" applyProtection="1">
      <alignment horizontal="center"/>
      <protection locked="0"/>
    </xf>
    <xf numFmtId="0" fontId="101" fillId="0" borderId="0" xfId="8" applyFont="1" applyFill="1" applyBorder="1" applyAlignment="1" applyProtection="1">
      <alignment horizontal="right" vertical="center"/>
    </xf>
    <xf numFmtId="0" fontId="35" fillId="0" borderId="7" xfId="0" applyFont="1" applyBorder="1"/>
    <xf numFmtId="0" fontId="35" fillId="0" borderId="0" xfId="0" applyFont="1" applyBorder="1"/>
    <xf numFmtId="0" fontId="35" fillId="0" borderId="2" xfId="0" applyFont="1" applyBorder="1"/>
    <xf numFmtId="0" fontId="37" fillId="2" borderId="7" xfId="0" applyFont="1" applyFill="1" applyBorder="1"/>
    <xf numFmtId="0" fontId="35" fillId="2" borderId="0" xfId="0" applyFont="1" applyFill="1" applyBorder="1"/>
    <xf numFmtId="0" fontId="35" fillId="2" borderId="2" xfId="0" applyFont="1" applyFill="1" applyBorder="1"/>
    <xf numFmtId="0" fontId="1" fillId="0" borderId="11" xfId="0" applyFont="1" applyBorder="1"/>
    <xf numFmtId="0" fontId="1" fillId="0" borderId="4" xfId="0" applyFont="1" applyBorder="1"/>
    <xf numFmtId="0" fontId="35" fillId="0" borderId="4" xfId="0" applyFont="1" applyBorder="1"/>
    <xf numFmtId="0" fontId="35" fillId="0" borderId="12" xfId="0" applyFont="1" applyBorder="1"/>
    <xf numFmtId="0" fontId="102" fillId="0" borderId="0" xfId="8" applyFont="1" applyBorder="1" applyAlignment="1" applyProtection="1">
      <alignment horizontal="left"/>
    </xf>
    <xf numFmtId="0" fontId="17" fillId="0" borderId="40" xfId="8" applyFont="1" applyFill="1" applyBorder="1" applyAlignment="1" applyProtection="1">
      <alignment horizontal="left" vertical="top" wrapText="1"/>
    </xf>
    <xf numFmtId="0" fontId="0" fillId="0" borderId="0" xfId="0" applyBorder="1"/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7" borderId="1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8" fillId="7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right"/>
    </xf>
    <xf numFmtId="0" fontId="39" fillId="0" borderId="0" xfId="8" applyFont="1" applyFill="1" applyBorder="1" applyAlignment="1" applyProtection="1">
      <alignment horizontal="left"/>
    </xf>
    <xf numFmtId="0" fontId="0" fillId="6" borderId="0" xfId="0" applyFill="1" applyProtection="1"/>
    <xf numFmtId="0" fontId="30" fillId="15" borderId="39" xfId="7" applyFill="1" applyBorder="1" applyAlignment="1">
      <alignment horizontal="center"/>
    </xf>
    <xf numFmtId="0" fontId="30" fillId="15" borderId="0" xfId="7" applyFill="1" applyBorder="1" applyAlignment="1">
      <alignment horizontal="left"/>
    </xf>
    <xf numFmtId="0" fontId="30" fillId="15" borderId="0" xfId="7" applyFill="1" applyBorder="1" applyAlignment="1">
      <alignment horizontal="center"/>
    </xf>
    <xf numFmtId="0" fontId="30" fillId="15" borderId="40" xfId="7" applyFill="1" applyBorder="1" applyAlignment="1">
      <alignment horizontal="left"/>
    </xf>
    <xf numFmtId="0" fontId="30" fillId="15" borderId="40" xfId="7" applyFill="1" applyBorder="1" applyAlignment="1">
      <alignment horizontal="center"/>
    </xf>
    <xf numFmtId="0" fontId="30" fillId="15" borderId="41" xfId="7" applyFill="1" applyBorder="1" applyAlignment="1">
      <alignment horizontal="center"/>
    </xf>
    <xf numFmtId="0" fontId="30" fillId="15" borderId="42" xfId="7" applyFill="1" applyBorder="1" applyAlignment="1">
      <alignment horizontal="left"/>
    </xf>
    <xf numFmtId="0" fontId="30" fillId="15" borderId="42" xfId="7" applyFill="1" applyBorder="1" applyAlignment="1">
      <alignment horizontal="center"/>
    </xf>
    <xf numFmtId="0" fontId="30" fillId="15" borderId="43" xfId="7" applyFill="1" applyBorder="1" applyAlignment="1">
      <alignment horizontal="left"/>
    </xf>
    <xf numFmtId="0" fontId="30" fillId="15" borderId="91" xfId="7" applyFill="1" applyBorder="1" applyAlignment="1">
      <alignment horizontal="center"/>
    </xf>
    <xf numFmtId="0" fontId="8" fillId="5" borderId="0" xfId="7" applyFont="1" applyFill="1" applyBorder="1" applyAlignment="1">
      <alignment horizontal="right" vertical="center"/>
    </xf>
    <xf numFmtId="0" fontId="68" fillId="0" borderId="0" xfId="0" applyFont="1" applyAlignment="1" applyProtection="1">
      <alignment horizont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</xf>
    <xf numFmtId="2" fontId="36" fillId="0" borderId="26" xfId="0" applyNumberFormat="1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3" fillId="0" borderId="0" xfId="2" applyBorder="1" applyAlignment="1" applyProtection="1">
      <alignment horizontal="left"/>
      <protection locked="0"/>
    </xf>
    <xf numFmtId="0" fontId="64" fillId="4" borderId="0" xfId="0" applyFont="1" applyFill="1" applyAlignment="1" applyProtection="1">
      <alignment horizontal="center" vertical="center" wrapText="1"/>
    </xf>
    <xf numFmtId="0" fontId="27" fillId="4" borderId="0" xfId="0" applyFont="1" applyFill="1" applyAlignment="1" applyProtection="1">
      <alignment horizontal="center" vertical="center" wrapText="1"/>
    </xf>
    <xf numFmtId="168" fontId="1" fillId="6" borderId="0" xfId="8" applyNumberFormat="1" applyFill="1" applyBorder="1" applyAlignment="1" applyProtection="1">
      <alignment horizontal="center"/>
    </xf>
    <xf numFmtId="0" fontId="82" fillId="0" borderId="0" xfId="0" applyFont="1" applyBorder="1" applyAlignment="1" applyProtection="1">
      <alignment horizontal="center" vertical="top" wrapText="1"/>
    </xf>
    <xf numFmtId="0" fontId="82" fillId="0" borderId="0" xfId="0" applyFont="1" applyBorder="1" applyAlignment="1" applyProtection="1">
      <alignment horizontal="center" vertical="top"/>
    </xf>
    <xf numFmtId="168" fontId="1" fillId="0" borderId="0" xfId="8" applyNumberFormat="1" applyFill="1" applyBorder="1" applyAlignment="1" applyProtection="1">
      <alignment horizontal="center"/>
    </xf>
    <xf numFmtId="168" fontId="1" fillId="3" borderId="4" xfId="8" applyNumberFormat="1" applyFill="1" applyBorder="1" applyAlignment="1" applyProtection="1">
      <alignment horizontal="center"/>
      <protection locked="0"/>
    </xf>
    <xf numFmtId="168" fontId="1" fillId="7" borderId="4" xfId="8" applyNumberFormat="1" applyFill="1" applyBorder="1" applyAlignment="1" applyProtection="1">
      <alignment horizontal="left"/>
      <protection locked="0"/>
    </xf>
    <xf numFmtId="0" fontId="1" fillId="0" borderId="0" xfId="8" applyBorder="1" applyAlignment="1" applyProtection="1">
      <alignment horizontal="left" wrapText="1"/>
    </xf>
    <xf numFmtId="0" fontId="39" fillId="0" borderId="2" xfId="8" applyFont="1" applyBorder="1" applyAlignment="1" applyProtection="1">
      <alignment horizontal="left" wrapText="1"/>
    </xf>
    <xf numFmtId="0" fontId="92" fillId="5" borderId="57" xfId="10" applyFont="1" applyFill="1" applyBorder="1" applyAlignment="1" applyProtection="1">
      <alignment horizontal="center" vertical="center"/>
    </xf>
    <xf numFmtId="0" fontId="92" fillId="5" borderId="57" xfId="3" applyFont="1" applyFill="1" applyBorder="1" applyAlignment="1" applyProtection="1">
      <alignment horizontal="center" vertical="center"/>
    </xf>
    <xf numFmtId="0" fontId="65" fillId="5" borderId="0" xfId="7" applyFont="1" applyFill="1" applyAlignment="1">
      <alignment horizontal="center"/>
    </xf>
    <xf numFmtId="0" fontId="30" fillId="5" borderId="0" xfId="7" applyFill="1" applyAlignment="1" applyProtection="1">
      <alignment horizontal="center"/>
      <protection locked="0"/>
    </xf>
    <xf numFmtId="0" fontId="24" fillId="5" borderId="0" xfId="7" applyFont="1" applyFill="1" applyBorder="1" applyAlignment="1">
      <alignment horizontal="center"/>
    </xf>
    <xf numFmtId="0" fontId="24" fillId="5" borderId="7" xfId="7" applyFont="1" applyFill="1" applyBorder="1" applyAlignment="1">
      <alignment horizontal="left"/>
    </xf>
    <xf numFmtId="0" fontId="24" fillId="5" borderId="0" xfId="7" applyFont="1" applyFill="1" applyBorder="1" applyAlignment="1">
      <alignment horizontal="left"/>
    </xf>
    <xf numFmtId="0" fontId="8" fillId="8" borderId="0" xfId="3" applyFill="1" applyBorder="1" applyAlignment="1" applyProtection="1">
      <alignment horizontal="center"/>
      <protection locked="0"/>
    </xf>
    <xf numFmtId="0" fontId="0" fillId="8" borderId="0" xfId="0" applyFill="1" applyAlignment="1" applyProtection="1">
      <alignment horizontal="center"/>
      <protection locked="0"/>
    </xf>
    <xf numFmtId="2" fontId="30" fillId="0" borderId="26" xfId="7" applyNumberFormat="1" applyBorder="1" applyAlignment="1">
      <alignment horizontal="center" vertical="center"/>
    </xf>
    <xf numFmtId="2" fontId="30" fillId="0" borderId="28" xfId="7" applyNumberFormat="1" applyBorder="1" applyAlignment="1">
      <alignment horizontal="center" vertical="center"/>
    </xf>
    <xf numFmtId="0" fontId="90" fillId="0" borderId="0" xfId="0" applyFont="1" applyFill="1" applyAlignment="1">
      <alignment horizontal="center" vertical="center"/>
    </xf>
    <xf numFmtId="0" fontId="8" fillId="5" borderId="45" xfId="3" applyFont="1" applyFill="1" applyBorder="1" applyAlignment="1" applyProtection="1">
      <alignment horizontal="center" vertical="center" wrapText="1"/>
      <protection locked="0"/>
    </xf>
    <xf numFmtId="0" fontId="8" fillId="5" borderId="46" xfId="3" applyFont="1" applyFill="1" applyBorder="1" applyAlignment="1" applyProtection="1">
      <alignment horizontal="center" vertical="center" wrapText="1"/>
      <protection locked="0"/>
    </xf>
    <xf numFmtId="0" fontId="8" fillId="5" borderId="47" xfId="3" applyFont="1" applyFill="1" applyBorder="1" applyAlignment="1" applyProtection="1">
      <alignment horizontal="center" vertical="center" wrapText="1"/>
      <protection locked="0"/>
    </xf>
    <xf numFmtId="0" fontId="8" fillId="5" borderId="48" xfId="3" applyFont="1" applyFill="1" applyBorder="1" applyAlignment="1" applyProtection="1">
      <alignment horizontal="center" vertical="center" wrapText="1"/>
      <protection locked="0"/>
    </xf>
    <xf numFmtId="0" fontId="8" fillId="5" borderId="0" xfId="3" applyFont="1" applyFill="1" applyBorder="1" applyAlignment="1" applyProtection="1">
      <alignment horizontal="center" vertical="center" wrapText="1"/>
      <protection locked="0"/>
    </xf>
    <xf numFmtId="0" fontId="8" fillId="5" borderId="49" xfId="3" applyFont="1" applyFill="1" applyBorder="1" applyAlignment="1" applyProtection="1">
      <alignment horizontal="center" vertical="center" wrapText="1"/>
      <protection locked="0"/>
    </xf>
    <xf numFmtId="0" fontId="8" fillId="5" borderId="50" xfId="3" applyFont="1" applyFill="1" applyBorder="1" applyAlignment="1" applyProtection="1">
      <alignment horizontal="center" vertical="center" wrapText="1"/>
      <protection locked="0"/>
    </xf>
    <xf numFmtId="0" fontId="8" fillId="5" borderId="51" xfId="3" applyFont="1" applyFill="1" applyBorder="1" applyAlignment="1" applyProtection="1">
      <alignment horizontal="center" vertical="center" wrapText="1"/>
      <protection locked="0"/>
    </xf>
    <xf numFmtId="0" fontId="8" fillId="5" borderId="52" xfId="3" applyFont="1" applyFill="1" applyBorder="1" applyAlignment="1" applyProtection="1">
      <alignment horizontal="center" vertical="center" wrapText="1"/>
      <protection locked="0"/>
    </xf>
    <xf numFmtId="0" fontId="77" fillId="5" borderId="0" xfId="3" applyFont="1" applyFill="1" applyBorder="1" applyAlignment="1" applyProtection="1">
      <alignment horizontal="center" vertical="center" wrapText="1"/>
      <protection locked="0"/>
    </xf>
    <xf numFmtId="0" fontId="8" fillId="5" borderId="0" xfId="10" applyFont="1" applyFill="1" applyBorder="1" applyAlignment="1" applyProtection="1">
      <alignment horizontal="left" vertical="top" wrapText="1"/>
    </xf>
    <xf numFmtId="0" fontId="8" fillId="5" borderId="58" xfId="10" applyFont="1" applyFill="1" applyBorder="1" applyAlignment="1" applyProtection="1">
      <alignment horizontal="left" vertical="top" wrapText="1"/>
    </xf>
    <xf numFmtId="0" fontId="95" fillId="0" borderId="30" xfId="2" applyFont="1" applyFill="1" applyBorder="1" applyAlignment="1" applyProtection="1">
      <alignment horizontal="center" vertical="center" wrapText="1"/>
      <protection locked="0"/>
    </xf>
    <xf numFmtId="0" fontId="95" fillId="0" borderId="31" xfId="2" applyFont="1" applyFill="1" applyBorder="1" applyAlignment="1" applyProtection="1">
      <alignment horizontal="center" vertical="center"/>
      <protection locked="0"/>
    </xf>
    <xf numFmtId="0" fontId="95" fillId="0" borderId="32" xfId="2" applyFont="1" applyFill="1" applyBorder="1" applyAlignment="1" applyProtection="1">
      <alignment horizontal="center" vertical="center"/>
      <protection locked="0"/>
    </xf>
    <xf numFmtId="0" fontId="95" fillId="0" borderId="33" xfId="2" applyFont="1" applyFill="1" applyBorder="1" applyAlignment="1" applyProtection="1">
      <alignment horizontal="center" vertical="center"/>
      <protection locked="0"/>
    </xf>
    <xf numFmtId="0" fontId="26" fillId="0" borderId="0" xfId="8" applyFont="1" applyFill="1" applyBorder="1" applyAlignment="1" applyProtection="1">
      <alignment horizontal="left" vertical="center" wrapText="1"/>
    </xf>
    <xf numFmtId="0" fontId="3" fillId="0" borderId="0" xfId="2" applyFill="1" applyBorder="1" applyAlignment="1" applyProtection="1">
      <alignment horizontal="center"/>
      <protection locked="0"/>
    </xf>
    <xf numFmtId="0" fontId="92" fillId="5" borderId="0" xfId="3" applyFont="1" applyFill="1" applyBorder="1" applyAlignment="1" applyProtection="1">
      <alignment horizontal="center" vertical="center"/>
    </xf>
    <xf numFmtId="0" fontId="8" fillId="5" borderId="0" xfId="3" applyFont="1" applyFill="1" applyBorder="1" applyAlignment="1" applyProtection="1">
      <alignment horizontal="center" vertical="top" wrapText="1"/>
    </xf>
    <xf numFmtId="0" fontId="30" fillId="5" borderId="34" xfId="7" applyFont="1" applyFill="1" applyBorder="1" applyAlignment="1">
      <alignment horizontal="right"/>
    </xf>
    <xf numFmtId="0" fontId="30" fillId="5" borderId="35" xfId="7" applyFont="1" applyFill="1" applyBorder="1" applyAlignment="1">
      <alignment horizontal="right"/>
    </xf>
    <xf numFmtId="0" fontId="18" fillId="0" borderId="4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vertical="top" wrapText="1"/>
    </xf>
    <xf numFmtId="0" fontId="98" fillId="0" borderId="88" xfId="0" applyFont="1" applyFill="1" applyBorder="1" applyAlignment="1" applyProtection="1">
      <alignment horizontal="center" vertical="center"/>
    </xf>
    <xf numFmtId="0" fontId="98" fillId="0" borderId="0" xfId="0" applyFont="1" applyFill="1" applyBorder="1" applyAlignment="1" applyProtection="1">
      <alignment horizontal="center" vertical="center"/>
    </xf>
    <xf numFmtId="0" fontId="91" fillId="0" borderId="4" xfId="0" applyFont="1" applyFill="1" applyBorder="1" applyAlignment="1" applyProtection="1">
      <alignment horizontal="center"/>
    </xf>
    <xf numFmtId="0" fontId="7" fillId="0" borderId="0" xfId="8" applyFont="1" applyFill="1" applyBorder="1" applyAlignment="1">
      <alignment horizontal="center" vertical="top" wrapText="1"/>
    </xf>
    <xf numFmtId="0" fontId="7" fillId="0" borderId="42" xfId="8" applyFont="1" applyFill="1" applyBorder="1" applyAlignment="1">
      <alignment horizontal="center" vertical="top" wrapText="1"/>
    </xf>
    <xf numFmtId="0" fontId="89" fillId="0" borderId="0" xfId="8" applyFont="1" applyFill="1" applyBorder="1" applyAlignment="1" applyProtection="1">
      <alignment horizontal="center" vertical="center"/>
    </xf>
    <xf numFmtId="0" fontId="8" fillId="0" borderId="0" xfId="8" applyFont="1" applyFill="1" applyBorder="1" applyAlignment="1" applyProtection="1">
      <alignment horizontal="center"/>
    </xf>
    <xf numFmtId="0" fontId="8" fillId="0" borderId="4" xfId="8" applyFont="1" applyFill="1" applyBorder="1" applyAlignment="1" applyProtection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8" fillId="0" borderId="39" xfId="8" applyFont="1" applyFill="1" applyBorder="1" applyAlignment="1">
      <alignment horizontal="center" textRotation="90"/>
    </xf>
    <xf numFmtId="0" fontId="8" fillId="0" borderId="0" xfId="8" applyFont="1" applyFill="1" applyBorder="1" applyAlignment="1">
      <alignment horizontal="center" textRotation="90"/>
    </xf>
    <xf numFmtId="0" fontId="3" fillId="0" borderId="0" xfId="2" applyFill="1" applyBorder="1" applyAlignment="1" applyProtection="1">
      <alignment horizontal="left" vertical="center" wrapText="1"/>
      <protection locked="0"/>
    </xf>
    <xf numFmtId="0" fontId="6" fillId="0" borderId="0" xfId="8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0" fontId="13" fillId="5" borderId="0" xfId="8" applyFont="1" applyFill="1" applyBorder="1" applyAlignment="1">
      <alignment horizontal="center"/>
    </xf>
    <xf numFmtId="0" fontId="30" fillId="5" borderId="72" xfId="7" applyFill="1" applyBorder="1" applyAlignment="1" applyProtection="1">
      <alignment horizontal="center"/>
      <protection locked="0"/>
    </xf>
    <xf numFmtId="0" fontId="30" fillId="5" borderId="70" xfId="7" applyFill="1" applyBorder="1" applyAlignment="1" applyProtection="1">
      <alignment horizontal="center"/>
      <protection locked="0"/>
    </xf>
    <xf numFmtId="0" fontId="19" fillId="0" borderId="0" xfId="8" applyFont="1" applyFill="1" applyBorder="1" applyAlignment="1" applyProtection="1">
      <alignment horizontal="center" vertical="center"/>
    </xf>
    <xf numFmtId="0" fontId="1" fillId="4" borderId="57" xfId="8" applyFill="1" applyBorder="1" applyAlignment="1" applyProtection="1">
      <alignment horizontal="left" vertical="top" wrapText="1"/>
    </xf>
    <xf numFmtId="0" fontId="1" fillId="4" borderId="0" xfId="8" applyFill="1" applyBorder="1" applyAlignment="1" applyProtection="1">
      <alignment horizontal="left" vertical="top" wrapText="1"/>
    </xf>
    <xf numFmtId="0" fontId="12" fillId="4" borderId="0" xfId="8" applyFont="1" applyFill="1" applyBorder="1" applyAlignment="1" applyProtection="1">
      <alignment horizontal="center"/>
    </xf>
    <xf numFmtId="0" fontId="13" fillId="4" borderId="0" xfId="8" applyFont="1" applyFill="1" applyBorder="1" applyAlignment="1" applyProtection="1">
      <alignment horizontal="center"/>
    </xf>
    <xf numFmtId="0" fontId="22" fillId="4" borderId="57" xfId="8" applyFont="1" applyFill="1" applyBorder="1" applyAlignment="1" applyProtection="1">
      <alignment horizontal="left" vertical="top" wrapText="1"/>
    </xf>
    <xf numFmtId="0" fontId="34" fillId="0" borderId="13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35" fillId="3" borderId="4" xfId="0" applyFont="1" applyFill="1" applyBorder="1" applyAlignment="1">
      <alignment horizontal="left"/>
    </xf>
    <xf numFmtId="0" fontId="35" fillId="0" borderId="13" xfId="0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5" fillId="3" borderId="29" xfId="0" applyFont="1" applyFill="1" applyBorder="1" applyAlignment="1">
      <alignment horizontal="center"/>
    </xf>
    <xf numFmtId="14" fontId="35" fillId="3" borderId="4" xfId="0" applyNumberFormat="1" applyFont="1" applyFill="1" applyBorder="1" applyAlignment="1">
      <alignment horizontal="center"/>
    </xf>
    <xf numFmtId="0" fontId="35" fillId="3" borderId="4" xfId="0" applyFont="1" applyFill="1" applyBorder="1" applyAlignment="1">
      <alignment horizontal="center"/>
    </xf>
    <xf numFmtId="0" fontId="35" fillId="3" borderId="11" xfId="0" applyFont="1" applyFill="1" applyBorder="1" applyAlignment="1">
      <alignment horizontal="center"/>
    </xf>
    <xf numFmtId="0" fontId="35" fillId="3" borderId="4" xfId="0" applyFont="1" applyFill="1" applyBorder="1" applyAlignment="1"/>
  </cellXfs>
  <cellStyles count="13">
    <cellStyle name="Comma" xfId="1" builtinId="3"/>
    <cellStyle name="Hyperlink" xfId="2" builtinId="8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3 2" xfId="6" xr:uid="{00000000-0005-0000-0000-000006000000}"/>
    <cellStyle name="Normal_SWRWKSHT" xfId="7" xr:uid="{00000000-0005-0000-0000-000007000000}"/>
    <cellStyle name="Normal_SWRWKSHT - 3R" xfId="8" xr:uid="{00000000-0005-0000-0000-000008000000}"/>
    <cellStyle name="Normal_SWRWKSHT - 3R 2" xfId="9" xr:uid="{00000000-0005-0000-0000-000009000000}"/>
    <cellStyle name="Normal_SWRWKSHT 2" xfId="10" xr:uid="{00000000-0005-0000-0000-00000A000000}"/>
    <cellStyle name="Percent" xfId="11" builtinId="5"/>
    <cellStyle name="Percent 2" xfId="12" xr:uid="{00000000-0005-0000-0000-00000C000000}"/>
  </cellStyles>
  <dxfs count="22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11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9933"/>
      <color rgb="FF0066FF"/>
      <color rgb="FF00FFFF"/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22</xdr:row>
      <xdr:rowOff>0</xdr:rowOff>
    </xdr:from>
    <xdr:to>
      <xdr:col>10</xdr:col>
      <xdr:colOff>542925</xdr:colOff>
      <xdr:row>23</xdr:row>
      <xdr:rowOff>123825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5057775" y="1133475"/>
          <a:ext cx="119062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200025</xdr:colOff>
      <xdr:row>47</xdr:row>
      <xdr:rowOff>85725</xdr:rowOff>
    </xdr:from>
    <xdr:to>
      <xdr:col>12</xdr:col>
      <xdr:colOff>400050</xdr:colOff>
      <xdr:row>47</xdr:row>
      <xdr:rowOff>85725</xdr:rowOff>
    </xdr:to>
    <xdr:sp macro="" textlink="">
      <xdr:nvSpPr>
        <xdr:cNvPr id="4" name="Line 2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7124700" y="54292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45</xdr:row>
          <xdr:rowOff>38100</xdr:rowOff>
        </xdr:from>
        <xdr:to>
          <xdr:col>2</xdr:col>
          <xdr:colOff>361950</xdr:colOff>
          <xdr:row>46</xdr:row>
          <xdr:rowOff>0</xdr:rowOff>
        </xdr:to>
        <xdr:sp macro="" textlink="">
          <xdr:nvSpPr>
            <xdr:cNvPr id="12289" name="Picture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2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45</xdr:row>
          <xdr:rowOff>47625</xdr:rowOff>
        </xdr:from>
        <xdr:to>
          <xdr:col>3</xdr:col>
          <xdr:colOff>352425</xdr:colOff>
          <xdr:row>46</xdr:row>
          <xdr:rowOff>9525</xdr:rowOff>
        </xdr:to>
        <xdr:sp macro="" textlink="">
          <xdr:nvSpPr>
            <xdr:cNvPr id="12290" name="Picture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2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21</xdr:row>
          <xdr:rowOff>180975</xdr:rowOff>
        </xdr:from>
        <xdr:to>
          <xdr:col>13</xdr:col>
          <xdr:colOff>257175</xdr:colOff>
          <xdr:row>27</xdr:row>
          <xdr:rowOff>161925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32001"/>
              </a:srgbClr>
            </a:solidFill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11</xdr:col>
      <xdr:colOff>101600</xdr:colOff>
      <xdr:row>4</xdr:row>
      <xdr:rowOff>114300</xdr:rowOff>
    </xdr:from>
    <xdr:to>
      <xdr:col>11</xdr:col>
      <xdr:colOff>469900</xdr:colOff>
      <xdr:row>6</xdr:row>
      <xdr:rowOff>104775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/>
        </xdr:cNvSpPr>
      </xdr:nvSpPr>
      <xdr:spPr bwMode="auto">
        <a:xfrm>
          <a:off x="6311900" y="787400"/>
          <a:ext cx="368300" cy="346075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596899</xdr:colOff>
      <xdr:row>5</xdr:row>
      <xdr:rowOff>66674</xdr:rowOff>
    </xdr:from>
    <xdr:to>
      <xdr:col>5</xdr:col>
      <xdr:colOff>142874</xdr:colOff>
      <xdr:row>6</xdr:row>
      <xdr:rowOff>190499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/>
        </xdr:cNvSpPr>
      </xdr:nvSpPr>
      <xdr:spPr bwMode="auto">
        <a:xfrm rot="10800000">
          <a:off x="2539999" y="1019174"/>
          <a:ext cx="155575" cy="314325"/>
        </a:xfrm>
        <a:prstGeom prst="rightBrace">
          <a:avLst>
            <a:gd name="adj1" fmla="val 23685"/>
            <a:gd name="adj2" fmla="val 4737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457200</xdr:colOff>
      <xdr:row>28</xdr:row>
      <xdr:rowOff>0</xdr:rowOff>
    </xdr:from>
    <xdr:to>
      <xdr:col>28</xdr:col>
      <xdr:colOff>419100</xdr:colOff>
      <xdr:row>44</xdr:row>
      <xdr:rowOff>85725</xdr:rowOff>
    </xdr:to>
    <xdr:sp macro="" textlink="">
      <xdr:nvSpPr>
        <xdr:cNvPr id="6" name="Rectangle 4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571500" y="26908125"/>
          <a:ext cx="6162675" cy="2676525"/>
        </a:xfrm>
        <a:prstGeom prst="rect">
          <a:avLst/>
        </a:prstGeom>
        <a:noFill/>
        <a:ln w="25400" algn="ctr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114300</xdr:colOff>
      <xdr:row>43</xdr:row>
      <xdr:rowOff>28575</xdr:rowOff>
    </xdr:from>
    <xdr:to>
      <xdr:col>27</xdr:col>
      <xdr:colOff>352425</xdr:colOff>
      <xdr:row>43</xdr:row>
      <xdr:rowOff>38100</xdr:rowOff>
    </xdr:to>
    <xdr:sp macro="" textlink="">
      <xdr:nvSpPr>
        <xdr:cNvPr id="7" name="Line 4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 flipH="1" flipV="1">
          <a:off x="5819775" y="29365575"/>
          <a:ext cx="2381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28575</xdr:colOff>
      <xdr:row>39</xdr:row>
      <xdr:rowOff>85725</xdr:rowOff>
    </xdr:from>
    <xdr:to>
      <xdr:col>27</xdr:col>
      <xdr:colOff>314325</xdr:colOff>
      <xdr:row>39</xdr:row>
      <xdr:rowOff>85725</xdr:rowOff>
    </xdr:to>
    <xdr:sp macro="" textlink="">
      <xdr:nvSpPr>
        <xdr:cNvPr id="8" name="Line 4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 flipH="1">
          <a:off x="5734050" y="287750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64</xdr:row>
      <xdr:rowOff>9525</xdr:rowOff>
    </xdr:from>
    <xdr:to>
      <xdr:col>4</xdr:col>
      <xdr:colOff>561975</xdr:colOff>
      <xdr:row>68</xdr:row>
      <xdr:rowOff>38100</xdr:rowOff>
    </xdr:to>
    <xdr:sp macro="" textlink="">
      <xdr:nvSpPr>
        <xdr:cNvPr id="2" name="Line 3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1352550" y="10639425"/>
          <a:ext cx="1171575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409575</xdr:colOff>
      <xdr:row>153</xdr:row>
      <xdr:rowOff>28575</xdr:rowOff>
    </xdr:from>
    <xdr:to>
      <xdr:col>5</xdr:col>
      <xdr:colOff>514350</xdr:colOff>
      <xdr:row>153</xdr:row>
      <xdr:rowOff>28575</xdr:rowOff>
    </xdr:to>
    <xdr:sp macro="" textlink="">
      <xdr:nvSpPr>
        <xdr:cNvPr id="10" name="Line 2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ShapeType="1"/>
        </xdr:cNvSpPr>
      </xdr:nvSpPr>
      <xdr:spPr bwMode="auto">
        <a:xfrm>
          <a:off x="2371725" y="230505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409575</xdr:colOff>
      <xdr:row>153</xdr:row>
      <xdr:rowOff>38100</xdr:rowOff>
    </xdr:from>
    <xdr:to>
      <xdr:col>5</xdr:col>
      <xdr:colOff>504825</xdr:colOff>
      <xdr:row>153</xdr:row>
      <xdr:rowOff>76200</xdr:rowOff>
    </xdr:to>
    <xdr:sp macro="" textlink="">
      <xdr:nvSpPr>
        <xdr:cNvPr id="11" name="Line 23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ShapeType="1"/>
        </xdr:cNvSpPr>
      </xdr:nvSpPr>
      <xdr:spPr bwMode="auto">
        <a:xfrm>
          <a:off x="2371725" y="23060025"/>
          <a:ext cx="9525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409575</xdr:colOff>
      <xdr:row>153</xdr:row>
      <xdr:rowOff>85725</xdr:rowOff>
    </xdr:from>
    <xdr:to>
      <xdr:col>5</xdr:col>
      <xdr:colOff>495300</xdr:colOff>
      <xdr:row>153</xdr:row>
      <xdr:rowOff>123825</xdr:rowOff>
    </xdr:to>
    <xdr:sp macro="" textlink="">
      <xdr:nvSpPr>
        <xdr:cNvPr id="12" name="Line 24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ShapeType="1"/>
        </xdr:cNvSpPr>
      </xdr:nvSpPr>
      <xdr:spPr bwMode="auto">
        <a:xfrm flipH="1">
          <a:off x="2371725" y="23107650"/>
          <a:ext cx="85725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428625</xdr:colOff>
      <xdr:row>153</xdr:row>
      <xdr:rowOff>123825</xdr:rowOff>
    </xdr:from>
    <xdr:to>
      <xdr:col>5</xdr:col>
      <xdr:colOff>514350</xdr:colOff>
      <xdr:row>153</xdr:row>
      <xdr:rowOff>123825</xdr:rowOff>
    </xdr:to>
    <xdr:sp macro="" textlink="">
      <xdr:nvSpPr>
        <xdr:cNvPr id="13" name="Line 25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>
          <a:off x="2390775" y="2314575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180975</xdr:colOff>
      <xdr:row>139</xdr:row>
      <xdr:rowOff>104775</xdr:rowOff>
    </xdr:from>
    <xdr:to>
      <xdr:col>22</xdr:col>
      <xdr:colOff>9525</xdr:colOff>
      <xdr:row>139</xdr:row>
      <xdr:rowOff>104775</xdr:rowOff>
    </xdr:to>
    <xdr:sp macro="" textlink="">
      <xdr:nvSpPr>
        <xdr:cNvPr id="14" name="Line 34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ShapeType="1"/>
        </xdr:cNvSpPr>
      </xdr:nvSpPr>
      <xdr:spPr bwMode="auto">
        <a:xfrm flipH="1">
          <a:off x="10868025" y="208597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123825</xdr:colOff>
      <xdr:row>141</xdr:row>
      <xdr:rowOff>104775</xdr:rowOff>
    </xdr:from>
    <xdr:to>
      <xdr:col>9</xdr:col>
      <xdr:colOff>561975</xdr:colOff>
      <xdr:row>141</xdr:row>
      <xdr:rowOff>104775</xdr:rowOff>
    </xdr:to>
    <xdr:sp macro="" textlink="">
      <xdr:nvSpPr>
        <xdr:cNvPr id="15" name="Line 35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ShapeType="1"/>
        </xdr:cNvSpPr>
      </xdr:nvSpPr>
      <xdr:spPr bwMode="auto">
        <a:xfrm flipH="1">
          <a:off x="4600575" y="21183600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14</xdr:row>
      <xdr:rowOff>28575</xdr:rowOff>
    </xdr:from>
    <xdr:to>
      <xdr:col>2</xdr:col>
      <xdr:colOff>209550</xdr:colOff>
      <xdr:row>15</xdr:row>
      <xdr:rowOff>114300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14592300" y="11725275"/>
          <a:ext cx="180975" cy="247650"/>
        </a:xfrm>
        <a:prstGeom prst="line">
          <a:avLst/>
        </a:prstGeom>
        <a:noFill/>
        <a:ln w="158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14</xdr:row>
      <xdr:rowOff>28575</xdr:rowOff>
    </xdr:from>
    <xdr:to>
      <xdr:col>3</xdr:col>
      <xdr:colOff>200025</xdr:colOff>
      <xdr:row>14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14792325" y="11725275"/>
          <a:ext cx="552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14</xdr:row>
      <xdr:rowOff>28575</xdr:rowOff>
    </xdr:from>
    <xdr:to>
      <xdr:col>3</xdr:col>
      <xdr:colOff>352425</xdr:colOff>
      <xdr:row>15</xdr:row>
      <xdr:rowOff>123825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>
          <a:off x="15344775" y="11725275"/>
          <a:ext cx="152400" cy="257175"/>
        </a:xfrm>
        <a:prstGeom prst="line">
          <a:avLst/>
        </a:prstGeom>
        <a:noFill/>
        <a:ln w="158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209549</xdr:colOff>
      <xdr:row>14</xdr:row>
      <xdr:rowOff>28575</xdr:rowOff>
    </xdr:from>
    <xdr:to>
      <xdr:col>2</xdr:col>
      <xdr:colOff>200024</xdr:colOff>
      <xdr:row>15</xdr:row>
      <xdr:rowOff>123825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ShapeType="1"/>
        </xdr:cNvSpPr>
      </xdr:nvSpPr>
      <xdr:spPr bwMode="auto">
        <a:xfrm flipH="1">
          <a:off x="723899" y="2295525"/>
          <a:ext cx="504825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14</xdr:row>
      <xdr:rowOff>28575</xdr:rowOff>
    </xdr:from>
    <xdr:to>
      <xdr:col>4</xdr:col>
      <xdr:colOff>114300</xdr:colOff>
      <xdr:row>15</xdr:row>
      <xdr:rowOff>123825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ShapeType="1"/>
        </xdr:cNvSpPr>
      </xdr:nvSpPr>
      <xdr:spPr bwMode="auto">
        <a:xfrm>
          <a:off x="1743075" y="2295525"/>
          <a:ext cx="428625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15</xdr:row>
      <xdr:rowOff>123824</xdr:rowOff>
    </xdr:from>
    <xdr:to>
      <xdr:col>4</xdr:col>
      <xdr:colOff>114300</xdr:colOff>
      <xdr:row>15</xdr:row>
      <xdr:rowOff>133349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ShapeType="1"/>
        </xdr:cNvSpPr>
      </xdr:nvSpPr>
      <xdr:spPr bwMode="auto">
        <a:xfrm flipV="1">
          <a:off x="742950" y="2552699"/>
          <a:ext cx="14287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rab.wa.gov/grants/OnLineForms/crab_calcgraph.pdf" TargetMode="External"/><Relationship Id="rId6" Type="http://schemas.openxmlformats.org/officeDocument/2006/relationships/image" Target="../media/image3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32"/>
  <sheetViews>
    <sheetView workbookViewId="0"/>
  </sheetViews>
  <sheetFormatPr defaultRowHeight="12.75" x14ac:dyDescent="0.2"/>
  <cols>
    <col min="1" max="16384" width="9.140625" style="5"/>
  </cols>
  <sheetData>
    <row r="1" spans="1:9" x14ac:dyDescent="0.2">
      <c r="A1" s="66"/>
      <c r="B1" s="685" t="s">
        <v>407</v>
      </c>
      <c r="C1" s="685"/>
      <c r="D1" s="685"/>
      <c r="E1" s="685"/>
      <c r="F1" s="685"/>
      <c r="G1" s="685"/>
      <c r="H1" s="685"/>
      <c r="I1" s="685"/>
    </row>
    <row r="2" spans="1:9" x14ac:dyDescent="0.2">
      <c r="A2" s="66"/>
      <c r="B2" s="685"/>
      <c r="C2" s="685"/>
      <c r="D2" s="685"/>
      <c r="E2" s="685"/>
      <c r="F2" s="685"/>
      <c r="G2" s="685"/>
      <c r="H2" s="685"/>
      <c r="I2" s="685"/>
    </row>
    <row r="3" spans="1:9" ht="12.75" customHeight="1" x14ac:dyDescent="0.4">
      <c r="A3" s="686"/>
      <c r="B3" s="686"/>
      <c r="C3" s="67"/>
      <c r="D3" s="67"/>
      <c r="E3" s="67"/>
      <c r="F3" s="67"/>
      <c r="G3" s="67"/>
      <c r="H3" s="67"/>
      <c r="I3" s="67"/>
    </row>
    <row r="4" spans="1:9" x14ac:dyDescent="0.2">
      <c r="A4" s="687"/>
      <c r="B4" s="687"/>
      <c r="C4" s="66"/>
      <c r="D4" s="68"/>
      <c r="E4" s="68"/>
      <c r="F4" s="66"/>
      <c r="G4" s="66"/>
      <c r="H4" s="66"/>
      <c r="I4" s="66"/>
    </row>
    <row r="5" spans="1:9" x14ac:dyDescent="0.2">
      <c r="A5" s="76"/>
      <c r="B5" s="76"/>
      <c r="C5" s="66"/>
      <c r="D5" s="69" t="s">
        <v>402</v>
      </c>
      <c r="E5" s="69"/>
      <c r="F5" s="70">
        <f>'3R INPUT'!K16</f>
        <v>0</v>
      </c>
      <c r="G5" s="66"/>
      <c r="H5" s="66"/>
      <c r="I5" s="66"/>
    </row>
    <row r="6" spans="1:9" x14ac:dyDescent="0.2">
      <c r="A6" s="77"/>
      <c r="B6" s="77"/>
      <c r="C6" s="66"/>
      <c r="D6" s="69"/>
      <c r="E6" s="69"/>
      <c r="F6" s="66"/>
      <c r="G6" s="66"/>
      <c r="H6" s="66"/>
      <c r="I6" s="66"/>
    </row>
    <row r="7" spans="1:9" x14ac:dyDescent="0.2">
      <c r="A7" s="76"/>
      <c r="B7" s="2"/>
      <c r="C7" s="66"/>
      <c r="D7" s="69" t="s">
        <v>403</v>
      </c>
      <c r="E7" s="69"/>
      <c r="F7" s="70">
        <f>'3R INPUT'!K17</f>
        <v>0</v>
      </c>
      <c r="G7" s="66"/>
      <c r="H7" s="66"/>
      <c r="I7" s="66"/>
    </row>
    <row r="8" spans="1:9" x14ac:dyDescent="0.2">
      <c r="A8" s="76"/>
      <c r="B8" s="2"/>
      <c r="C8" s="66"/>
      <c r="D8" s="69"/>
      <c r="E8" s="69"/>
      <c r="F8" s="71"/>
      <c r="G8" s="66"/>
      <c r="H8" s="66"/>
      <c r="I8" s="66"/>
    </row>
    <row r="9" spans="1:9" x14ac:dyDescent="0.2">
      <c r="A9" s="76"/>
      <c r="B9" s="2"/>
      <c r="C9" s="80"/>
      <c r="D9" s="72" t="s">
        <v>409</v>
      </c>
      <c r="E9" s="72"/>
      <c r="F9" s="81">
        <f>STRUCTURE!G15</f>
        <v>5</v>
      </c>
      <c r="G9" s="66"/>
      <c r="H9" s="66"/>
      <c r="I9" s="66"/>
    </row>
    <row r="10" spans="1:9" x14ac:dyDescent="0.2">
      <c r="A10" s="2"/>
      <c r="B10" s="2"/>
      <c r="C10" s="66"/>
      <c r="D10" s="69"/>
      <c r="E10" s="69"/>
      <c r="F10" s="66"/>
      <c r="G10" s="66"/>
      <c r="H10" s="66"/>
      <c r="I10" s="66"/>
    </row>
    <row r="11" spans="1:9" x14ac:dyDescent="0.2">
      <c r="A11" s="2"/>
      <c r="B11" s="2"/>
      <c r="C11" s="66"/>
      <c r="D11" s="69" t="s">
        <v>404</v>
      </c>
      <c r="E11" s="69"/>
      <c r="F11" s="70">
        <f>'3R INPUT'!K25</f>
        <v>0</v>
      </c>
      <c r="G11" s="66"/>
      <c r="H11" s="66"/>
      <c r="I11" s="66"/>
    </row>
    <row r="12" spans="1:9" x14ac:dyDescent="0.2">
      <c r="A12" s="66"/>
      <c r="B12" s="66"/>
      <c r="C12" s="66"/>
      <c r="D12" s="69"/>
      <c r="E12" s="69"/>
      <c r="F12" s="66"/>
      <c r="G12" s="66"/>
      <c r="H12" s="66"/>
      <c r="I12" s="66"/>
    </row>
    <row r="13" spans="1:9" x14ac:dyDescent="0.2">
      <c r="A13" s="66"/>
      <c r="B13" s="66"/>
      <c r="C13" s="66"/>
      <c r="D13" s="69" t="s">
        <v>405</v>
      </c>
      <c r="E13" s="69"/>
      <c r="F13" s="70">
        <f>'3R INPUT'!K30</f>
        <v>0</v>
      </c>
      <c r="G13" s="66"/>
      <c r="H13" s="66"/>
      <c r="I13" s="66"/>
    </row>
    <row r="14" spans="1:9" x14ac:dyDescent="0.2">
      <c r="A14" s="66"/>
      <c r="B14" s="66"/>
      <c r="C14" s="66"/>
      <c r="D14" s="69"/>
      <c r="E14" s="69"/>
      <c r="F14" s="71"/>
      <c r="G14" s="66"/>
      <c r="H14" s="66"/>
      <c r="I14" s="66"/>
    </row>
    <row r="15" spans="1:9" x14ac:dyDescent="0.2">
      <c r="A15" s="66"/>
      <c r="B15" s="66"/>
      <c r="C15" s="80"/>
      <c r="D15" s="78" t="s">
        <v>410</v>
      </c>
      <c r="E15" s="72"/>
      <c r="F15" s="79"/>
      <c r="G15" s="66"/>
      <c r="H15" s="66"/>
      <c r="I15" s="66"/>
    </row>
    <row r="16" spans="1:9" x14ac:dyDescent="0.2">
      <c r="A16" s="66"/>
      <c r="B16" s="66"/>
      <c r="C16" s="66"/>
      <c r="D16" s="68"/>
      <c r="E16" s="68"/>
      <c r="F16" s="66"/>
      <c r="G16" s="66"/>
      <c r="H16" s="66"/>
      <c r="I16" s="66"/>
    </row>
    <row r="17" spans="1:9" x14ac:dyDescent="0.2">
      <c r="A17" s="66"/>
      <c r="B17" s="66"/>
      <c r="C17" s="66"/>
      <c r="D17" s="69" t="s">
        <v>412</v>
      </c>
      <c r="E17" s="68"/>
      <c r="F17" s="70" t="e">
        <f>'3R INPUT'!K41</f>
        <v>#DIV/0!</v>
      </c>
      <c r="G17" s="66"/>
      <c r="H17" s="66"/>
      <c r="I17" s="66"/>
    </row>
    <row r="18" spans="1:9" x14ac:dyDescent="0.2">
      <c r="A18" s="66"/>
      <c r="B18" s="66"/>
      <c r="C18" s="66"/>
      <c r="D18" s="68"/>
      <c r="E18" s="68"/>
      <c r="F18" s="66"/>
      <c r="G18" s="66"/>
      <c r="H18" s="66"/>
      <c r="I18" s="66"/>
    </row>
    <row r="19" spans="1:9" x14ac:dyDescent="0.2">
      <c r="A19" s="66"/>
      <c r="B19" s="66"/>
      <c r="C19" s="66"/>
      <c r="D19" s="69" t="s">
        <v>406</v>
      </c>
      <c r="E19" s="69"/>
      <c r="F19" s="70">
        <f>'3R INPUT'!K32</f>
        <v>0</v>
      </c>
      <c r="G19" s="75" t="s">
        <v>408</v>
      </c>
      <c r="H19" s="73"/>
      <c r="I19" s="66"/>
    </row>
    <row r="20" spans="1:9" x14ac:dyDescent="0.2">
      <c r="A20" s="66"/>
      <c r="B20" s="66"/>
      <c r="C20" s="66"/>
      <c r="D20" s="69"/>
      <c r="E20" s="69"/>
      <c r="F20" s="66"/>
      <c r="G20" s="66"/>
      <c r="H20" s="66"/>
      <c r="I20" s="66"/>
    </row>
    <row r="21" spans="1:9" hidden="1" x14ac:dyDescent="0.2">
      <c r="A21" s="66"/>
      <c r="B21" s="66"/>
      <c r="C21" s="66"/>
      <c r="D21" s="68"/>
      <c r="E21" s="68"/>
      <c r="F21" s="73" t="e">
        <f>SUM(F5,F7,F17,F19)</f>
        <v>#DIV/0!</v>
      </c>
      <c r="G21" s="66"/>
      <c r="H21" s="66"/>
      <c r="I21" s="66"/>
    </row>
    <row r="22" spans="1:9" x14ac:dyDescent="0.2">
      <c r="A22" s="66"/>
      <c r="B22" s="66"/>
      <c r="C22" s="66"/>
      <c r="D22" s="68"/>
      <c r="E22" s="68"/>
      <c r="F22" s="66"/>
      <c r="G22" s="66"/>
      <c r="H22" s="66"/>
      <c r="I22" s="66"/>
    </row>
    <row r="23" spans="1:9" x14ac:dyDescent="0.2">
      <c r="A23" s="66"/>
      <c r="B23" s="66"/>
      <c r="C23" s="66"/>
      <c r="D23" s="68"/>
      <c r="E23" s="68"/>
      <c r="F23" s="66"/>
      <c r="G23" s="66"/>
      <c r="H23" s="66"/>
      <c r="I23" s="66"/>
    </row>
    <row r="24" spans="1:9" ht="13.5" thickBot="1" x14ac:dyDescent="0.25">
      <c r="A24" s="66"/>
      <c r="B24" s="66"/>
      <c r="C24" s="66"/>
      <c r="D24" s="68"/>
      <c r="E24" s="68"/>
      <c r="F24" s="66"/>
      <c r="G24" s="66"/>
      <c r="H24" s="66"/>
      <c r="I24" s="66"/>
    </row>
    <row r="25" spans="1:9" ht="13.5" thickTop="1" x14ac:dyDescent="0.2">
      <c r="A25" s="58"/>
      <c r="B25" s="58"/>
      <c r="C25" s="59"/>
      <c r="D25" s="58"/>
      <c r="E25" s="58"/>
      <c r="F25" s="688" t="e">
        <f>'3R INPUT'!K44</f>
        <v>#DIV/0!</v>
      </c>
      <c r="G25" s="66"/>
      <c r="H25" s="66"/>
      <c r="I25" s="66"/>
    </row>
    <row r="26" spans="1:9" ht="15.75" x14ac:dyDescent="0.2">
      <c r="A26" s="60"/>
      <c r="B26" s="66"/>
      <c r="C26" s="61" t="s">
        <v>225</v>
      </c>
      <c r="D26" s="62"/>
      <c r="E26" s="63" t="s">
        <v>10</v>
      </c>
      <c r="F26" s="689" t="b">
        <f>IF($A$6&lt;&gt;"",#REF!,IF($B$6&lt;&gt;"",'3R INPUT'!K28))</f>
        <v>0</v>
      </c>
      <c r="G26" s="66"/>
      <c r="H26" s="66"/>
      <c r="I26" s="66"/>
    </row>
    <row r="27" spans="1:9" ht="13.5" thickBot="1" x14ac:dyDescent="0.25">
      <c r="A27" s="58"/>
      <c r="B27" s="58"/>
      <c r="C27" s="64"/>
      <c r="D27" s="58"/>
      <c r="E27" s="58"/>
      <c r="F27" s="690" t="b">
        <f>IF($A$6&lt;&gt;"",#REF!,IF($B$6&lt;&gt;"",'3R INPUT'!K29))</f>
        <v>0</v>
      </c>
      <c r="G27" s="66"/>
      <c r="H27" s="66"/>
      <c r="I27" s="66"/>
    </row>
    <row r="28" spans="1:9" ht="13.5" thickTop="1" x14ac:dyDescent="0.2"/>
    <row r="32" spans="1:9" hidden="1" x14ac:dyDescent="0.2">
      <c r="A32" s="74" t="s">
        <v>411</v>
      </c>
    </row>
  </sheetData>
  <sheetProtection selectLockedCells="1"/>
  <mergeCells count="4">
    <mergeCell ref="B1:I2"/>
    <mergeCell ref="A3:B3"/>
    <mergeCell ref="A4:B4"/>
    <mergeCell ref="F25:F27"/>
  </mergeCells>
  <conditionalFormatting sqref="F25:F27">
    <cfRule type="expression" dxfId="21" priority="2" stopIfTrue="1">
      <formula>ISERROR($N$4)</formula>
    </cfRule>
  </conditionalFormatting>
  <conditionalFormatting sqref="F17">
    <cfRule type="expression" dxfId="20" priority="1" stopIfTrue="1">
      <formula>$A$6&lt;&gt;""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</sheetPr>
  <dimension ref="A3:AM86"/>
  <sheetViews>
    <sheetView tabSelected="1" workbookViewId="0">
      <selection activeCell="C34" sqref="C34:E34"/>
    </sheetView>
  </sheetViews>
  <sheetFormatPr defaultRowHeight="12.75" customHeight="1" x14ac:dyDescent="0.2"/>
  <cols>
    <col min="1" max="1" width="5.5703125" style="148" customWidth="1"/>
    <col min="2" max="2" width="2.7109375" style="148" customWidth="1"/>
    <col min="3" max="3" width="5.7109375" style="148" customWidth="1"/>
    <col min="4" max="10" width="9.140625" style="148"/>
    <col min="11" max="11" width="10.140625" style="148" bestFit="1" customWidth="1"/>
    <col min="12" max="12" width="9.140625" style="148" customWidth="1"/>
    <col min="13" max="13" width="6.42578125" style="148" customWidth="1"/>
    <col min="14" max="25" width="9.140625" style="148"/>
    <col min="26" max="26" width="3.140625" style="148" customWidth="1"/>
    <col min="27" max="31" width="8.7109375" style="148" customWidth="1"/>
    <col min="32" max="32" width="2.5703125" style="148" customWidth="1"/>
    <col min="33" max="36" width="8.7109375" style="148" customWidth="1"/>
    <col min="37" max="37" width="11.28515625" style="148" customWidth="1"/>
    <col min="38" max="38" width="7.85546875" style="148" hidden="1" customWidth="1"/>
    <col min="39" max="39" width="8.7109375" style="148" customWidth="1"/>
    <col min="40" max="16384" width="9.140625" style="148"/>
  </cols>
  <sheetData>
    <row r="3" spans="1:36" ht="15.75" customHeight="1" x14ac:dyDescent="0.25">
      <c r="A3" s="45"/>
      <c r="B3" s="45"/>
      <c r="C3" s="89"/>
      <c r="D3" s="89"/>
      <c r="E3" s="697">
        <v>0</v>
      </c>
      <c r="F3" s="697"/>
      <c r="G3" s="9"/>
      <c r="H3" s="9"/>
      <c r="I3" s="7"/>
      <c r="J3" s="7"/>
      <c r="K3" s="7"/>
      <c r="L3" s="7"/>
      <c r="M3" s="45"/>
      <c r="AA3" s="326"/>
      <c r="AE3" s="692"/>
      <c r="AF3" s="693"/>
      <c r="AG3" s="693"/>
      <c r="AH3" s="693"/>
      <c r="AI3" s="693"/>
      <c r="AJ3" s="327"/>
    </row>
    <row r="4" spans="1:36" ht="12.75" customHeight="1" x14ac:dyDescent="0.25">
      <c r="A4" s="7" t="s">
        <v>0</v>
      </c>
      <c r="B4" s="7"/>
      <c r="C4" s="6"/>
      <c r="D4" s="698"/>
      <c r="E4" s="698"/>
      <c r="F4" s="698"/>
      <c r="G4" s="7"/>
      <c r="H4" s="7"/>
      <c r="I4" s="695" t="s">
        <v>438</v>
      </c>
      <c r="J4" s="696"/>
      <c r="K4" s="696"/>
      <c r="L4" s="696"/>
      <c r="M4" s="331"/>
      <c r="AD4" s="238"/>
      <c r="AE4" s="693"/>
      <c r="AF4" s="693"/>
      <c r="AG4" s="693"/>
      <c r="AH4" s="693"/>
      <c r="AI4" s="693"/>
      <c r="AJ4" s="328"/>
    </row>
    <row r="5" spans="1:36" ht="12.75" customHeight="1" x14ac:dyDescent="0.2">
      <c r="A5" s="7" t="s">
        <v>1</v>
      </c>
      <c r="B5" s="7"/>
      <c r="C5" s="6"/>
      <c r="D5" s="699"/>
      <c r="E5" s="699"/>
      <c r="F5" s="699"/>
      <c r="G5" s="699"/>
      <c r="H5" s="699"/>
      <c r="I5" s="696"/>
      <c r="J5" s="696"/>
      <c r="K5" s="696"/>
      <c r="L5" s="696"/>
      <c r="M5" s="331"/>
    </row>
    <row r="6" spans="1:36" ht="12.75" customHeight="1" x14ac:dyDescent="0.2">
      <c r="A6" s="6"/>
      <c r="B6" s="7"/>
      <c r="C6" s="7"/>
      <c r="D6" s="8"/>
      <c r="E6" s="694">
        <v>0</v>
      </c>
      <c r="F6" s="694"/>
      <c r="G6" s="7"/>
      <c r="H6" s="7"/>
      <c r="I6" s="696"/>
      <c r="J6" s="696"/>
      <c r="K6" s="696"/>
      <c r="L6" s="696"/>
      <c r="M6" s="331"/>
    </row>
    <row r="7" spans="1:36" ht="12.75" customHeight="1" x14ac:dyDescent="0.2">
      <c r="A7" s="6"/>
      <c r="B7" s="7"/>
      <c r="C7" s="7"/>
      <c r="D7" s="8"/>
      <c r="E7" s="635"/>
      <c r="F7" s="635"/>
      <c r="G7" s="7"/>
      <c r="H7" s="7"/>
      <c r="I7" s="696"/>
      <c r="J7" s="696"/>
      <c r="K7" s="696"/>
      <c r="L7" s="696"/>
      <c r="M7" s="331"/>
    </row>
    <row r="8" spans="1:36" ht="12.75" customHeight="1" x14ac:dyDescent="0.2">
      <c r="A8" s="6"/>
      <c r="B8" s="7"/>
      <c r="C8" s="7"/>
      <c r="D8" s="8"/>
      <c r="E8" s="635"/>
      <c r="F8" s="635"/>
      <c r="G8" s="7"/>
      <c r="H8" s="7"/>
      <c r="I8" s="696"/>
      <c r="J8" s="696"/>
      <c r="K8" s="696"/>
      <c r="L8" s="696"/>
      <c r="M8" s="331"/>
    </row>
    <row r="9" spans="1:36" ht="12.75" customHeight="1" x14ac:dyDescent="0.35">
      <c r="A9" s="6"/>
      <c r="B9" s="9"/>
      <c r="C9" s="7"/>
      <c r="D9" s="7"/>
      <c r="E9" s="7"/>
      <c r="F9" s="48"/>
      <c r="G9" s="48"/>
      <c r="H9" s="48"/>
      <c r="I9" s="696"/>
      <c r="J9" s="696"/>
      <c r="K9" s="696"/>
      <c r="L9" s="696"/>
      <c r="M9" s="331"/>
    </row>
    <row r="10" spans="1:36" ht="12.75" customHeight="1" x14ac:dyDescent="0.35">
      <c r="A10" s="6"/>
      <c r="B10" s="7"/>
      <c r="C10" s="11"/>
      <c r="D10" s="11"/>
      <c r="E10" s="11"/>
      <c r="F10" s="49"/>
      <c r="G10" s="49"/>
      <c r="H10" s="49"/>
      <c r="I10" s="49"/>
      <c r="J10" s="49"/>
      <c r="K10" s="11"/>
      <c r="L10" s="11"/>
      <c r="M10" s="45"/>
    </row>
    <row r="11" spans="1:36" ht="12.95" customHeight="1" x14ac:dyDescent="0.2">
      <c r="A11" s="6"/>
      <c r="B11" s="47"/>
      <c r="C11" s="14"/>
      <c r="D11" s="14"/>
      <c r="E11" s="87"/>
      <c r="F11" s="88"/>
      <c r="G11" s="86" t="s">
        <v>439</v>
      </c>
      <c r="H11" s="86"/>
      <c r="I11" s="87"/>
      <c r="J11" s="87"/>
      <c r="K11" s="14"/>
      <c r="L11" s="15"/>
      <c r="M11" s="45"/>
    </row>
    <row r="12" spans="1:36" ht="12.95" customHeight="1" x14ac:dyDescent="0.2">
      <c r="A12" s="6"/>
      <c r="B12" s="16"/>
      <c r="C12" s="11"/>
      <c r="D12" s="11"/>
      <c r="E12" s="11"/>
      <c r="F12" s="11"/>
      <c r="G12" s="11"/>
      <c r="H12" s="11"/>
      <c r="I12" s="11"/>
      <c r="J12" s="11"/>
      <c r="K12" s="11"/>
      <c r="L12" s="24"/>
      <c r="M12" s="45"/>
    </row>
    <row r="13" spans="1:36" ht="12.95" customHeight="1" x14ac:dyDescent="0.2">
      <c r="A13" s="6"/>
      <c r="B13" s="16"/>
      <c r="C13" s="11"/>
      <c r="D13" s="11"/>
      <c r="E13" s="11"/>
      <c r="F13" s="11"/>
      <c r="G13" s="11"/>
      <c r="H13" s="11"/>
      <c r="I13" s="85" t="s">
        <v>2</v>
      </c>
      <c r="J13" s="91"/>
      <c r="K13" s="85" t="s">
        <v>3</v>
      </c>
      <c r="L13" s="17"/>
      <c r="M13" s="296"/>
    </row>
    <row r="14" spans="1:36" ht="12.95" customHeight="1" x14ac:dyDescent="0.2">
      <c r="A14" s="6"/>
      <c r="B14" s="16"/>
      <c r="C14" s="11"/>
      <c r="D14" s="11"/>
      <c r="E14" s="11"/>
      <c r="F14" s="11"/>
      <c r="G14" s="11"/>
      <c r="H14" s="11"/>
      <c r="I14" s="84" t="s">
        <v>4</v>
      </c>
      <c r="J14" s="91"/>
      <c r="K14" s="84" t="s">
        <v>4</v>
      </c>
      <c r="L14" s="18"/>
      <c r="M14" s="181"/>
    </row>
    <row r="15" spans="1:36" ht="12.95" customHeight="1" x14ac:dyDescent="0.2">
      <c r="A15" s="6"/>
      <c r="B15" s="16"/>
      <c r="C15" s="691" t="s">
        <v>5</v>
      </c>
      <c r="D15" s="691"/>
      <c r="E15" s="11"/>
      <c r="F15" s="11"/>
      <c r="G15" s="11"/>
      <c r="H15" s="11"/>
      <c r="I15" s="84"/>
      <c r="J15" s="92"/>
      <c r="K15" s="84"/>
      <c r="L15" s="17"/>
      <c r="M15" s="296"/>
    </row>
    <row r="16" spans="1:36" ht="12.95" customHeight="1" x14ac:dyDescent="0.2">
      <c r="A16" s="6"/>
      <c r="B16" s="16"/>
      <c r="C16" s="11"/>
      <c r="D16" s="11" t="s">
        <v>6</v>
      </c>
      <c r="E16" s="11"/>
      <c r="F16" s="11"/>
      <c r="G16" s="11"/>
      <c r="H16" s="11"/>
      <c r="I16" s="85">
        <v>10</v>
      </c>
      <c r="J16" s="51"/>
      <c r="K16" s="641">
        <f>'Traffic &amp; Accidents'!L25</f>
        <v>0</v>
      </c>
      <c r="L16" s="17"/>
      <c r="M16" s="296"/>
    </row>
    <row r="17" spans="1:13" ht="12.95" customHeight="1" x14ac:dyDescent="0.2">
      <c r="A17" s="6"/>
      <c r="B17" s="16"/>
      <c r="C17" s="11"/>
      <c r="D17" s="11" t="s">
        <v>7</v>
      </c>
      <c r="E17" s="11"/>
      <c r="F17" s="11"/>
      <c r="G17" s="11"/>
      <c r="H17" s="11"/>
      <c r="I17" s="20">
        <v>10</v>
      </c>
      <c r="J17" s="51"/>
      <c r="K17" s="642">
        <f>'Traffic &amp; Accidents'!L51</f>
        <v>0</v>
      </c>
      <c r="L17" s="17"/>
      <c r="M17" s="296"/>
    </row>
    <row r="18" spans="1:13" ht="12.95" customHeight="1" x14ac:dyDescent="0.25">
      <c r="A18" s="6"/>
      <c r="B18" s="16"/>
      <c r="C18" s="11"/>
      <c r="D18" s="11"/>
      <c r="E18" s="8"/>
      <c r="F18" s="11"/>
      <c r="G18" s="93" t="s">
        <v>8</v>
      </c>
      <c r="H18" s="93"/>
      <c r="I18" s="94">
        <v>20</v>
      </c>
      <c r="J18" s="95"/>
      <c r="K18" s="643">
        <f>SUM(K16:K17)</f>
        <v>0</v>
      </c>
      <c r="L18" s="17"/>
      <c r="M18" s="296"/>
    </row>
    <row r="19" spans="1:13" ht="12.95" customHeight="1" x14ac:dyDescent="0.2">
      <c r="A19" s="6"/>
      <c r="B19" s="16"/>
      <c r="C19" s="11"/>
      <c r="D19" s="11"/>
      <c r="E19" s="11"/>
      <c r="F19" s="11"/>
      <c r="G19" s="11"/>
      <c r="H19" s="11"/>
      <c r="I19" s="85"/>
      <c r="J19" s="51"/>
      <c r="K19" s="644"/>
      <c r="L19" s="17"/>
      <c r="M19" s="296"/>
    </row>
    <row r="20" spans="1:13" ht="12.95" customHeight="1" x14ac:dyDescent="0.2">
      <c r="A20" s="6"/>
      <c r="B20" s="16"/>
      <c r="C20" s="691" t="s">
        <v>9</v>
      </c>
      <c r="D20" s="691"/>
      <c r="E20" s="691"/>
      <c r="F20" s="11"/>
      <c r="G20" s="11"/>
      <c r="H20" s="11"/>
      <c r="I20" s="85"/>
      <c r="J20" s="51"/>
      <c r="K20" s="644"/>
      <c r="L20" s="17"/>
      <c r="M20" s="296"/>
    </row>
    <row r="21" spans="1:13" ht="12.95" customHeight="1" x14ac:dyDescent="0.2">
      <c r="A21" s="6"/>
      <c r="B21" s="16"/>
      <c r="C21" s="11"/>
      <c r="D21" s="11" t="s">
        <v>457</v>
      </c>
      <c r="E21" s="11"/>
      <c r="F21" s="11"/>
      <c r="G21" s="11"/>
      <c r="H21" s="11"/>
      <c r="I21" s="85"/>
      <c r="J21" s="51"/>
      <c r="K21" s="644"/>
      <c r="L21" s="17"/>
      <c r="M21" s="296"/>
    </row>
    <row r="22" spans="1:13" ht="12.95" customHeight="1" x14ac:dyDescent="0.2">
      <c r="A22" s="6"/>
      <c r="B22" s="16"/>
      <c r="C22" s="11"/>
      <c r="D22" s="131"/>
      <c r="E22" s="640"/>
      <c r="F22" s="700" t="s">
        <v>458</v>
      </c>
      <c r="G22" s="700"/>
      <c r="H22" s="640"/>
      <c r="I22" s="85">
        <v>30</v>
      </c>
      <c r="J22" s="51"/>
      <c r="K22" s="644">
        <f>IF(STRUCTURE!G12&lt;&gt;0,STRUCTURE!G15,0)</f>
        <v>0</v>
      </c>
      <c r="L22" s="17"/>
      <c r="M22" s="296"/>
    </row>
    <row r="23" spans="1:13" ht="12.95" customHeight="1" x14ac:dyDescent="0.2">
      <c r="A23" s="6"/>
      <c r="B23" s="23"/>
      <c r="C23" s="439"/>
      <c r="D23" s="440"/>
      <c r="E23" s="441"/>
      <c r="F23" s="441" t="s">
        <v>459</v>
      </c>
      <c r="G23" s="442"/>
      <c r="H23" s="65"/>
      <c r="I23" s="85">
        <v>30</v>
      </c>
      <c r="J23" s="50"/>
      <c r="K23" s="443">
        <f>IF('3R INPUT'!K22&lt;&gt;0,0,STRUCTURE!Z15)</f>
        <v>0</v>
      </c>
      <c r="L23" s="24"/>
      <c r="M23" s="45"/>
    </row>
    <row r="24" spans="1:13" ht="12.95" customHeight="1" x14ac:dyDescent="0.2">
      <c r="A24" s="6"/>
      <c r="B24" s="23"/>
      <c r="C24" s="439"/>
      <c r="D24" s="440"/>
      <c r="E24" s="441"/>
      <c r="F24" s="441"/>
      <c r="G24" s="442"/>
      <c r="H24" s="65"/>
      <c r="I24" s="85"/>
      <c r="J24" s="50"/>
      <c r="K24" s="639"/>
      <c r="L24" s="24"/>
      <c r="M24" s="45"/>
    </row>
    <row r="25" spans="1:13" ht="12.95" customHeight="1" x14ac:dyDescent="0.25">
      <c r="A25" s="6"/>
      <c r="B25" s="23"/>
      <c r="C25" s="11"/>
      <c r="D25" s="11"/>
      <c r="E25" s="8"/>
      <c r="F25" s="11"/>
      <c r="G25" s="93" t="s">
        <v>460</v>
      </c>
      <c r="H25" s="93"/>
      <c r="I25" s="94"/>
      <c r="J25" s="95"/>
      <c r="K25" s="101">
        <f>SUM(K22,K23)</f>
        <v>0</v>
      </c>
      <c r="L25" s="52" t="e">
        <f>IF(#REF!&gt;#REF!,#REF!,L27)</f>
        <v>#REF!</v>
      </c>
      <c r="M25" s="332"/>
    </row>
    <row r="26" spans="1:13" ht="12.95" customHeight="1" x14ac:dyDescent="0.25">
      <c r="A26" s="6"/>
      <c r="B26" s="23"/>
      <c r="C26" s="11"/>
      <c r="D26" s="11"/>
      <c r="E26" s="8"/>
      <c r="F26" s="11"/>
      <c r="G26" s="93"/>
      <c r="H26" s="93"/>
      <c r="I26" s="94"/>
      <c r="J26" s="95"/>
      <c r="K26" s="101"/>
      <c r="L26" s="52"/>
      <c r="M26" s="332"/>
    </row>
    <row r="27" spans="1:13" ht="12.95" customHeight="1" x14ac:dyDescent="0.2">
      <c r="A27" s="6"/>
      <c r="B27" s="16"/>
      <c r="C27" s="691" t="s">
        <v>309</v>
      </c>
      <c r="D27" s="691"/>
      <c r="E27" s="11"/>
      <c r="F27" s="11"/>
      <c r="G27" s="11"/>
      <c r="H27" s="11"/>
      <c r="I27" s="11"/>
      <c r="J27" s="96"/>
      <c r="K27" s="645"/>
      <c r="L27" s="53" t="e">
        <f>IF(#REF!&gt;G23,#REF!,G23)</f>
        <v>#REF!</v>
      </c>
      <c r="M27" s="333"/>
    </row>
    <row r="28" spans="1:13" ht="12.95" customHeight="1" x14ac:dyDescent="0.2">
      <c r="A28" s="6"/>
      <c r="B28" s="16"/>
      <c r="C28" s="11"/>
      <c r="D28" s="11" t="s">
        <v>310</v>
      </c>
      <c r="E28" s="11"/>
      <c r="F28" s="11"/>
      <c r="G28" s="11"/>
      <c r="H28" s="11"/>
      <c r="I28" s="85">
        <v>15</v>
      </c>
      <c r="J28" s="51"/>
      <c r="K28" s="641">
        <f>Geometry!L85</f>
        <v>0</v>
      </c>
      <c r="L28" s="24"/>
      <c r="M28" s="45"/>
    </row>
    <row r="29" spans="1:13" ht="12.95" customHeight="1" x14ac:dyDescent="0.2">
      <c r="A29" s="6"/>
      <c r="B29" s="16"/>
      <c r="C29" s="11"/>
      <c r="D29" s="11" t="s">
        <v>12</v>
      </c>
      <c r="E29" s="11"/>
      <c r="F29" s="11"/>
      <c r="G29" s="11"/>
      <c r="H29" s="11"/>
      <c r="I29" s="20">
        <v>5</v>
      </c>
      <c r="J29" s="51"/>
      <c r="K29" s="642" t="e">
        <f>IF(SUM(Geometry!D40+Geometry!J40)&gt;5,5,SUM(Geometry!D40+Geometry!J40))</f>
        <v>#DIV/0!</v>
      </c>
      <c r="L29" s="24"/>
      <c r="M29" s="45"/>
    </row>
    <row r="30" spans="1:13" ht="12.95" customHeight="1" x14ac:dyDescent="0.25">
      <c r="A30" s="6"/>
      <c r="B30" s="16"/>
      <c r="C30" s="11"/>
      <c r="D30" s="97"/>
      <c r="E30" s="8"/>
      <c r="F30" s="11"/>
      <c r="G30" s="93" t="s">
        <v>13</v>
      </c>
      <c r="H30" s="93"/>
      <c r="I30" s="94">
        <v>20</v>
      </c>
      <c r="J30" s="95"/>
      <c r="K30" s="643">
        <f>IF('Traffic &amp; Accidents'!C8=0,0,(SUM(K28:K29)))</f>
        <v>0</v>
      </c>
      <c r="L30" s="701"/>
      <c r="M30" s="45"/>
    </row>
    <row r="31" spans="1:13" ht="12.95" customHeight="1" x14ac:dyDescent="0.2">
      <c r="A31" s="22"/>
      <c r="B31" s="16"/>
      <c r="C31" s="11"/>
      <c r="D31" s="97"/>
      <c r="E31" s="11"/>
      <c r="F31" s="11"/>
      <c r="G31" s="11"/>
      <c r="H31" s="11"/>
      <c r="I31" s="85"/>
      <c r="J31" s="98"/>
      <c r="K31" s="646"/>
      <c r="L31" s="701"/>
      <c r="M31" s="45"/>
    </row>
    <row r="32" spans="1:13" ht="12.95" customHeight="1" x14ac:dyDescent="0.2">
      <c r="A32" s="6"/>
      <c r="B32" s="16"/>
      <c r="C32" s="25"/>
      <c r="D32" s="10"/>
      <c r="E32" s="10"/>
      <c r="F32" s="10"/>
      <c r="G32" s="26" t="s">
        <v>462</v>
      </c>
      <c r="H32" s="32"/>
      <c r="I32" s="99">
        <v>50</v>
      </c>
      <c r="J32" s="100">
        <f>IF(AND(SUM(K25*0.6667,K30*1.5)&gt;SUM(K25,K30)),SUM(K25*0.6667,K30*1.5),SUM(K25,K30))</f>
        <v>0</v>
      </c>
      <c r="K32" s="101">
        <f>IF(J32&gt;50,50,ROUND(J32,2))</f>
        <v>0</v>
      </c>
      <c r="L32" s="27"/>
      <c r="M32" s="334"/>
    </row>
    <row r="33" spans="1:13" ht="12.95" customHeight="1" x14ac:dyDescent="0.2">
      <c r="A33" s="6"/>
      <c r="B33" s="16"/>
      <c r="C33" s="28"/>
      <c r="D33" s="28"/>
      <c r="E33" s="28"/>
      <c r="F33" s="28"/>
      <c r="G33" s="29"/>
      <c r="H33" s="29"/>
      <c r="I33" s="102"/>
      <c r="J33" s="8"/>
      <c r="K33" s="103"/>
      <c r="L33" s="30"/>
      <c r="M33" s="183"/>
    </row>
    <row r="34" spans="1:13" ht="12.95" customHeight="1" x14ac:dyDescent="0.25">
      <c r="A34" s="6"/>
      <c r="B34" s="16"/>
      <c r="C34" s="691" t="s">
        <v>314</v>
      </c>
      <c r="D34" s="691"/>
      <c r="E34" s="691"/>
      <c r="F34" s="104"/>
      <c r="G34" s="104"/>
      <c r="H34" s="104"/>
      <c r="I34" s="46"/>
      <c r="J34" s="105"/>
      <c r="K34" s="106"/>
      <c r="L34" s="30"/>
      <c r="M34" s="183"/>
    </row>
    <row r="35" spans="1:13" ht="12.95" customHeight="1" x14ac:dyDescent="0.2">
      <c r="A35" s="31"/>
      <c r="B35" s="16"/>
      <c r="C35" s="32">
        <v>1</v>
      </c>
      <c r="D35" s="104" t="s">
        <v>316</v>
      </c>
      <c r="E35" s="8"/>
      <c r="F35" s="104"/>
      <c r="G35" s="104"/>
      <c r="H35" s="104"/>
      <c r="I35" s="46">
        <v>5</v>
      </c>
      <c r="J35" s="51"/>
      <c r="K35" s="641">
        <f>'3R Checklist'!J9</f>
        <v>0</v>
      </c>
      <c r="L35" s="30"/>
      <c r="M35" s="183"/>
    </row>
    <row r="36" spans="1:13" ht="12.95" customHeight="1" x14ac:dyDescent="0.2">
      <c r="A36" s="31"/>
      <c r="B36" s="16"/>
      <c r="C36" s="32">
        <v>2</v>
      </c>
      <c r="D36" s="104" t="s">
        <v>317</v>
      </c>
      <c r="E36" s="107"/>
      <c r="F36" s="104"/>
      <c r="G36" s="104"/>
      <c r="H36" s="104"/>
      <c r="I36" s="46">
        <v>10</v>
      </c>
      <c r="J36" s="51"/>
      <c r="K36" s="641" t="e">
        <f>'3R Checklist'!J14</f>
        <v>#DIV/0!</v>
      </c>
      <c r="L36" s="30"/>
      <c r="M36" s="183"/>
    </row>
    <row r="37" spans="1:13" ht="12.95" customHeight="1" x14ac:dyDescent="0.2">
      <c r="A37" s="31"/>
      <c r="B37" s="33"/>
      <c r="C37" s="32">
        <v>3</v>
      </c>
      <c r="D37" s="104" t="s">
        <v>318</v>
      </c>
      <c r="E37" s="108"/>
      <c r="F37" s="109"/>
      <c r="G37" s="109"/>
      <c r="H37" s="109"/>
      <c r="I37" s="46">
        <v>10</v>
      </c>
      <c r="J37" s="51"/>
      <c r="K37" s="641" t="e">
        <f>'3R Checklist'!J21</f>
        <v>#DIV/0!</v>
      </c>
      <c r="L37" s="30"/>
      <c r="M37" s="183"/>
    </row>
    <row r="38" spans="1:13" ht="12.95" customHeight="1" x14ac:dyDescent="0.2">
      <c r="A38" s="31"/>
      <c r="B38" s="33"/>
      <c r="C38" s="32">
        <v>4</v>
      </c>
      <c r="D38" s="104" t="s">
        <v>319</v>
      </c>
      <c r="E38" s="8"/>
      <c r="F38" s="104"/>
      <c r="G38" s="104"/>
      <c r="H38" s="104"/>
      <c r="I38" s="46">
        <v>5</v>
      </c>
      <c r="J38" s="51"/>
      <c r="K38" s="641">
        <f>'3R Checklist'!J30</f>
        <v>0</v>
      </c>
      <c r="L38" s="30"/>
      <c r="M38" s="183"/>
    </row>
    <row r="39" spans="1:13" ht="12.95" customHeight="1" x14ac:dyDescent="0.2">
      <c r="A39" s="6"/>
      <c r="B39" s="33"/>
      <c r="C39" s="32">
        <v>5</v>
      </c>
      <c r="D39" s="104" t="s">
        <v>320</v>
      </c>
      <c r="E39" s="8"/>
      <c r="F39" s="104"/>
      <c r="G39" s="104"/>
      <c r="H39" s="104"/>
      <c r="I39" s="46">
        <v>5</v>
      </c>
      <c r="J39" s="51"/>
      <c r="K39" s="641">
        <f>'3R Checklist'!J35</f>
        <v>0</v>
      </c>
      <c r="L39" s="30"/>
      <c r="M39" s="183"/>
    </row>
    <row r="40" spans="1:13" ht="12.95" customHeight="1" x14ac:dyDescent="0.2">
      <c r="A40" s="6"/>
      <c r="B40" s="33"/>
      <c r="C40" s="32">
        <v>6</v>
      </c>
      <c r="D40" s="104" t="s">
        <v>321</v>
      </c>
      <c r="E40" s="108"/>
      <c r="F40" s="109"/>
      <c r="G40" s="109"/>
      <c r="H40" s="109"/>
      <c r="I40" s="34">
        <v>5</v>
      </c>
      <c r="J40" s="51"/>
      <c r="K40" s="647">
        <f>'3R Checklist'!J41</f>
        <v>0</v>
      </c>
      <c r="L40" s="30"/>
      <c r="M40" s="183"/>
    </row>
    <row r="41" spans="1:13" ht="12.95" customHeight="1" x14ac:dyDescent="0.25">
      <c r="A41" s="6"/>
      <c r="B41" s="33"/>
      <c r="C41" s="32"/>
      <c r="D41" s="110"/>
      <c r="E41" s="8"/>
      <c r="F41" s="110"/>
      <c r="G41" s="93" t="s">
        <v>323</v>
      </c>
      <c r="H41" s="93"/>
      <c r="I41" s="94">
        <v>30</v>
      </c>
      <c r="J41" s="111"/>
      <c r="K41" s="648" t="e">
        <f>IF(SUM(K35:K40)&gt;30,30,ROUND(SUM(K35:K40),2))</f>
        <v>#DIV/0!</v>
      </c>
      <c r="L41" s="30"/>
      <c r="M41" s="183"/>
    </row>
    <row r="42" spans="1:13" ht="12.95" customHeight="1" x14ac:dyDescent="0.2">
      <c r="A42" s="6"/>
      <c r="B42" s="33"/>
      <c r="C42" s="32"/>
      <c r="D42" s="110"/>
      <c r="E42" s="8"/>
      <c r="F42" s="110"/>
      <c r="G42" s="93"/>
      <c r="H42" s="93"/>
      <c r="I42" s="94"/>
      <c r="J42" s="110"/>
      <c r="K42" s="112"/>
      <c r="L42" s="30"/>
      <c r="M42" s="183"/>
    </row>
    <row r="43" spans="1:13" ht="12.95" customHeight="1" x14ac:dyDescent="0.2">
      <c r="A43" s="6"/>
      <c r="B43" s="33"/>
      <c r="C43" s="32"/>
      <c r="D43" s="110"/>
      <c r="E43" s="8"/>
      <c r="F43" s="110"/>
      <c r="G43" s="110"/>
      <c r="H43" s="110"/>
      <c r="I43" s="113"/>
      <c r="J43" s="114"/>
      <c r="K43" s="115"/>
      <c r="L43" s="30"/>
      <c r="M43" s="183"/>
    </row>
    <row r="44" spans="1:13" ht="12.95" customHeight="1" thickBot="1" x14ac:dyDescent="0.25">
      <c r="A44" s="6"/>
      <c r="B44" s="33"/>
      <c r="C44" s="35" t="s">
        <v>14</v>
      </c>
      <c r="D44" s="35"/>
      <c r="E44" s="35"/>
      <c r="F44" s="35"/>
      <c r="G44" s="35"/>
      <c r="H44" s="35"/>
      <c r="I44" s="116">
        <f>SUM(I18,I25,I32,I41)</f>
        <v>100</v>
      </c>
      <c r="J44" s="117"/>
      <c r="K44" s="36" t="e">
        <f>ROUND(SUM(K18,K32,K41),2)</f>
        <v>#DIV/0!</v>
      </c>
      <c r="L44" s="24"/>
      <c r="M44" s="45"/>
    </row>
    <row r="45" spans="1:13" ht="12.95" customHeight="1" thickTop="1" x14ac:dyDescent="0.2">
      <c r="A45" s="6"/>
      <c r="B45" s="37"/>
      <c r="C45" s="13"/>
      <c r="D45" s="13"/>
      <c r="E45" s="13"/>
      <c r="F45" s="13"/>
      <c r="G45" s="13"/>
      <c r="H45" s="13"/>
      <c r="I45" s="13"/>
      <c r="J45" s="13"/>
      <c r="K45" s="13"/>
      <c r="L45" s="38"/>
      <c r="M45" s="45"/>
    </row>
    <row r="46" spans="1:13" ht="12.95" customHeight="1" x14ac:dyDescent="0.2">
      <c r="A46" s="6"/>
      <c r="B46" s="39"/>
      <c r="C46" s="7"/>
      <c r="D46" s="7"/>
      <c r="E46" s="7"/>
      <c r="F46" s="7"/>
      <c r="G46" s="7"/>
      <c r="H46" s="7"/>
      <c r="I46" s="7"/>
      <c r="J46" s="7"/>
      <c r="K46" s="7"/>
      <c r="L46" s="7"/>
      <c r="M46" s="330"/>
    </row>
    <row r="47" spans="1:13" ht="12.95" customHeight="1" x14ac:dyDescent="0.2">
      <c r="A47" s="6"/>
      <c r="B47" s="9"/>
      <c r="C47" s="40" t="s">
        <v>15</v>
      </c>
      <c r="D47" s="7" t="s">
        <v>448</v>
      </c>
      <c r="E47" s="7"/>
      <c r="F47" s="7"/>
      <c r="G47" s="7"/>
      <c r="H47" s="7"/>
      <c r="I47" s="7"/>
      <c r="J47" s="7"/>
      <c r="K47" s="7"/>
      <c r="L47" s="7"/>
      <c r="M47" s="330"/>
    </row>
    <row r="48" spans="1:13" ht="12.95" customHeight="1" x14ac:dyDescent="0.2">
      <c r="A48" s="6"/>
      <c r="B48" s="6"/>
      <c r="C48" s="9"/>
      <c r="D48" s="7"/>
      <c r="E48" s="7"/>
      <c r="F48" s="7"/>
      <c r="G48" s="7"/>
      <c r="H48" s="7"/>
      <c r="I48" s="7"/>
      <c r="J48" s="7"/>
      <c r="K48" s="7"/>
      <c r="L48" s="7"/>
      <c r="M48" s="330"/>
    </row>
    <row r="49" spans="1:39" ht="12.95" customHeight="1" x14ac:dyDescent="0.2">
      <c r="A49" s="6"/>
      <c r="B49" s="9"/>
      <c r="C49" s="7"/>
      <c r="D49" s="7"/>
      <c r="E49" s="7"/>
      <c r="F49" s="7"/>
      <c r="G49" s="7"/>
      <c r="H49" s="7"/>
      <c r="I49" s="7"/>
      <c r="J49" s="7"/>
      <c r="K49" s="7"/>
      <c r="L49" s="7"/>
      <c r="M49" s="330"/>
    </row>
    <row r="50" spans="1:39" ht="12.95" customHeight="1" x14ac:dyDescent="0.2">
      <c r="A50" s="6"/>
      <c r="B50" s="9"/>
      <c r="C50" s="41"/>
      <c r="D50" s="9"/>
      <c r="E50" s="9"/>
      <c r="F50" s="9"/>
      <c r="G50" s="9"/>
      <c r="H50" s="9"/>
      <c r="I50" s="9"/>
      <c r="J50" s="9"/>
      <c r="K50" s="7"/>
      <c r="L50" s="7"/>
      <c r="M50" s="330"/>
    </row>
    <row r="51" spans="1:39" ht="12.95" customHeight="1" x14ac:dyDescent="0.2">
      <c r="A51" s="6"/>
      <c r="B51" s="9"/>
      <c r="C51" s="6"/>
      <c r="D51" s="7"/>
      <c r="E51" s="7"/>
      <c r="F51" s="7"/>
      <c r="G51" s="7"/>
      <c r="H51" s="7"/>
      <c r="I51" s="7"/>
      <c r="J51" s="7"/>
      <c r="K51" s="7"/>
      <c r="L51" s="7"/>
      <c r="M51" s="330"/>
    </row>
    <row r="52" spans="1:39" ht="12.95" customHeight="1" x14ac:dyDescent="0.2">
      <c r="B52" s="306"/>
      <c r="D52" s="303"/>
      <c r="E52" s="303"/>
      <c r="F52" s="303"/>
      <c r="G52" s="303"/>
      <c r="H52" s="303"/>
      <c r="I52" s="303"/>
      <c r="J52" s="303"/>
      <c r="K52" s="303"/>
      <c r="L52" s="303"/>
      <c r="M52" s="303"/>
    </row>
    <row r="53" spans="1:39" ht="12.95" customHeight="1" x14ac:dyDescent="0.2">
      <c r="A53" s="164"/>
      <c r="B53" s="306"/>
      <c r="D53" s="303"/>
      <c r="E53" s="303"/>
      <c r="F53" s="303"/>
      <c r="G53" s="303"/>
      <c r="H53" s="303"/>
      <c r="I53" s="303"/>
      <c r="J53" s="303"/>
      <c r="K53" s="303"/>
      <c r="L53" s="303"/>
      <c r="M53" s="303"/>
    </row>
    <row r="54" spans="1:39" ht="12.95" customHeight="1" x14ac:dyDescent="0.2">
      <c r="A54" s="164"/>
      <c r="B54" s="306"/>
      <c r="D54" s="303"/>
      <c r="E54" s="303"/>
      <c r="F54" s="303"/>
      <c r="G54" s="303"/>
      <c r="H54" s="303"/>
      <c r="I54" s="303"/>
      <c r="J54" s="303"/>
      <c r="K54" s="303"/>
      <c r="L54" s="303"/>
      <c r="M54" s="303"/>
    </row>
    <row r="55" spans="1:39" ht="12.95" customHeight="1" x14ac:dyDescent="0.2">
      <c r="A55" s="164"/>
      <c r="B55" s="306"/>
      <c r="D55" s="329"/>
      <c r="E55" s="329"/>
      <c r="F55" s="329"/>
      <c r="G55" s="329"/>
      <c r="H55" s="329"/>
      <c r="I55" s="329"/>
      <c r="J55" s="329"/>
      <c r="K55" s="329"/>
      <c r="L55" s="303"/>
      <c r="M55" s="303"/>
    </row>
    <row r="56" spans="1:39" ht="12.95" customHeight="1" x14ac:dyDescent="0.2">
      <c r="A56" s="164"/>
      <c r="B56" s="306"/>
      <c r="D56" s="329"/>
      <c r="E56" s="329"/>
      <c r="F56" s="329"/>
      <c r="G56" s="329"/>
      <c r="H56" s="329"/>
      <c r="I56" s="329"/>
      <c r="J56" s="329"/>
      <c r="K56" s="329"/>
      <c r="L56" s="303"/>
      <c r="M56" s="303"/>
    </row>
    <row r="57" spans="1:39" ht="12.95" customHeight="1" x14ac:dyDescent="0.2">
      <c r="A57" s="164"/>
      <c r="B57" s="306"/>
      <c r="D57" s="329"/>
      <c r="E57" s="329"/>
      <c r="F57" s="329"/>
      <c r="G57" s="329"/>
      <c r="H57" s="329"/>
      <c r="I57" s="329"/>
      <c r="J57" s="329"/>
      <c r="K57" s="329"/>
      <c r="L57" s="303"/>
      <c r="M57" s="303"/>
    </row>
    <row r="58" spans="1:39" ht="12.95" customHeight="1" x14ac:dyDescent="0.2">
      <c r="A58" s="164"/>
      <c r="B58" s="306"/>
      <c r="D58" s="329"/>
      <c r="E58" s="329"/>
      <c r="F58" s="329"/>
      <c r="G58" s="329"/>
      <c r="H58" s="329"/>
      <c r="I58" s="329"/>
      <c r="J58" s="329"/>
      <c r="K58" s="329"/>
      <c r="L58" s="303"/>
      <c r="M58" s="303"/>
      <c r="AL58" s="164"/>
      <c r="AM58" s="164"/>
    </row>
    <row r="59" spans="1:39" ht="12.95" customHeight="1" x14ac:dyDescent="0.2">
      <c r="B59" s="306"/>
    </row>
    <row r="60" spans="1:39" ht="12.95" customHeight="1" x14ac:dyDescent="0.2">
      <c r="B60" s="306"/>
    </row>
    <row r="61" spans="1:39" ht="12.95" customHeight="1" x14ac:dyDescent="0.2">
      <c r="B61" s="306"/>
    </row>
    <row r="62" spans="1:39" ht="12.95" customHeight="1" x14ac:dyDescent="0.2">
      <c r="B62" s="306"/>
    </row>
    <row r="63" spans="1:39" ht="12.95" customHeight="1" x14ac:dyDescent="0.2">
      <c r="B63" s="306"/>
    </row>
    <row r="64" spans="1:39" ht="12.95" customHeight="1" x14ac:dyDescent="0.2">
      <c r="B64" s="306"/>
    </row>
    <row r="65" spans="2:2" ht="12.95" customHeight="1" x14ac:dyDescent="0.2">
      <c r="B65" s="306"/>
    </row>
    <row r="66" spans="2:2" ht="12.95" customHeight="1" x14ac:dyDescent="0.2">
      <c r="B66" s="306"/>
    </row>
    <row r="67" spans="2:2" ht="12.95" customHeight="1" x14ac:dyDescent="0.2">
      <c r="B67" s="306"/>
    </row>
    <row r="68" spans="2:2" ht="12.95" customHeight="1" x14ac:dyDescent="0.2">
      <c r="B68" s="306"/>
    </row>
    <row r="69" spans="2:2" ht="12.95" customHeight="1" x14ac:dyDescent="0.2">
      <c r="B69" s="306"/>
    </row>
    <row r="70" spans="2:2" ht="12.95" customHeight="1" x14ac:dyDescent="0.2">
      <c r="B70" s="306"/>
    </row>
    <row r="71" spans="2:2" ht="12.95" customHeight="1" x14ac:dyDescent="0.2">
      <c r="B71" s="306"/>
    </row>
    <row r="72" spans="2:2" ht="12.95" customHeight="1" x14ac:dyDescent="0.2">
      <c r="B72" s="306"/>
    </row>
    <row r="73" spans="2:2" ht="12.95" customHeight="1" x14ac:dyDescent="0.2"/>
    <row r="74" spans="2:2" ht="12.95" customHeight="1" x14ac:dyDescent="0.2"/>
    <row r="75" spans="2:2" ht="12.95" customHeight="1" x14ac:dyDescent="0.2"/>
    <row r="76" spans="2:2" ht="12.95" customHeight="1" x14ac:dyDescent="0.2"/>
    <row r="77" spans="2:2" ht="12.95" customHeight="1" x14ac:dyDescent="0.2"/>
    <row r="78" spans="2:2" ht="12.95" customHeight="1" x14ac:dyDescent="0.2"/>
    <row r="79" spans="2:2" ht="12.95" customHeight="1" x14ac:dyDescent="0.2"/>
    <row r="80" spans="2:2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</sheetData>
  <sheetProtection algorithmName="SHA-512" hashValue="nyPRy/utmMUWBJ/4AUAlLeQ5YLnIn3QlLNMWWNZwIVVNt4nsVbOZjMFD22ujBHo2hzf3J8M/ejKgyco+CdH64g==" saltValue="sPj9OU4l9E/b0tVfXBIN/A==" spinCount="100000" sheet="1" selectLockedCells="1"/>
  <mergeCells count="12">
    <mergeCell ref="C15:D15"/>
    <mergeCell ref="C20:E20"/>
    <mergeCell ref="C27:D27"/>
    <mergeCell ref="C34:E34"/>
    <mergeCell ref="AE3:AI4"/>
    <mergeCell ref="E6:F6"/>
    <mergeCell ref="I4:L9"/>
    <mergeCell ref="E3:F3"/>
    <mergeCell ref="D4:F4"/>
    <mergeCell ref="D5:H5"/>
    <mergeCell ref="F22:G22"/>
    <mergeCell ref="L30:L31"/>
  </mergeCells>
  <phoneticPr fontId="39" type="noConversion"/>
  <conditionalFormatting sqref="J32">
    <cfRule type="expression" dxfId="19" priority="9" stopIfTrue="1">
      <formula>ISERROR(K29)</formula>
    </cfRule>
  </conditionalFormatting>
  <conditionalFormatting sqref="K32">
    <cfRule type="expression" dxfId="18" priority="10" stopIfTrue="1">
      <formula>ISERROR(K29)</formula>
    </cfRule>
  </conditionalFormatting>
  <conditionalFormatting sqref="K44">
    <cfRule type="expression" dxfId="17" priority="11" stopIfTrue="1">
      <formula>ISERROR(K29)</formula>
    </cfRule>
  </conditionalFormatting>
  <conditionalFormatting sqref="AJ4">
    <cfRule type="containsErrors" dxfId="16" priority="2" stopIfTrue="1">
      <formula>ISERROR(AJ4)</formula>
    </cfRule>
    <cfRule type="expression" dxfId="15" priority="13" stopIfTrue="1">
      <formula>ISERROR(K29)</formula>
    </cfRule>
  </conditionalFormatting>
  <conditionalFormatting sqref="K29">
    <cfRule type="expression" dxfId="14" priority="19" stopIfTrue="1">
      <formula>ISERROR(K29)</formula>
    </cfRule>
  </conditionalFormatting>
  <conditionalFormatting sqref="K41 K44">
    <cfRule type="containsErrors" dxfId="13" priority="3" stopIfTrue="1">
      <formula>ISERROR(K41)</formula>
    </cfRule>
  </conditionalFormatting>
  <hyperlinks>
    <hyperlink ref="C15:D15" location="'Traffic &amp; Accidents'!C7" display="TRAFFIC:" xr:uid="{00000000-0004-0000-0100-000000000000}"/>
    <hyperlink ref="C20:E20" location="Structure!G6" display="ROAD CONDITION:" xr:uid="{00000000-0004-0000-0100-000001000000}"/>
    <hyperlink ref="C27:D27" location="Geometry!F9" display="GEOMETRY:" xr:uid="{00000000-0004-0000-0100-000002000000}"/>
    <hyperlink ref="C34:E34" location="'3R Checklist'!K9" display="3R SAFETY CHECKLIST:" xr:uid="{00000000-0004-0000-0100-000003000000}"/>
  </hyperlinks>
  <pageMargins left="0.25" right="0.25" top="0.75" bottom="0.75" header="0.3" footer="0.3"/>
  <pageSetup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Q65"/>
  <sheetViews>
    <sheetView workbookViewId="0">
      <selection activeCell="J7" sqref="J7"/>
    </sheetView>
  </sheetViews>
  <sheetFormatPr defaultRowHeight="12.75" x14ac:dyDescent="0.2"/>
  <cols>
    <col min="1" max="16384" width="9.140625" style="149"/>
  </cols>
  <sheetData>
    <row r="3" spans="1:15" ht="16.5" thickBot="1" x14ac:dyDescent="0.3">
      <c r="A3" s="148"/>
      <c r="B3" s="148"/>
      <c r="C3" s="148"/>
      <c r="D3" s="148"/>
      <c r="E3" s="148"/>
      <c r="F3" s="238"/>
      <c r="G3" s="148"/>
      <c r="H3" s="148"/>
      <c r="I3" s="148"/>
      <c r="J3" s="239"/>
      <c r="K3" s="148"/>
      <c r="L3" s="240"/>
      <c r="M3" s="241"/>
      <c r="N3" s="241"/>
      <c r="O3" s="241"/>
    </row>
    <row r="4" spans="1:15" ht="15.75" x14ac:dyDescent="0.25">
      <c r="A4" s="148"/>
      <c r="B4" s="121"/>
      <c r="C4" s="122"/>
      <c r="D4" s="122"/>
      <c r="E4" s="122"/>
      <c r="F4" s="55"/>
      <c r="G4" s="122"/>
      <c r="H4" s="122"/>
      <c r="I4" s="122"/>
      <c r="J4" s="56"/>
      <c r="K4" s="122"/>
      <c r="L4" s="123"/>
      <c r="M4" s="124"/>
      <c r="N4" s="241"/>
      <c r="O4" s="241"/>
    </row>
    <row r="5" spans="1:15" ht="15.75" x14ac:dyDescent="0.2">
      <c r="A5" s="148"/>
      <c r="B5" s="125" t="s">
        <v>231</v>
      </c>
      <c r="C5" s="89"/>
      <c r="D5" s="89"/>
      <c r="E5" s="89"/>
      <c r="F5" s="89"/>
      <c r="G5" s="89"/>
      <c r="H5" s="89"/>
      <c r="I5" s="650" t="s">
        <v>461</v>
      </c>
      <c r="J5" s="126" t="s">
        <v>437</v>
      </c>
      <c r="K5" s="57"/>
      <c r="L5" s="435"/>
      <c r="M5" s="127"/>
      <c r="N5" s="148"/>
      <c r="O5" s="148"/>
    </row>
    <row r="6" spans="1:15" x14ac:dyDescent="0.2">
      <c r="A6" s="148"/>
      <c r="B6" s="125"/>
      <c r="C6" s="436"/>
      <c r="D6" s="128"/>
      <c r="E6" s="89"/>
      <c r="F6" s="129"/>
      <c r="G6" s="130"/>
      <c r="H6" s="89"/>
      <c r="I6" s="131"/>
      <c r="J6" s="437"/>
      <c r="K6" s="437"/>
      <c r="L6" s="89"/>
      <c r="M6" s="127"/>
      <c r="N6" s="148"/>
      <c r="O6" s="148"/>
    </row>
    <row r="7" spans="1:15" x14ac:dyDescent="0.2">
      <c r="A7" s="148"/>
      <c r="B7" s="132"/>
      <c r="C7" s="144"/>
      <c r="D7" s="133" t="s">
        <v>222</v>
      </c>
      <c r="E7" s="89"/>
      <c r="F7" s="649"/>
      <c r="G7" s="128"/>
      <c r="H7" s="89"/>
      <c r="I7" s="134"/>
      <c r="J7" s="144"/>
      <c r="K7" s="135" t="s">
        <v>228</v>
      </c>
      <c r="L7" s="89"/>
      <c r="M7" s="127"/>
      <c r="N7" s="148"/>
      <c r="O7" s="148"/>
    </row>
    <row r="8" spans="1:15" x14ac:dyDescent="0.2">
      <c r="A8" s="148"/>
      <c r="B8" s="132"/>
      <c r="C8" s="145"/>
      <c r="D8" s="136" t="s">
        <v>388</v>
      </c>
      <c r="E8" s="89"/>
      <c r="F8" s="438"/>
      <c r="G8" s="130"/>
      <c r="H8" s="89"/>
      <c r="I8" s="138"/>
      <c r="J8" s="147"/>
      <c r="K8" s="135" t="s">
        <v>229</v>
      </c>
      <c r="L8" s="89"/>
      <c r="M8" s="127"/>
      <c r="N8" s="148"/>
      <c r="O8" s="148"/>
    </row>
    <row r="9" spans="1:15" x14ac:dyDescent="0.2">
      <c r="A9" s="148"/>
      <c r="B9" s="132"/>
      <c r="C9" s="146"/>
      <c r="D9" s="133" t="s">
        <v>387</v>
      </c>
      <c r="E9" s="89"/>
      <c r="F9" s="135"/>
      <c r="G9" s="89"/>
      <c r="H9" s="89"/>
      <c r="I9" s="134"/>
      <c r="J9" s="144"/>
      <c r="K9" s="135" t="s">
        <v>223</v>
      </c>
      <c r="L9" s="89"/>
      <c r="M9" s="127"/>
      <c r="N9" s="148"/>
      <c r="O9" s="148"/>
    </row>
    <row r="10" spans="1:15" x14ac:dyDescent="0.2">
      <c r="A10" s="148"/>
      <c r="B10" s="132"/>
      <c r="C10" s="89"/>
      <c r="D10" s="89"/>
      <c r="E10" s="89"/>
      <c r="F10" s="89"/>
      <c r="G10" s="89"/>
      <c r="H10" s="139"/>
      <c r="I10" s="139"/>
      <c r="J10" s="89"/>
      <c r="K10" s="89"/>
      <c r="L10" s="89"/>
      <c r="M10" s="127"/>
      <c r="N10" s="148"/>
      <c r="O10" s="148"/>
    </row>
    <row r="11" spans="1:15" ht="13.5" thickBot="1" x14ac:dyDescent="0.25">
      <c r="A11" s="148"/>
      <c r="B11" s="140"/>
      <c r="C11" s="141"/>
      <c r="D11" s="141"/>
      <c r="E11" s="141"/>
      <c r="F11" s="141"/>
      <c r="G11" s="141"/>
      <c r="H11" s="142"/>
      <c r="I11" s="142"/>
      <c r="J11" s="141"/>
      <c r="K11" s="141"/>
      <c r="L11" s="141"/>
      <c r="M11" s="143"/>
      <c r="N11" s="148"/>
      <c r="O11" s="148"/>
    </row>
    <row r="19" spans="2:17" x14ac:dyDescent="0.2"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</row>
    <row r="20" spans="2:17" x14ac:dyDescent="0.2">
      <c r="B20" s="243" t="s">
        <v>17</v>
      </c>
      <c r="C20" s="244"/>
      <c r="D20" s="244"/>
      <c r="E20" s="244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5" t="s">
        <v>18</v>
      </c>
      <c r="Q20" s="246"/>
    </row>
    <row r="21" spans="2:17" x14ac:dyDescent="0.2"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7"/>
      <c r="Q21" s="248"/>
    </row>
    <row r="22" spans="2:17" x14ac:dyDescent="0.2">
      <c r="B22" s="242"/>
      <c r="C22" s="242" t="s">
        <v>19</v>
      </c>
      <c r="D22" s="242"/>
      <c r="E22" s="242"/>
      <c r="F22" s="249">
        <f>'Traffic &amp; Accidents'!C7</f>
        <v>0</v>
      </c>
      <c r="G22" s="250" t="s">
        <v>20</v>
      </c>
      <c r="H22" s="250"/>
      <c r="I22" s="242"/>
      <c r="J22" s="242"/>
      <c r="K22" s="242"/>
      <c r="L22" s="242"/>
      <c r="M22" s="242"/>
      <c r="N22" s="251"/>
      <c r="O22" s="251"/>
      <c r="P22" s="252">
        <f>IF(F22&lt;50,0,P23)</f>
        <v>0</v>
      </c>
      <c r="Q22" s="248" t="s">
        <v>21</v>
      </c>
    </row>
    <row r="23" spans="2:17" x14ac:dyDescent="0.2">
      <c r="B23" s="242"/>
      <c r="C23" s="242" t="s">
        <v>22</v>
      </c>
      <c r="D23" s="242"/>
      <c r="E23" s="242"/>
      <c r="F23" s="242"/>
      <c r="G23" s="242"/>
      <c r="H23" s="242" t="s">
        <v>23</v>
      </c>
      <c r="I23" s="242"/>
      <c r="J23" s="242"/>
      <c r="K23" s="242"/>
      <c r="L23" s="242"/>
      <c r="M23" s="242"/>
      <c r="N23" s="242"/>
      <c r="O23" s="242"/>
      <c r="P23" s="253">
        <f>IF(F22&lt;101,2,P24)</f>
        <v>2</v>
      </c>
      <c r="Q23" s="248"/>
    </row>
    <row r="24" spans="2:17" ht="13.5" thickBot="1" x14ac:dyDescent="0.25">
      <c r="B24" s="242"/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53">
        <f>IF(F22&lt;251,4,P25)</f>
        <v>4</v>
      </c>
      <c r="Q24" s="248"/>
    </row>
    <row r="25" spans="2:17" ht="13.5" thickBot="1" x14ac:dyDescent="0.25">
      <c r="B25" s="254"/>
      <c r="C25" s="242"/>
      <c r="D25" s="242"/>
      <c r="E25" s="242"/>
      <c r="F25" s="242"/>
      <c r="G25" s="254"/>
      <c r="H25" s="242"/>
      <c r="I25" s="242"/>
      <c r="J25" s="255" t="s">
        <v>24</v>
      </c>
      <c r="K25" s="254"/>
      <c r="L25" s="256">
        <f>IF(C8=0,0,P22)</f>
        <v>0</v>
      </c>
      <c r="M25" s="242"/>
      <c r="N25" s="242"/>
      <c r="O25" s="242"/>
      <c r="P25" s="253">
        <f>IF(F22&lt;501,6,P26)</f>
        <v>6</v>
      </c>
      <c r="Q25" s="248"/>
    </row>
    <row r="26" spans="2:17" x14ac:dyDescent="0.2"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53">
        <f>IF(F22&lt;751,8,P27)</f>
        <v>8</v>
      </c>
      <c r="Q26" s="248"/>
    </row>
    <row r="27" spans="2:17" x14ac:dyDescent="0.2">
      <c r="B27" s="243" t="s">
        <v>25</v>
      </c>
      <c r="C27" s="244"/>
      <c r="D27" s="244"/>
      <c r="E27" s="244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57">
        <f>IF(F22&gt;750,10,O28)</f>
        <v>0</v>
      </c>
      <c r="Q27" s="258"/>
    </row>
    <row r="28" spans="2:17" x14ac:dyDescent="0.2"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</row>
    <row r="29" spans="2:17" x14ac:dyDescent="0.2">
      <c r="B29" s="259"/>
      <c r="C29" s="260" t="s">
        <v>26</v>
      </c>
      <c r="D29" s="260"/>
      <c r="E29" s="260"/>
      <c r="F29" s="260"/>
      <c r="G29" s="260"/>
      <c r="H29" s="260"/>
      <c r="I29" s="260"/>
      <c r="J29" s="260"/>
      <c r="K29" s="261"/>
      <c r="L29" s="242"/>
      <c r="M29" s="242"/>
      <c r="N29" s="242"/>
      <c r="O29" s="242"/>
      <c r="P29" s="242"/>
      <c r="Q29" s="242"/>
    </row>
    <row r="30" spans="2:17" x14ac:dyDescent="0.2">
      <c r="B30" s="247"/>
      <c r="C30" s="262" t="s">
        <v>27</v>
      </c>
      <c r="D30" s="262"/>
      <c r="E30" s="262"/>
      <c r="F30" s="262"/>
      <c r="G30" s="262"/>
      <c r="H30" s="262"/>
      <c r="I30" s="262"/>
      <c r="J30" s="262"/>
      <c r="K30" s="248"/>
      <c r="L30" s="242"/>
      <c r="M30" s="242"/>
      <c r="N30" s="242"/>
      <c r="O30" s="242"/>
      <c r="P30" s="242"/>
      <c r="Q30" s="242"/>
    </row>
    <row r="31" spans="2:17" x14ac:dyDescent="0.2">
      <c r="B31" s="247"/>
      <c r="C31" s="262"/>
      <c r="D31" s="262" t="s">
        <v>28</v>
      </c>
      <c r="E31" s="262"/>
      <c r="F31" s="262" t="s">
        <v>29</v>
      </c>
      <c r="G31" s="262"/>
      <c r="H31" s="262" t="s">
        <v>29</v>
      </c>
      <c r="I31" s="262"/>
      <c r="J31" s="262"/>
      <c r="K31" s="248"/>
      <c r="L31" s="242"/>
      <c r="M31" s="242"/>
      <c r="N31" s="242"/>
      <c r="O31" s="242"/>
      <c r="P31" s="242"/>
      <c r="Q31" s="242"/>
    </row>
    <row r="32" spans="2:17" x14ac:dyDescent="0.2">
      <c r="B32" s="263" t="s">
        <v>30</v>
      </c>
      <c r="C32" s="262"/>
      <c r="D32" s="262" t="s">
        <v>31</v>
      </c>
      <c r="E32" s="262"/>
      <c r="F32" s="264" t="s">
        <v>32</v>
      </c>
      <c r="G32" s="262"/>
      <c r="H32" s="264" t="s">
        <v>33</v>
      </c>
      <c r="I32" s="265"/>
      <c r="J32" s="262"/>
      <c r="K32" s="248"/>
      <c r="L32" s="242"/>
      <c r="M32" s="242"/>
      <c r="N32" s="242"/>
      <c r="O32" s="242"/>
      <c r="P32" s="242"/>
      <c r="Q32" s="242"/>
    </row>
    <row r="33" spans="2:17" x14ac:dyDescent="0.2">
      <c r="B33" s="247"/>
      <c r="C33" s="262"/>
      <c r="D33" s="264" t="s">
        <v>34</v>
      </c>
      <c r="E33" s="262"/>
      <c r="F33" s="262" t="s">
        <v>35</v>
      </c>
      <c r="G33" s="262"/>
      <c r="H33" s="262" t="s">
        <v>35</v>
      </c>
      <c r="I33" s="265"/>
      <c r="J33" s="262"/>
      <c r="K33" s="248"/>
      <c r="L33" s="242"/>
      <c r="M33" s="242"/>
      <c r="N33" s="242"/>
      <c r="O33" s="242"/>
      <c r="P33" s="242"/>
      <c r="Q33" s="242"/>
    </row>
    <row r="34" spans="2:17" x14ac:dyDescent="0.2">
      <c r="B34" s="247"/>
      <c r="C34" s="262"/>
      <c r="D34" s="262"/>
      <c r="E34" s="262"/>
      <c r="F34" s="262"/>
      <c r="G34" s="262"/>
      <c r="H34" s="262"/>
      <c r="I34" s="265"/>
      <c r="J34" s="262"/>
      <c r="K34" s="248"/>
      <c r="L34" s="242"/>
      <c r="M34" s="242"/>
      <c r="N34" s="242"/>
      <c r="O34" s="242"/>
      <c r="P34" s="242"/>
      <c r="Q34" s="242"/>
    </row>
    <row r="35" spans="2:17" x14ac:dyDescent="0.2">
      <c r="B35" s="266" t="s">
        <v>436</v>
      </c>
      <c r="C35" s="267"/>
      <c r="D35" s="268">
        <f>'Traffic &amp; Accidents'!J7</f>
        <v>0</v>
      </c>
      <c r="E35" s="269"/>
      <c r="F35" s="268">
        <f>'Traffic &amp; Accidents'!J8</f>
        <v>0</v>
      </c>
      <c r="G35" s="269"/>
      <c r="H35" s="268">
        <f>'Traffic &amp; Accidents'!J9</f>
        <v>0</v>
      </c>
      <c r="I35" s="265"/>
      <c r="J35" s="262"/>
      <c r="K35" s="248"/>
      <c r="L35" s="242"/>
      <c r="M35" s="242"/>
      <c r="N35" s="242"/>
      <c r="O35" s="242"/>
      <c r="P35" s="242"/>
      <c r="Q35" s="242"/>
    </row>
    <row r="36" spans="2:17" x14ac:dyDescent="0.2">
      <c r="B36" s="253"/>
      <c r="C36" s="262"/>
      <c r="D36" s="262"/>
      <c r="E36" s="262"/>
      <c r="F36" s="262"/>
      <c r="G36" s="262"/>
      <c r="H36" s="262"/>
      <c r="I36" s="265"/>
      <c r="J36" s="262"/>
      <c r="K36" s="248"/>
      <c r="L36" s="242"/>
      <c r="M36" s="242"/>
      <c r="N36" s="242"/>
      <c r="O36" s="242"/>
      <c r="P36" s="242"/>
      <c r="Q36" s="242"/>
    </row>
    <row r="37" spans="2:17" x14ac:dyDescent="0.2">
      <c r="B37" s="253" t="s">
        <v>36</v>
      </c>
      <c r="C37" s="262"/>
      <c r="D37" s="267" t="s">
        <v>37</v>
      </c>
      <c r="E37" s="267"/>
      <c r="F37" s="267" t="s">
        <v>38</v>
      </c>
      <c r="G37" s="267"/>
      <c r="H37" s="267" t="s">
        <v>39</v>
      </c>
      <c r="I37" s="265"/>
      <c r="J37" s="262"/>
      <c r="K37" s="248"/>
      <c r="L37" s="242"/>
      <c r="M37" s="242"/>
      <c r="N37" s="242"/>
      <c r="O37" s="242"/>
      <c r="P37" s="242"/>
      <c r="Q37" s="242"/>
    </row>
    <row r="38" spans="2:17" x14ac:dyDescent="0.2">
      <c r="B38" s="253"/>
      <c r="C38" s="262"/>
      <c r="D38" s="262"/>
      <c r="E38" s="262"/>
      <c r="F38" s="262"/>
      <c r="G38" s="262"/>
      <c r="H38" s="262"/>
      <c r="I38" s="265"/>
      <c r="J38" s="262"/>
      <c r="K38" s="248"/>
      <c r="L38" s="242"/>
      <c r="M38" s="242"/>
      <c r="N38" s="242"/>
      <c r="O38" s="242"/>
      <c r="P38" s="242"/>
      <c r="Q38" s="242"/>
    </row>
    <row r="39" spans="2:17" x14ac:dyDescent="0.2">
      <c r="B39" s="253" t="s">
        <v>10</v>
      </c>
      <c r="C39" s="262"/>
      <c r="D39" s="268">
        <f>D35*3</f>
        <v>0</v>
      </c>
      <c r="E39" s="269" t="s">
        <v>40</v>
      </c>
      <c r="F39" s="268">
        <f>F35*10</f>
        <v>0</v>
      </c>
      <c r="G39" s="269" t="s">
        <v>40</v>
      </c>
      <c r="H39" s="268">
        <f>H35*25</f>
        <v>0</v>
      </c>
      <c r="I39" s="270" t="s">
        <v>10</v>
      </c>
      <c r="J39" s="271">
        <f>SUM(D39,F39,H39)</f>
        <v>0</v>
      </c>
      <c r="K39" s="248"/>
      <c r="L39" s="242"/>
      <c r="M39" s="242"/>
      <c r="N39" s="242"/>
      <c r="O39" s="242"/>
      <c r="P39" s="242"/>
      <c r="Q39" s="242"/>
    </row>
    <row r="40" spans="2:17" x14ac:dyDescent="0.2">
      <c r="B40" s="272"/>
      <c r="C40" s="273"/>
      <c r="D40" s="273"/>
      <c r="E40" s="273"/>
      <c r="F40" s="273"/>
      <c r="G40" s="273"/>
      <c r="H40" s="273"/>
      <c r="I40" s="273"/>
      <c r="J40" s="273" t="s">
        <v>41</v>
      </c>
      <c r="K40" s="258"/>
      <c r="L40" s="242"/>
      <c r="M40" s="242"/>
      <c r="N40" s="242"/>
      <c r="O40" s="242"/>
      <c r="P40" s="242"/>
      <c r="Q40" s="242"/>
    </row>
    <row r="41" spans="2:17" x14ac:dyDescent="0.2">
      <c r="B41" s="242"/>
      <c r="C41" s="242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</row>
    <row r="42" spans="2:17" x14ac:dyDescent="0.2">
      <c r="B42" s="242"/>
      <c r="C42" s="242"/>
      <c r="D42" s="242"/>
      <c r="E42" s="242"/>
      <c r="F42" s="242"/>
      <c r="G42" s="242"/>
      <c r="H42" s="254"/>
      <c r="I42" s="242"/>
      <c r="J42" s="242"/>
      <c r="K42" s="242"/>
      <c r="L42" s="242"/>
      <c r="M42" s="242"/>
      <c r="N42" s="242"/>
      <c r="O42" s="242"/>
      <c r="P42" s="242"/>
      <c r="Q42" s="242"/>
    </row>
    <row r="43" spans="2:17" x14ac:dyDescent="0.2">
      <c r="B43" s="242"/>
      <c r="C43" s="242"/>
      <c r="D43" s="242"/>
      <c r="E43" s="242"/>
      <c r="F43" s="242"/>
      <c r="G43" s="242"/>
      <c r="H43" s="254"/>
      <c r="I43" s="242"/>
      <c r="J43" s="242"/>
      <c r="K43" s="242"/>
      <c r="L43" s="242"/>
      <c r="M43" s="242"/>
      <c r="N43" s="242"/>
      <c r="O43" s="242"/>
      <c r="P43" s="242"/>
      <c r="Q43" s="242"/>
    </row>
    <row r="44" spans="2:17" x14ac:dyDescent="0.2">
      <c r="B44" s="242"/>
      <c r="C44" s="242"/>
      <c r="D44" s="242"/>
      <c r="E44" s="242"/>
      <c r="F44" s="242"/>
      <c r="G44" s="242"/>
      <c r="H44" s="254"/>
      <c r="I44" s="242"/>
      <c r="J44" s="242"/>
      <c r="K44" s="242"/>
      <c r="L44" s="242"/>
      <c r="M44" s="242"/>
      <c r="N44" s="242"/>
      <c r="O44" s="242"/>
      <c r="P44" s="242"/>
      <c r="Q44" s="242"/>
    </row>
    <row r="45" spans="2:17" x14ac:dyDescent="0.2">
      <c r="B45" s="242"/>
      <c r="C45" s="242"/>
      <c r="D45" s="242"/>
      <c r="E45" s="242"/>
      <c r="F45" s="242"/>
      <c r="G45" s="242"/>
      <c r="H45" s="254"/>
      <c r="I45" s="242"/>
      <c r="J45" s="242"/>
      <c r="K45" s="242"/>
      <c r="L45" s="242"/>
      <c r="M45" s="242"/>
      <c r="N45" s="242"/>
      <c r="O45" s="242"/>
      <c r="P45" s="242"/>
      <c r="Q45" s="242"/>
    </row>
    <row r="46" spans="2:17" x14ac:dyDescent="0.2">
      <c r="B46" s="274">
        <f>J39</f>
        <v>0</v>
      </c>
      <c r="C46" s="255">
        <v>3</v>
      </c>
      <c r="D46" s="275"/>
      <c r="E46" s="276">
        <f>'Traffic &amp; Accidents'!C8</f>
        <v>0</v>
      </c>
      <c r="F46" s="277" t="s">
        <v>10</v>
      </c>
      <c r="G46" s="278" t="e">
        <f>IF(E46="",0,B46/3/E46)</f>
        <v>#DIV/0!</v>
      </c>
      <c r="H46" s="242" t="s">
        <v>42</v>
      </c>
      <c r="I46" s="242"/>
      <c r="J46" s="242"/>
      <c r="K46" s="242"/>
      <c r="L46" s="242"/>
      <c r="M46" s="242"/>
      <c r="N46" s="251" t="s">
        <v>43</v>
      </c>
      <c r="O46" s="251"/>
      <c r="P46" s="251"/>
      <c r="Q46" s="242"/>
    </row>
    <row r="47" spans="2:17" x14ac:dyDescent="0.2">
      <c r="B47" s="275" t="s">
        <v>44</v>
      </c>
      <c r="C47" s="242"/>
      <c r="D47" s="242"/>
      <c r="E47" s="242" t="s">
        <v>45</v>
      </c>
      <c r="F47" s="254"/>
      <c r="G47" s="242" t="s">
        <v>46</v>
      </c>
      <c r="H47" s="242"/>
      <c r="I47" s="254" t="s">
        <v>47</v>
      </c>
      <c r="J47" s="254"/>
      <c r="K47" s="254"/>
      <c r="L47" s="254"/>
      <c r="M47" s="242"/>
      <c r="N47" s="242"/>
      <c r="O47" s="242"/>
      <c r="P47" s="242"/>
      <c r="Q47" s="242"/>
    </row>
    <row r="48" spans="2:17" x14ac:dyDescent="0.2">
      <c r="B48" s="242"/>
      <c r="C48" s="242"/>
      <c r="D48" s="242"/>
      <c r="E48" s="242" t="s">
        <v>48</v>
      </c>
      <c r="F48" s="242"/>
      <c r="G48" s="242" t="s">
        <v>49</v>
      </c>
      <c r="H48" s="242"/>
      <c r="I48" s="254"/>
      <c r="J48" s="279" t="e">
        <f>G46</f>
        <v>#DIV/0!</v>
      </c>
      <c r="K48" s="242"/>
      <c r="L48" s="242"/>
      <c r="M48" s="242"/>
      <c r="N48" s="242"/>
      <c r="O48" s="245" t="s">
        <v>18</v>
      </c>
      <c r="P48" s="246"/>
      <c r="Q48" s="242"/>
    </row>
    <row r="49" spans="2:17" x14ac:dyDescent="0.2">
      <c r="B49" s="242"/>
      <c r="C49" s="242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7"/>
      <c r="P49" s="248"/>
      <c r="Q49" s="242"/>
    </row>
    <row r="50" spans="2:17" ht="13.5" thickBot="1" x14ac:dyDescent="0.25">
      <c r="B50" s="242"/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80" t="e">
        <f>IF(G46&lt;3.5,0,O51)</f>
        <v>#DIV/0!</v>
      </c>
      <c r="P50" s="248" t="s">
        <v>21</v>
      </c>
      <c r="Q50" s="242"/>
    </row>
    <row r="51" spans="2:17" ht="13.5" thickBot="1" x14ac:dyDescent="0.25">
      <c r="B51" s="242"/>
      <c r="C51" s="242"/>
      <c r="D51" s="242"/>
      <c r="E51" s="242"/>
      <c r="F51" s="254"/>
      <c r="G51" s="242"/>
      <c r="H51" s="242"/>
      <c r="I51" s="242"/>
      <c r="J51" s="255" t="s">
        <v>50</v>
      </c>
      <c r="K51" s="242"/>
      <c r="L51" s="256">
        <f>IF(B46=0,0,O50)</f>
        <v>0</v>
      </c>
      <c r="M51" s="242"/>
      <c r="N51" s="242"/>
      <c r="O51" s="253" t="e">
        <f>IF(AND(G46&lt;6.5,G46&gt;3.5),2,O52)</f>
        <v>#DIV/0!</v>
      </c>
      <c r="P51" s="248"/>
      <c r="Q51" s="242"/>
    </row>
    <row r="52" spans="2:17" x14ac:dyDescent="0.2">
      <c r="B52" s="242"/>
      <c r="C52" s="254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53" t="e">
        <f>IF(AND(G46&lt;9.5,G46&gt;=6.5),4,O53)</f>
        <v>#DIV/0!</v>
      </c>
      <c r="P52" s="248"/>
      <c r="Q52" s="242"/>
    </row>
    <row r="53" spans="2:17" x14ac:dyDescent="0.2">
      <c r="B53" s="242"/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53" t="e">
        <f>IF(AND(G46&lt;12.5,G46&gt;=9.5),6,O54)</f>
        <v>#DIV/0!</v>
      </c>
      <c r="P53" s="248"/>
      <c r="Q53" s="242"/>
    </row>
    <row r="54" spans="2:17" x14ac:dyDescent="0.2">
      <c r="B54" s="254"/>
      <c r="C54" s="281"/>
      <c r="D54" s="260"/>
      <c r="E54" s="282" t="s">
        <v>51</v>
      </c>
      <c r="F54" s="260"/>
      <c r="G54" s="261"/>
      <c r="H54" s="242"/>
      <c r="I54" s="242"/>
      <c r="J54" s="242"/>
      <c r="K54" s="242"/>
      <c r="L54" s="242"/>
      <c r="M54" s="242"/>
      <c r="N54" s="242"/>
      <c r="O54" s="253" t="e">
        <f>IF(AND(G46&lt;=15.5,G46&gt;=12.5),8,O55)</f>
        <v>#DIV/0!</v>
      </c>
      <c r="P54" s="248"/>
      <c r="Q54" s="242"/>
    </row>
    <row r="55" spans="2:17" x14ac:dyDescent="0.2">
      <c r="B55" s="242"/>
      <c r="C55" s="247"/>
      <c r="D55" s="242"/>
      <c r="E55" s="242"/>
      <c r="F55" s="242"/>
      <c r="G55" s="248"/>
      <c r="H55" s="242"/>
      <c r="I55" s="242"/>
      <c r="J55" s="242"/>
      <c r="K55" s="242"/>
      <c r="L55" s="242"/>
      <c r="M55" s="242"/>
      <c r="N55" s="242"/>
      <c r="O55" s="257" t="e">
        <f>IF(G46&gt;=15.5,10,"")</f>
        <v>#DIV/0!</v>
      </c>
      <c r="P55" s="258"/>
      <c r="Q55" s="242"/>
    </row>
    <row r="56" spans="2:17" x14ac:dyDescent="0.2">
      <c r="B56" s="242"/>
      <c r="C56" s="247"/>
      <c r="D56" s="283" t="s">
        <v>52</v>
      </c>
      <c r="E56" s="242" t="s">
        <v>53</v>
      </c>
      <c r="F56" s="242"/>
      <c r="G56" s="284" t="s">
        <v>54</v>
      </c>
      <c r="H56" s="242"/>
      <c r="I56" s="242"/>
      <c r="J56" s="242"/>
      <c r="K56" s="242"/>
      <c r="L56" s="242"/>
      <c r="M56" s="242"/>
      <c r="N56" s="242"/>
      <c r="O56" s="242"/>
      <c r="P56" s="242"/>
      <c r="Q56" s="242"/>
    </row>
    <row r="57" spans="2:17" x14ac:dyDescent="0.2">
      <c r="B57" s="242"/>
      <c r="C57" s="285" t="s">
        <v>55</v>
      </c>
      <c r="D57" s="242"/>
      <c r="E57" s="286" t="s">
        <v>56</v>
      </c>
      <c r="F57" s="242"/>
      <c r="G57" s="287" t="s">
        <v>57</v>
      </c>
      <c r="H57" s="242"/>
      <c r="I57" s="242"/>
      <c r="J57" s="242"/>
      <c r="K57" s="242"/>
      <c r="L57" s="242"/>
      <c r="M57" s="242"/>
      <c r="N57" s="242"/>
      <c r="O57" s="242"/>
      <c r="P57" s="242"/>
      <c r="Q57" s="242"/>
    </row>
    <row r="58" spans="2:17" x14ac:dyDescent="0.2">
      <c r="B58" s="242"/>
      <c r="C58" s="253"/>
      <c r="D58" s="242"/>
      <c r="E58" s="275"/>
      <c r="F58" s="242"/>
      <c r="G58" s="284"/>
      <c r="H58" s="242"/>
      <c r="I58" s="242"/>
      <c r="J58" s="242"/>
      <c r="K58" s="242"/>
      <c r="L58" s="242"/>
      <c r="M58" s="242"/>
      <c r="N58" s="242"/>
      <c r="O58" s="242"/>
      <c r="P58" s="242"/>
      <c r="Q58" s="242"/>
    </row>
    <row r="59" spans="2:17" x14ac:dyDescent="0.2">
      <c r="B59" s="242"/>
      <c r="C59" s="253" t="s">
        <v>58</v>
      </c>
      <c r="D59" s="242"/>
      <c r="E59" s="275" t="s">
        <v>59</v>
      </c>
      <c r="F59" s="242"/>
      <c r="G59" s="284">
        <v>0</v>
      </c>
      <c r="H59" s="242"/>
      <c r="I59" s="242"/>
      <c r="J59" s="242"/>
      <c r="K59" s="242"/>
      <c r="L59" s="242"/>
      <c r="M59" s="242"/>
      <c r="N59" s="242"/>
      <c r="O59" s="242"/>
      <c r="P59" s="242"/>
      <c r="Q59" s="242"/>
    </row>
    <row r="60" spans="2:17" x14ac:dyDescent="0.2">
      <c r="B60" s="242"/>
      <c r="C60" s="253" t="s">
        <v>60</v>
      </c>
      <c r="D60" s="242"/>
      <c r="E60" s="288" t="s">
        <v>61</v>
      </c>
      <c r="F60" s="242"/>
      <c r="G60" s="284">
        <v>2</v>
      </c>
      <c r="H60" s="242"/>
      <c r="I60" s="242"/>
      <c r="J60" s="242"/>
      <c r="K60" s="242"/>
      <c r="L60" s="242"/>
      <c r="M60" s="242"/>
      <c r="N60" s="242"/>
      <c r="O60" s="242"/>
      <c r="P60" s="242"/>
      <c r="Q60" s="242"/>
    </row>
    <row r="61" spans="2:17" x14ac:dyDescent="0.2">
      <c r="B61" s="242"/>
      <c r="C61" s="253" t="s">
        <v>62</v>
      </c>
      <c r="D61" s="242"/>
      <c r="E61" s="288" t="s">
        <v>63</v>
      </c>
      <c r="F61" s="242"/>
      <c r="G61" s="284">
        <v>4</v>
      </c>
      <c r="H61" s="242"/>
      <c r="I61" s="242"/>
      <c r="J61" s="242"/>
      <c r="K61" s="242"/>
      <c r="L61" s="242"/>
      <c r="M61" s="242"/>
      <c r="N61" s="242"/>
      <c r="O61" s="242"/>
      <c r="P61" s="242"/>
      <c r="Q61" s="242"/>
    </row>
    <row r="62" spans="2:17" x14ac:dyDescent="0.2">
      <c r="B62" s="242"/>
      <c r="C62" s="253" t="s">
        <v>64</v>
      </c>
      <c r="D62" s="242"/>
      <c r="E62" s="288" t="s">
        <v>65</v>
      </c>
      <c r="F62" s="242"/>
      <c r="G62" s="284">
        <v>6</v>
      </c>
      <c r="H62" s="242"/>
      <c r="I62" s="242"/>
      <c r="J62" s="242"/>
      <c r="K62" s="242"/>
      <c r="L62" s="242"/>
      <c r="M62" s="242"/>
      <c r="N62" s="242"/>
      <c r="O62" s="242"/>
      <c r="P62" s="242"/>
      <c r="Q62" s="242"/>
    </row>
    <row r="63" spans="2:17" x14ac:dyDescent="0.2">
      <c r="B63" s="242"/>
      <c r="C63" s="253" t="s">
        <v>66</v>
      </c>
      <c r="D63" s="242"/>
      <c r="E63" s="275" t="s">
        <v>67</v>
      </c>
      <c r="F63" s="242"/>
      <c r="G63" s="284">
        <v>8</v>
      </c>
      <c r="H63" s="242"/>
      <c r="I63" s="242"/>
      <c r="J63" s="242"/>
      <c r="K63" s="242"/>
      <c r="L63" s="242"/>
      <c r="M63" s="242"/>
      <c r="N63" s="242"/>
      <c r="O63" s="242"/>
      <c r="P63" s="242"/>
      <c r="Q63" s="242"/>
    </row>
    <row r="64" spans="2:17" x14ac:dyDescent="0.2">
      <c r="B64" s="242"/>
      <c r="C64" s="257" t="s">
        <v>68</v>
      </c>
      <c r="D64" s="273"/>
      <c r="E64" s="289" t="s">
        <v>69</v>
      </c>
      <c r="F64" s="273"/>
      <c r="G64" s="290">
        <v>10</v>
      </c>
      <c r="H64" s="242"/>
      <c r="I64" s="242"/>
      <c r="J64" s="242"/>
      <c r="K64" s="242"/>
      <c r="L64" s="242"/>
      <c r="M64" s="242"/>
      <c r="N64" s="242"/>
      <c r="O64" s="242"/>
      <c r="P64" s="242"/>
      <c r="Q64" s="242"/>
    </row>
    <row r="65" spans="2:17" x14ac:dyDescent="0.2">
      <c r="B65" s="242"/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  <c r="P65" s="242"/>
      <c r="Q65" s="242"/>
    </row>
  </sheetData>
  <sheetProtection password="EC65" sheet="1" selectLockedCells="1"/>
  <conditionalFormatting sqref="L3">
    <cfRule type="expression" dxfId="12" priority="20" stopIfTrue="1">
      <formula>ISERROR(#REF!)</formula>
    </cfRule>
  </conditionalFormatting>
  <conditionalFormatting sqref="L4">
    <cfRule type="expression" dxfId="11" priority="21" stopIfTrue="1">
      <formula>ISERROR(XEQ34)</formula>
    </cfRule>
  </conditionalFormatting>
  <pageMargins left="0.7" right="0.7" top="0.75" bottom="0.75" header="0.3" footer="0.3"/>
  <pageSetup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Equation.3" shapeId="12289" r:id="rId4">
          <objectPr defaultSize="0" autoLine="0" dde="1" r:id="rId5">
            <anchor moveWithCells="1">
              <from>
                <xdr:col>2</xdr:col>
                <xdr:colOff>238125</xdr:colOff>
                <xdr:row>45</xdr:row>
                <xdr:rowOff>38100</xdr:rowOff>
              </from>
              <to>
                <xdr:col>2</xdr:col>
                <xdr:colOff>361950</xdr:colOff>
                <xdr:row>46</xdr:row>
                <xdr:rowOff>0</xdr:rowOff>
              </to>
            </anchor>
          </objectPr>
        </oleObject>
      </mc:Choice>
      <mc:Fallback>
        <oleObject progId="Equation.3" shapeId="12289" r:id="rId4"/>
      </mc:Fallback>
    </mc:AlternateContent>
    <mc:AlternateContent xmlns:mc="http://schemas.openxmlformats.org/markup-compatibility/2006">
      <mc:Choice Requires="x14">
        <oleObject progId="Equation.3" shapeId="12290" r:id="rId6">
          <objectPr defaultSize="0" autoLine="0" dde="1" r:id="rId7">
            <anchor moveWithCells="1">
              <from>
                <xdr:col>3</xdr:col>
                <xdr:colOff>228600</xdr:colOff>
                <xdr:row>45</xdr:row>
                <xdr:rowOff>47625</xdr:rowOff>
              </from>
              <to>
                <xdr:col>3</xdr:col>
                <xdr:colOff>352425</xdr:colOff>
                <xdr:row>46</xdr:row>
                <xdr:rowOff>9525</xdr:rowOff>
              </to>
            </anchor>
          </objectPr>
        </oleObject>
      </mc:Choice>
      <mc:Fallback>
        <oleObject progId="Equation.3" shapeId="12290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94"/>
  <sheetViews>
    <sheetView workbookViewId="0"/>
  </sheetViews>
  <sheetFormatPr defaultRowHeight="15" customHeight="1" x14ac:dyDescent="0.2"/>
  <cols>
    <col min="1" max="1" width="1.7109375" style="294" customWidth="1"/>
    <col min="2" max="16384" width="9.140625" style="294"/>
  </cols>
  <sheetData>
    <row r="2" spans="2:16" s="120" customFormat="1" ht="15" customHeight="1" thickBot="1" x14ac:dyDescent="0.25">
      <c r="B2" s="118"/>
      <c r="C2" s="118"/>
      <c r="D2" s="118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</row>
    <row r="3" spans="2:16" s="120" customFormat="1" ht="15" customHeight="1" x14ac:dyDescent="0.2">
      <c r="B3" s="118"/>
      <c r="C3" s="151" t="s">
        <v>232</v>
      </c>
      <c r="D3" s="122"/>
      <c r="E3" s="122"/>
      <c r="F3" s="297"/>
      <c r="G3" s="297"/>
      <c r="H3" s="574"/>
      <c r="I3" s="122"/>
      <c r="J3" s="122"/>
      <c r="K3" s="122"/>
      <c r="L3" s="122"/>
      <c r="M3" s="122"/>
      <c r="N3" s="152"/>
      <c r="O3" s="118"/>
      <c r="P3" s="118"/>
    </row>
    <row r="4" spans="2:16" s="120" customFormat="1" ht="15" customHeight="1" x14ac:dyDescent="0.2">
      <c r="B4" s="118"/>
      <c r="C4" s="125"/>
      <c r="D4" s="89"/>
      <c r="E4" s="89"/>
      <c r="F4" s="89"/>
      <c r="G4" s="89"/>
      <c r="H4" s="89"/>
      <c r="I4" s="89"/>
      <c r="J4" s="89"/>
      <c r="K4" s="89"/>
      <c r="L4" s="89"/>
      <c r="M4" s="89"/>
      <c r="N4" s="127"/>
      <c r="O4" s="118"/>
      <c r="P4" s="118"/>
    </row>
    <row r="5" spans="2:16" s="120" customFormat="1" ht="15" customHeight="1" thickBot="1" x14ac:dyDescent="0.25">
      <c r="B5" s="118"/>
      <c r="C5" s="132"/>
      <c r="D5" s="89"/>
      <c r="E5" s="89"/>
      <c r="F5" s="153" t="s">
        <v>224</v>
      </c>
      <c r="G5" s="144"/>
      <c r="H5" s="89" t="s">
        <v>227</v>
      </c>
      <c r="I5" s="89"/>
      <c r="J5" s="89"/>
      <c r="K5" s="89"/>
      <c r="L5" s="89"/>
      <c r="M5" s="89"/>
      <c r="N5" s="127"/>
      <c r="O5" s="118"/>
      <c r="P5" s="118"/>
    </row>
    <row r="6" spans="2:16" s="120" customFormat="1" ht="15" customHeight="1" thickTop="1" x14ac:dyDescent="0.2">
      <c r="B6" s="118"/>
      <c r="C6" s="132"/>
      <c r="D6" s="726" t="s">
        <v>444</v>
      </c>
      <c r="E6" s="727"/>
      <c r="F6" s="154" t="s">
        <v>283</v>
      </c>
      <c r="G6" s="291">
        <v>18.399999999999999</v>
      </c>
      <c r="H6" s="155" t="s">
        <v>380</v>
      </c>
      <c r="I6" s="89"/>
      <c r="J6" s="89"/>
      <c r="K6" s="89"/>
      <c r="L6" s="237"/>
      <c r="M6" s="711">
        <f>IF(((1-(G7/G6))*15)&gt;0,(1-(G7/G6))*15,0)</f>
        <v>3.5869565217391299</v>
      </c>
      <c r="N6" s="127"/>
      <c r="O6" s="118"/>
      <c r="P6" s="118"/>
    </row>
    <row r="7" spans="2:16" s="120" customFormat="1" ht="15" customHeight="1" thickBot="1" x14ac:dyDescent="0.25">
      <c r="B7" s="118"/>
      <c r="C7" s="132"/>
      <c r="D7" s="728"/>
      <c r="E7" s="729"/>
      <c r="F7" s="153" t="s">
        <v>284</v>
      </c>
      <c r="G7" s="144">
        <v>14</v>
      </c>
      <c r="H7" s="155" t="s">
        <v>380</v>
      </c>
      <c r="I7" s="89"/>
      <c r="J7" s="89"/>
      <c r="K7" s="89"/>
      <c r="L7" s="237"/>
      <c r="M7" s="712"/>
      <c r="N7" s="127"/>
      <c r="O7" s="118"/>
      <c r="P7" s="118"/>
    </row>
    <row r="8" spans="2:16" s="120" customFormat="1" ht="15" customHeight="1" x14ac:dyDescent="0.2">
      <c r="B8" s="118"/>
      <c r="C8" s="132"/>
      <c r="D8" s="89"/>
      <c r="E8" s="89"/>
      <c r="F8" s="89"/>
      <c r="G8" s="19"/>
      <c r="H8" s="89"/>
      <c r="I8" s="89"/>
      <c r="J8" s="89"/>
      <c r="K8" s="89"/>
      <c r="L8" s="19"/>
      <c r="M8" s="89"/>
      <c r="N8" s="127"/>
      <c r="O8" s="118"/>
      <c r="P8" s="118"/>
    </row>
    <row r="9" spans="2:16" s="120" customFormat="1" ht="15" customHeight="1" x14ac:dyDescent="0.2">
      <c r="B9" s="118"/>
      <c r="C9" s="132"/>
      <c r="D9" s="89"/>
      <c r="E9" s="89"/>
      <c r="F9" s="89"/>
      <c r="G9" s="237"/>
      <c r="H9" s="89"/>
      <c r="I9" s="89"/>
      <c r="J9" s="89"/>
      <c r="K9" s="89"/>
      <c r="L9" s="19"/>
      <c r="M9" s="19" t="s">
        <v>230</v>
      </c>
      <c r="N9" s="127"/>
      <c r="O9" s="118"/>
      <c r="P9" s="118"/>
    </row>
    <row r="10" spans="2:16" s="120" customFormat="1" ht="15" customHeight="1" x14ac:dyDescent="0.25">
      <c r="B10" s="118"/>
      <c r="C10" s="132"/>
      <c r="D10" s="89"/>
      <c r="E10" s="89"/>
      <c r="F10" s="89"/>
      <c r="G10" s="293" t="s">
        <v>449</v>
      </c>
      <c r="H10" s="89"/>
      <c r="I10" s="89"/>
      <c r="J10" s="89"/>
      <c r="K10" s="89"/>
      <c r="L10" s="19"/>
      <c r="M10" s="89"/>
      <c r="N10" s="127"/>
      <c r="O10" s="118"/>
      <c r="P10" s="118"/>
    </row>
    <row r="11" spans="2:16" s="120" customFormat="1" ht="15" customHeight="1" x14ac:dyDescent="0.2">
      <c r="B11" s="118"/>
      <c r="C11" s="132"/>
      <c r="D11" s="89"/>
      <c r="E11" s="89"/>
      <c r="F11" s="89"/>
      <c r="G11" s="292"/>
      <c r="H11" s="89"/>
      <c r="I11" s="89"/>
      <c r="J11" s="89"/>
      <c r="K11" s="89"/>
      <c r="L11" s="19"/>
      <c r="M11" s="89"/>
      <c r="N11" s="127"/>
      <c r="O11" s="118"/>
      <c r="P11" s="118"/>
    </row>
    <row r="12" spans="2:16" s="120" customFormat="1" ht="15" customHeight="1" x14ac:dyDescent="0.2">
      <c r="B12" s="118"/>
      <c r="C12" s="132"/>
      <c r="D12" s="731" t="s">
        <v>450</v>
      </c>
      <c r="E12" s="731"/>
      <c r="F12" s="1" t="s">
        <v>87</v>
      </c>
      <c r="G12" s="144"/>
      <c r="H12" s="575"/>
      <c r="I12" s="156"/>
      <c r="J12" s="89"/>
      <c r="K12" s="89"/>
      <c r="L12" s="89"/>
      <c r="M12" s="89"/>
      <c r="N12" s="127"/>
      <c r="O12" s="118"/>
      <c r="P12" s="118"/>
    </row>
    <row r="13" spans="2:16" s="120" customFormat="1" ht="15" customHeight="1" x14ac:dyDescent="0.2">
      <c r="B13" s="118"/>
      <c r="C13" s="132"/>
      <c r="D13" s="157"/>
      <c r="E13" s="298" t="s">
        <v>11</v>
      </c>
      <c r="F13" t="s">
        <v>88</v>
      </c>
      <c r="G13" s="144"/>
      <c r="H13" s="438"/>
      <c r="I13" s="156"/>
      <c r="J13" s="89"/>
      <c r="K13" s="730" t="str">
        <f>IF(SUM(G5:G7,G12:G14)=0,"Gravel Road","Surfaced Road")</f>
        <v>Surfaced Road</v>
      </c>
      <c r="L13" s="730"/>
      <c r="M13" s="89"/>
      <c r="N13" s="127"/>
      <c r="O13" s="118"/>
      <c r="P13" s="118"/>
    </row>
    <row r="14" spans="2:16" s="120" customFormat="1" ht="15" customHeight="1" x14ac:dyDescent="0.2">
      <c r="B14" s="118"/>
      <c r="C14" s="132"/>
      <c r="D14" s="89"/>
      <c r="E14" s="298" t="s">
        <v>11</v>
      </c>
      <c r="F14" t="s">
        <v>236</v>
      </c>
      <c r="G14" s="144">
        <v>5</v>
      </c>
      <c r="H14" s="575"/>
      <c r="I14" s="156"/>
      <c r="J14" s="730"/>
      <c r="K14" s="730"/>
      <c r="L14" s="158"/>
      <c r="M14" s="158"/>
      <c r="N14" s="127"/>
      <c r="O14" s="118"/>
      <c r="P14" s="118"/>
    </row>
    <row r="15" spans="2:16" s="120" customFormat="1" ht="15" customHeight="1" x14ac:dyDescent="0.2">
      <c r="B15" s="118"/>
      <c r="C15" s="132"/>
      <c r="D15" s="89"/>
      <c r="E15" s="89"/>
      <c r="F15" s="89"/>
      <c r="G15" s="89"/>
      <c r="H15" s="89"/>
      <c r="I15" s="89"/>
      <c r="J15" s="89"/>
      <c r="K15" s="89"/>
      <c r="L15" s="159" t="s">
        <v>292</v>
      </c>
      <c r="M15" s="137" t="s">
        <v>443</v>
      </c>
      <c r="N15" s="160"/>
      <c r="O15" s="295"/>
      <c r="P15" s="295"/>
    </row>
    <row r="16" spans="2:16" s="120" customFormat="1" ht="15" customHeight="1" thickBot="1" x14ac:dyDescent="0.25">
      <c r="B16" s="118"/>
      <c r="C16" s="140"/>
      <c r="D16" s="141"/>
      <c r="E16" s="141"/>
      <c r="F16" s="141"/>
      <c r="G16" s="141"/>
      <c r="H16" s="141"/>
      <c r="I16" s="141"/>
      <c r="J16" s="141"/>
      <c r="K16" s="141"/>
      <c r="L16" s="161"/>
      <c r="M16" s="161"/>
      <c r="N16" s="162"/>
      <c r="O16" s="295"/>
      <c r="P16" s="295"/>
    </row>
    <row r="17" spans="1:37" s="120" customFormat="1" ht="15" customHeight="1" x14ac:dyDescent="0.2"/>
    <row r="18" spans="1:37" s="120" customFormat="1" ht="15" customHeight="1" x14ac:dyDescent="0.2"/>
    <row r="19" spans="1:37" s="120" customFormat="1" ht="15" customHeight="1" x14ac:dyDescent="0.2">
      <c r="C19" s="713" t="s">
        <v>440</v>
      </c>
      <c r="D19" s="713"/>
      <c r="E19" s="713"/>
      <c r="F19" s="713"/>
      <c r="G19" s="713"/>
      <c r="H19" s="713"/>
      <c r="I19" s="713"/>
      <c r="J19" s="713"/>
      <c r="K19" s="713"/>
      <c r="L19" s="713"/>
      <c r="M19" s="713"/>
      <c r="N19" s="713"/>
    </row>
    <row r="20" spans="1:37" s="120" customFormat="1" ht="15" customHeight="1" x14ac:dyDescent="0.2">
      <c r="C20" s="713"/>
      <c r="D20" s="713"/>
      <c r="E20" s="713"/>
      <c r="F20" s="713"/>
      <c r="G20" s="713"/>
      <c r="H20" s="713"/>
      <c r="I20" s="713"/>
      <c r="J20" s="713"/>
      <c r="K20" s="713"/>
      <c r="L20" s="713"/>
      <c r="M20" s="713"/>
      <c r="N20" s="713"/>
    </row>
    <row r="21" spans="1:37" s="120" customFormat="1" ht="15" customHeight="1" thickBot="1" x14ac:dyDescent="0.25">
      <c r="A21" s="710"/>
      <c r="AD21" s="710"/>
      <c r="AE21" s="710"/>
      <c r="AF21" s="710"/>
      <c r="AG21" s="710"/>
      <c r="AH21" s="710"/>
      <c r="AI21" s="710"/>
      <c r="AJ21" s="710"/>
      <c r="AK21" s="710"/>
    </row>
    <row r="22" spans="1:37" ht="15" customHeight="1" x14ac:dyDescent="0.2">
      <c r="A22" s="710"/>
      <c r="B22" s="401"/>
      <c r="C22" s="402"/>
      <c r="D22" s="402"/>
      <c r="E22" s="402"/>
      <c r="F22" s="402"/>
      <c r="G22" s="402"/>
      <c r="H22" s="402"/>
      <c r="I22" s="402"/>
      <c r="J22" s="402"/>
      <c r="K22" s="402"/>
      <c r="L22" s="403"/>
      <c r="M22" s="403"/>
      <c r="N22" s="402"/>
      <c r="O22" s="404"/>
      <c r="R22" s="705"/>
      <c r="S22" s="335"/>
      <c r="T22" s="335"/>
      <c r="U22" s="335"/>
      <c r="V22" s="335"/>
      <c r="W22" s="335"/>
      <c r="X22" s="335"/>
      <c r="Y22" s="335"/>
      <c r="Z22" s="335" t="s">
        <v>16</v>
      </c>
      <c r="AA22" s="335"/>
      <c r="AB22" s="335"/>
      <c r="AC22" s="336"/>
      <c r="AD22" s="710"/>
      <c r="AE22" s="710"/>
      <c r="AF22" s="710"/>
      <c r="AG22" s="710"/>
      <c r="AH22" s="710"/>
      <c r="AI22" s="710"/>
      <c r="AJ22" s="710"/>
      <c r="AK22" s="710"/>
    </row>
    <row r="23" spans="1:37" ht="15" customHeight="1" x14ac:dyDescent="0.2">
      <c r="A23" s="710"/>
      <c r="B23" s="405"/>
      <c r="C23" s="714" t="s">
        <v>414</v>
      </c>
      <c r="D23" s="715"/>
      <c r="E23" s="715"/>
      <c r="F23" s="715"/>
      <c r="G23" s="716"/>
      <c r="H23" s="392"/>
      <c r="I23" s="732" t="s">
        <v>72</v>
      </c>
      <c r="J23" s="733" t="s">
        <v>442</v>
      </c>
      <c r="K23" s="733"/>
      <c r="L23" s="723" t="s">
        <v>415</v>
      </c>
      <c r="M23" s="723"/>
      <c r="N23" s="723"/>
      <c r="O23" s="406"/>
      <c r="R23" s="705"/>
      <c r="S23" s="335"/>
      <c r="T23" s="335"/>
      <c r="U23" s="335"/>
      <c r="V23" s="335"/>
      <c r="W23" s="335"/>
      <c r="X23" s="335"/>
      <c r="Y23" s="335"/>
      <c r="Z23" s="335" t="s">
        <v>84</v>
      </c>
      <c r="AA23" s="335"/>
      <c r="AB23" s="335"/>
      <c r="AC23" s="335"/>
      <c r="AD23" s="710"/>
      <c r="AE23" s="710"/>
      <c r="AF23" s="710"/>
      <c r="AG23" s="710"/>
      <c r="AH23" s="710"/>
      <c r="AI23" s="710"/>
      <c r="AJ23" s="710"/>
      <c r="AK23" s="710"/>
    </row>
    <row r="24" spans="1:37" ht="15" customHeight="1" x14ac:dyDescent="0.2">
      <c r="A24" s="710"/>
      <c r="B24" s="405"/>
      <c r="C24" s="717"/>
      <c r="D24" s="718"/>
      <c r="E24" s="718"/>
      <c r="F24" s="718"/>
      <c r="G24" s="719"/>
      <c r="H24" s="392"/>
      <c r="I24" s="732"/>
      <c r="J24" s="733"/>
      <c r="K24" s="733"/>
      <c r="L24" s="723"/>
      <c r="M24" s="723"/>
      <c r="N24" s="723"/>
      <c r="O24" s="406"/>
      <c r="R24" s="705"/>
      <c r="S24" s="337" t="s">
        <v>85</v>
      </c>
      <c r="T24" s="338"/>
      <c r="U24" s="338"/>
      <c r="V24" s="338"/>
      <c r="W24" s="338"/>
      <c r="X24" s="338"/>
      <c r="Y24" s="338"/>
      <c r="Z24" s="335"/>
      <c r="AA24" s="335"/>
      <c r="AB24" s="335"/>
      <c r="AC24" s="335"/>
      <c r="AD24" s="710"/>
      <c r="AE24" s="710"/>
      <c r="AF24" s="710"/>
      <c r="AG24" s="710"/>
      <c r="AH24" s="710"/>
      <c r="AI24" s="710"/>
      <c r="AJ24" s="710"/>
      <c r="AK24" s="710"/>
    </row>
    <row r="25" spans="1:37" ht="15" customHeight="1" x14ac:dyDescent="0.2">
      <c r="A25" s="710"/>
      <c r="B25" s="405"/>
      <c r="C25" s="717"/>
      <c r="D25" s="718"/>
      <c r="E25" s="718"/>
      <c r="F25" s="718"/>
      <c r="G25" s="719"/>
      <c r="H25" s="392"/>
      <c r="I25" s="392"/>
      <c r="J25" s="733"/>
      <c r="K25" s="733"/>
      <c r="L25" s="723"/>
      <c r="M25" s="723"/>
      <c r="N25" s="723"/>
      <c r="O25" s="406"/>
      <c r="R25" s="705"/>
      <c r="S25" s="335"/>
      <c r="T25" s="335"/>
      <c r="U25" s="335"/>
      <c r="V25" s="339" t="s">
        <v>348</v>
      </c>
      <c r="W25" s="335"/>
      <c r="X25" s="335"/>
      <c r="Y25" s="340" t="s">
        <v>397</v>
      </c>
      <c r="Z25" s="335"/>
      <c r="AA25" s="335"/>
      <c r="AB25" s="335"/>
      <c r="AC25" s="335"/>
      <c r="AD25" s="710"/>
      <c r="AE25" s="710"/>
      <c r="AF25" s="710"/>
      <c r="AG25" s="710"/>
      <c r="AH25" s="710"/>
      <c r="AI25" s="710"/>
      <c r="AJ25" s="710"/>
      <c r="AK25" s="710"/>
    </row>
    <row r="26" spans="1:37" ht="15" customHeight="1" x14ac:dyDescent="0.25">
      <c r="A26" s="710"/>
      <c r="B26" s="405"/>
      <c r="C26" s="717"/>
      <c r="D26" s="718"/>
      <c r="E26" s="718"/>
      <c r="F26" s="718"/>
      <c r="G26" s="719"/>
      <c r="H26" s="392"/>
      <c r="I26" s="392"/>
      <c r="J26" s="733"/>
      <c r="K26" s="733"/>
      <c r="L26" s="723"/>
      <c r="M26" s="723"/>
      <c r="N26" s="723"/>
      <c r="O26" s="406"/>
      <c r="R26" s="705"/>
      <c r="S26" s="336"/>
      <c r="T26" s="335"/>
      <c r="U26" s="335"/>
      <c r="V26" s="339" t="s">
        <v>349</v>
      </c>
      <c r="W26" s="335"/>
      <c r="X26" s="335"/>
      <c r="Y26" s="340" t="s">
        <v>401</v>
      </c>
      <c r="Z26" s="335"/>
      <c r="AA26" s="341"/>
      <c r="AB26" s="335"/>
      <c r="AC26" s="335"/>
      <c r="AD26" s="710"/>
      <c r="AE26" s="710"/>
      <c r="AF26" s="710"/>
      <c r="AG26" s="710"/>
      <c r="AH26" s="710"/>
      <c r="AI26" s="710"/>
      <c r="AJ26" s="710"/>
      <c r="AK26" s="710"/>
    </row>
    <row r="27" spans="1:37" ht="15" customHeight="1" x14ac:dyDescent="0.2">
      <c r="A27" s="710"/>
      <c r="B27" s="405"/>
      <c r="C27" s="717"/>
      <c r="D27" s="718"/>
      <c r="E27" s="718"/>
      <c r="F27" s="718"/>
      <c r="G27" s="719"/>
      <c r="H27" s="392"/>
      <c r="I27" s="392"/>
      <c r="J27" s="733"/>
      <c r="K27" s="733"/>
      <c r="L27" s="723"/>
      <c r="M27" s="723"/>
      <c r="N27" s="723"/>
      <c r="O27" s="406"/>
      <c r="R27" s="705"/>
      <c r="S27" s="335" t="s">
        <v>86</v>
      </c>
      <c r="T27" s="342"/>
      <c r="U27" s="342"/>
      <c r="V27" s="342"/>
      <c r="W27" s="342"/>
      <c r="X27" s="342"/>
      <c r="Y27" s="342"/>
      <c r="Z27" s="335"/>
      <c r="AA27" s="335"/>
      <c r="AB27" s="342"/>
      <c r="AC27" s="335"/>
      <c r="AD27" s="710"/>
      <c r="AE27" s="710"/>
      <c r="AF27" s="710"/>
      <c r="AG27" s="710"/>
      <c r="AH27" s="710"/>
      <c r="AI27" s="710"/>
      <c r="AJ27" s="710"/>
      <c r="AK27" s="710"/>
    </row>
    <row r="28" spans="1:37" ht="15" customHeight="1" x14ac:dyDescent="0.2">
      <c r="A28" s="710"/>
      <c r="B28" s="405"/>
      <c r="C28" s="720"/>
      <c r="D28" s="721"/>
      <c r="E28" s="721"/>
      <c r="F28" s="721"/>
      <c r="G28" s="722"/>
      <c r="H28" s="392"/>
      <c r="I28" s="392"/>
      <c r="J28" s="733"/>
      <c r="K28" s="733"/>
      <c r="L28" s="723"/>
      <c r="M28" s="723"/>
      <c r="N28" s="723"/>
      <c r="O28" s="406"/>
      <c r="R28" s="705"/>
      <c r="S28" s="335"/>
      <c r="T28" s="342" t="s">
        <v>89</v>
      </c>
      <c r="U28" s="342"/>
      <c r="V28" s="342" t="s">
        <v>90</v>
      </c>
      <c r="W28" s="342"/>
      <c r="X28" s="342"/>
      <c r="Y28" s="343" t="s">
        <v>350</v>
      </c>
      <c r="Z28" s="335"/>
      <c r="AA28" s="335"/>
      <c r="AB28" s="342"/>
      <c r="AC28" s="335"/>
      <c r="AD28" s="710"/>
      <c r="AE28" s="710"/>
      <c r="AF28" s="710"/>
      <c r="AG28" s="710"/>
      <c r="AH28" s="710"/>
      <c r="AI28" s="710"/>
      <c r="AJ28" s="710"/>
      <c r="AK28" s="710"/>
    </row>
    <row r="29" spans="1:37" ht="15" customHeight="1" x14ac:dyDescent="0.2">
      <c r="A29" s="710"/>
      <c r="B29" s="407"/>
      <c r="C29" s="392"/>
      <c r="D29" s="392"/>
      <c r="E29" s="392"/>
      <c r="F29" s="392"/>
      <c r="G29" s="392"/>
      <c r="H29" s="392"/>
      <c r="I29" s="392"/>
      <c r="J29" s="392"/>
      <c r="K29" s="392"/>
      <c r="L29" s="723"/>
      <c r="M29" s="723"/>
      <c r="N29" s="723"/>
      <c r="O29" s="406"/>
      <c r="R29" s="705"/>
      <c r="S29" s="335"/>
      <c r="T29" s="342" t="s">
        <v>91</v>
      </c>
      <c r="U29" s="342"/>
      <c r="V29" s="342"/>
      <c r="W29" s="342"/>
      <c r="X29" s="342"/>
      <c r="Y29" s="342"/>
      <c r="Z29" s="344" t="s">
        <v>87</v>
      </c>
      <c r="AA29" s="344" t="s">
        <v>88</v>
      </c>
      <c r="AB29" s="342"/>
      <c r="AC29" s="335"/>
      <c r="AD29" s="710"/>
      <c r="AE29" s="710"/>
      <c r="AF29" s="710"/>
      <c r="AG29" s="710"/>
      <c r="AH29" s="710"/>
      <c r="AI29" s="710"/>
      <c r="AJ29" s="710"/>
      <c r="AK29" s="710"/>
    </row>
    <row r="30" spans="1:37" ht="15" customHeight="1" x14ac:dyDescent="0.2">
      <c r="A30" s="710"/>
      <c r="B30" s="407"/>
      <c r="C30" s="392"/>
      <c r="D30" s="408"/>
      <c r="E30" s="408"/>
      <c r="F30" s="408"/>
      <c r="G30" s="408"/>
      <c r="H30" s="408"/>
      <c r="I30" s="408"/>
      <c r="J30" s="408"/>
      <c r="K30" s="408"/>
      <c r="L30" s="408"/>
      <c r="M30" s="408"/>
      <c r="N30" s="392"/>
      <c r="O30" s="406"/>
      <c r="R30" s="705"/>
      <c r="S30" s="335"/>
      <c r="T30" s="342"/>
      <c r="U30" s="345"/>
      <c r="V30" s="346" t="s">
        <v>92</v>
      </c>
      <c r="W30" s="344" t="s">
        <v>93</v>
      </c>
      <c r="X30" s="344" t="s">
        <v>94</v>
      </c>
      <c r="Y30" s="344" t="s">
        <v>95</v>
      </c>
      <c r="Z30" s="347" t="s">
        <v>57</v>
      </c>
      <c r="AA30" s="348" t="s">
        <v>57</v>
      </c>
      <c r="AB30" s="342"/>
      <c r="AC30" s="335"/>
      <c r="AD30" s="710"/>
      <c r="AE30" s="710"/>
      <c r="AF30" s="710"/>
      <c r="AG30" s="710"/>
      <c r="AH30" s="710"/>
      <c r="AI30" s="710"/>
      <c r="AJ30" s="710"/>
      <c r="AK30" s="710"/>
    </row>
    <row r="31" spans="1:37" ht="15" customHeight="1" x14ac:dyDescent="0.25">
      <c r="A31" s="710"/>
      <c r="B31" s="409" t="s">
        <v>416</v>
      </c>
      <c r="C31" s="392"/>
      <c r="D31" s="408"/>
      <c r="E31" s="392"/>
      <c r="F31" s="408"/>
      <c r="G31" s="408"/>
      <c r="H31" s="408"/>
      <c r="I31" s="408"/>
      <c r="J31" s="408"/>
      <c r="K31" s="408"/>
      <c r="L31" s="408"/>
      <c r="M31" s="408"/>
      <c r="N31" s="392"/>
      <c r="O31" s="406"/>
      <c r="R31" s="705"/>
      <c r="S31" s="335"/>
      <c r="T31" s="342"/>
      <c r="U31" s="345"/>
      <c r="V31" s="342"/>
      <c r="W31" s="344"/>
      <c r="X31" s="344"/>
      <c r="Y31" s="344"/>
      <c r="Z31" s="342"/>
      <c r="AA31" s="342"/>
      <c r="AB31" s="342"/>
      <c r="AC31" s="335"/>
      <c r="AD31" s="710"/>
      <c r="AE31" s="710"/>
      <c r="AF31" s="710"/>
      <c r="AG31" s="710"/>
      <c r="AH31" s="710"/>
      <c r="AI31" s="710"/>
      <c r="AJ31" s="710"/>
      <c r="AK31" s="710"/>
    </row>
    <row r="32" spans="1:37" ht="15" customHeight="1" x14ac:dyDescent="0.2">
      <c r="A32" s="710"/>
      <c r="B32" s="407"/>
      <c r="C32" s="408"/>
      <c r="D32" s="408"/>
      <c r="E32" s="408"/>
      <c r="F32" s="408"/>
      <c r="G32" s="408"/>
      <c r="H32" s="408"/>
      <c r="I32" s="408"/>
      <c r="J32" s="408"/>
      <c r="K32" s="408"/>
      <c r="L32" s="408"/>
      <c r="M32" s="408"/>
      <c r="N32" s="392"/>
      <c r="O32" s="406"/>
      <c r="R32" s="705"/>
      <c r="S32" s="335"/>
      <c r="T32" s="342" t="s">
        <v>96</v>
      </c>
      <c r="U32" s="345"/>
      <c r="V32" s="344">
        <v>0</v>
      </c>
      <c r="W32" s="349">
        <v>2</v>
      </c>
      <c r="X32" s="349">
        <v>3</v>
      </c>
      <c r="Y32" s="349">
        <v>5</v>
      </c>
      <c r="Z32" s="350"/>
      <c r="AA32" s="351"/>
      <c r="AB32" s="342"/>
      <c r="AC32" s="335"/>
      <c r="AD32" s="710"/>
      <c r="AE32" s="710"/>
      <c r="AF32" s="710"/>
      <c r="AG32" s="710"/>
      <c r="AH32" s="710"/>
      <c r="AI32" s="710"/>
      <c r="AJ32" s="710"/>
      <c r="AK32" s="710"/>
    </row>
    <row r="33" spans="1:37" ht="15" customHeight="1" x14ac:dyDescent="0.2">
      <c r="A33" s="710"/>
      <c r="B33" s="702" t="s">
        <v>74</v>
      </c>
      <c r="C33" s="410" t="s">
        <v>417</v>
      </c>
      <c r="D33" s="411"/>
      <c r="E33" s="411"/>
      <c r="F33" s="408"/>
      <c r="G33" s="408"/>
      <c r="H33" s="408"/>
      <c r="I33" s="724"/>
      <c r="J33" s="724"/>
      <c r="K33" s="724"/>
      <c r="L33" s="724"/>
      <c r="M33" s="724"/>
      <c r="N33" s="724"/>
      <c r="O33" s="725"/>
      <c r="R33" s="705"/>
      <c r="S33" s="335"/>
      <c r="T33" s="342" t="s">
        <v>97</v>
      </c>
      <c r="U33" s="345"/>
      <c r="V33" s="344">
        <v>0</v>
      </c>
      <c r="W33" s="349">
        <v>1</v>
      </c>
      <c r="X33" s="349">
        <v>3</v>
      </c>
      <c r="Y33" s="349">
        <v>4</v>
      </c>
      <c r="Z33" s="352"/>
      <c r="AA33" s="353"/>
      <c r="AB33" s="342"/>
      <c r="AC33" s="335"/>
      <c r="AD33" s="710"/>
      <c r="AE33" s="710"/>
      <c r="AF33" s="710"/>
      <c r="AG33" s="710"/>
      <c r="AH33" s="710"/>
      <c r="AI33" s="710"/>
      <c r="AJ33" s="710"/>
      <c r="AK33" s="710"/>
    </row>
    <row r="34" spans="1:37" ht="15" customHeight="1" x14ac:dyDescent="0.2">
      <c r="A34" s="710"/>
      <c r="B34" s="702"/>
      <c r="C34" s="411"/>
      <c r="D34" s="411"/>
      <c r="E34" s="411"/>
      <c r="F34" s="408"/>
      <c r="G34" s="408"/>
      <c r="H34" s="408"/>
      <c r="I34" s="724"/>
      <c r="J34" s="724"/>
      <c r="K34" s="724"/>
      <c r="L34" s="724"/>
      <c r="M34" s="724"/>
      <c r="N34" s="724"/>
      <c r="O34" s="725"/>
      <c r="R34" s="705"/>
      <c r="S34" s="335"/>
      <c r="T34" s="342" t="s">
        <v>98</v>
      </c>
      <c r="U34" s="342"/>
      <c r="V34" s="344">
        <v>0</v>
      </c>
      <c r="W34" s="349">
        <v>3</v>
      </c>
      <c r="X34" s="349">
        <v>4</v>
      </c>
      <c r="Y34" s="349">
        <v>6</v>
      </c>
      <c r="Z34" s="352"/>
      <c r="AA34" s="353"/>
      <c r="AB34" s="342"/>
      <c r="AC34" s="335"/>
      <c r="AD34" s="710"/>
      <c r="AE34" s="710"/>
      <c r="AF34" s="710"/>
      <c r="AG34" s="710"/>
      <c r="AH34" s="710"/>
      <c r="AI34" s="710"/>
      <c r="AJ34" s="710"/>
      <c r="AK34" s="710"/>
    </row>
    <row r="35" spans="1:37" ht="15" customHeight="1" x14ac:dyDescent="0.2">
      <c r="A35" s="710"/>
      <c r="B35" s="412" t="s">
        <v>73</v>
      </c>
      <c r="C35" s="411"/>
      <c r="D35" s="413" t="s">
        <v>418</v>
      </c>
      <c r="E35" s="413"/>
      <c r="F35" s="408"/>
      <c r="G35" s="408"/>
      <c r="H35" s="408"/>
      <c r="I35" s="724"/>
      <c r="J35" s="724"/>
      <c r="K35" s="724"/>
      <c r="L35" s="724"/>
      <c r="M35" s="724"/>
      <c r="N35" s="724"/>
      <c r="O35" s="725"/>
      <c r="R35" s="705"/>
      <c r="S35" s="335"/>
      <c r="T35" s="342" t="s">
        <v>99</v>
      </c>
      <c r="U35" s="342"/>
      <c r="V35" s="344">
        <v>0</v>
      </c>
      <c r="W35" s="349">
        <v>1</v>
      </c>
      <c r="X35" s="349">
        <v>3</v>
      </c>
      <c r="Y35" s="349">
        <v>4</v>
      </c>
      <c r="Z35" s="352"/>
      <c r="AA35" s="353"/>
      <c r="AB35" s="342"/>
      <c r="AC35" s="335"/>
      <c r="AD35" s="710"/>
      <c r="AE35" s="710"/>
      <c r="AF35" s="710"/>
      <c r="AG35" s="710"/>
      <c r="AH35" s="710"/>
      <c r="AI35" s="710"/>
      <c r="AJ35" s="710"/>
      <c r="AK35" s="710"/>
    </row>
    <row r="36" spans="1:37" ht="15" customHeight="1" x14ac:dyDescent="0.2">
      <c r="A36" s="710"/>
      <c r="B36" s="412"/>
      <c r="C36" s="411"/>
      <c r="D36" s="411"/>
      <c r="E36" s="411"/>
      <c r="F36" s="408"/>
      <c r="G36" s="408"/>
      <c r="H36" s="408"/>
      <c r="I36" s="414"/>
      <c r="J36" s="414"/>
      <c r="K36" s="414"/>
      <c r="L36" s="414"/>
      <c r="M36" s="414"/>
      <c r="N36" s="392"/>
      <c r="O36" s="406"/>
      <c r="R36" s="705"/>
      <c r="S36" s="335"/>
      <c r="T36" s="342" t="s">
        <v>100</v>
      </c>
      <c r="U36" s="345"/>
      <c r="V36" s="344">
        <v>0</v>
      </c>
      <c r="W36" s="349">
        <v>1</v>
      </c>
      <c r="X36" s="349">
        <v>3</v>
      </c>
      <c r="Y36" s="349">
        <v>4</v>
      </c>
      <c r="Z36" s="352"/>
      <c r="AA36" s="353"/>
      <c r="AB36" s="342"/>
      <c r="AC36" s="335"/>
      <c r="AD36" s="710"/>
      <c r="AE36" s="710"/>
      <c r="AF36" s="710"/>
      <c r="AG36" s="710"/>
      <c r="AH36" s="710"/>
      <c r="AI36" s="710"/>
      <c r="AJ36" s="710"/>
      <c r="AK36" s="710"/>
    </row>
    <row r="37" spans="1:37" ht="15" customHeight="1" x14ac:dyDescent="0.2">
      <c r="A37" s="710"/>
      <c r="B37" s="412"/>
      <c r="C37" s="415" t="s">
        <v>381</v>
      </c>
      <c r="D37" s="411" t="s">
        <v>382</v>
      </c>
      <c r="E37" s="411"/>
      <c r="F37" s="408"/>
      <c r="G37" s="408"/>
      <c r="H37" s="408"/>
      <c r="I37" s="414"/>
      <c r="J37" s="414"/>
      <c r="K37" s="414"/>
      <c r="L37" s="414"/>
      <c r="M37" s="414"/>
      <c r="N37" s="392"/>
      <c r="O37" s="406"/>
      <c r="R37" s="705"/>
      <c r="S37" s="335"/>
      <c r="T37" s="342" t="s">
        <v>101</v>
      </c>
      <c r="U37" s="342"/>
      <c r="V37" s="344">
        <v>0</v>
      </c>
      <c r="W37" s="349">
        <v>0</v>
      </c>
      <c r="X37" s="349">
        <v>1</v>
      </c>
      <c r="Y37" s="349">
        <v>2</v>
      </c>
      <c r="Z37" s="352"/>
      <c r="AA37" s="353"/>
      <c r="AB37" s="707" t="s">
        <v>351</v>
      </c>
      <c r="AC37" s="708"/>
      <c r="AD37" s="710"/>
      <c r="AE37" s="710"/>
      <c r="AF37" s="710"/>
      <c r="AG37" s="710"/>
      <c r="AH37" s="710"/>
      <c r="AI37" s="710"/>
      <c r="AJ37" s="710"/>
      <c r="AK37" s="710"/>
    </row>
    <row r="38" spans="1:37" ht="15" customHeight="1" x14ac:dyDescent="0.2">
      <c r="A38" s="710"/>
      <c r="B38" s="412"/>
      <c r="C38" s="411"/>
      <c r="D38" s="411"/>
      <c r="E38" s="410" t="s">
        <v>392</v>
      </c>
      <c r="F38" s="408"/>
      <c r="G38" s="408"/>
      <c r="H38" s="408"/>
      <c r="I38" s="414"/>
      <c r="J38" s="414"/>
      <c r="K38" s="414"/>
      <c r="L38" s="414"/>
      <c r="M38" s="414"/>
      <c r="N38" s="392"/>
      <c r="O38" s="406"/>
      <c r="R38" s="705"/>
      <c r="S38" s="335"/>
      <c r="T38" s="342" t="s">
        <v>102</v>
      </c>
      <c r="U38" s="342"/>
      <c r="V38" s="342"/>
      <c r="W38" s="344"/>
      <c r="X38" s="344"/>
      <c r="Y38" s="354" t="s">
        <v>41</v>
      </c>
      <c r="Z38" s="342"/>
      <c r="AA38" s="342"/>
      <c r="AB38" s="706" t="s">
        <v>352</v>
      </c>
      <c r="AC38" s="706"/>
      <c r="AD38" s="710"/>
      <c r="AE38" s="710"/>
      <c r="AF38" s="710"/>
      <c r="AG38" s="710"/>
      <c r="AH38" s="710"/>
      <c r="AI38" s="710"/>
      <c r="AJ38" s="710"/>
      <c r="AK38" s="710"/>
    </row>
    <row r="39" spans="1:37" ht="15" customHeight="1" x14ac:dyDescent="0.2">
      <c r="A39" s="710"/>
      <c r="B39" s="412"/>
      <c r="C39" s="411"/>
      <c r="D39" s="411"/>
      <c r="E39" s="411" t="s">
        <v>393</v>
      </c>
      <c r="F39" s="408"/>
      <c r="G39" s="408"/>
      <c r="H39" s="408"/>
      <c r="I39" s="414"/>
      <c r="J39" s="414"/>
      <c r="K39" s="414"/>
      <c r="L39" s="414"/>
      <c r="M39" s="414"/>
      <c r="N39" s="392"/>
      <c r="O39" s="406"/>
      <c r="R39" s="705"/>
      <c r="S39" s="335"/>
      <c r="T39" s="342"/>
      <c r="U39" s="342"/>
      <c r="V39" s="342"/>
      <c r="W39" s="342"/>
      <c r="X39" s="342"/>
      <c r="Y39" s="342"/>
      <c r="Z39" s="342"/>
      <c r="AA39" s="342"/>
      <c r="AB39" s="355" t="s">
        <v>395</v>
      </c>
      <c r="AC39" s="335"/>
      <c r="AD39" s="710"/>
      <c r="AE39" s="710"/>
      <c r="AF39" s="710"/>
      <c r="AG39" s="710"/>
      <c r="AH39" s="710"/>
      <c r="AI39" s="710"/>
      <c r="AJ39" s="710"/>
      <c r="AK39" s="710"/>
    </row>
    <row r="40" spans="1:37" ht="15" customHeight="1" x14ac:dyDescent="0.2">
      <c r="A40" s="710"/>
      <c r="B40" s="412"/>
      <c r="C40" s="411"/>
      <c r="D40" s="411"/>
      <c r="E40" s="392"/>
      <c r="F40" s="408"/>
      <c r="G40" s="408"/>
      <c r="H40" s="408"/>
      <c r="I40" s="414"/>
      <c r="J40" s="414"/>
      <c r="K40" s="414"/>
      <c r="L40" s="414"/>
      <c r="M40" s="414"/>
      <c r="N40" s="392"/>
      <c r="O40" s="406"/>
      <c r="R40" s="705"/>
      <c r="S40" s="335"/>
      <c r="T40" s="342" t="s">
        <v>103</v>
      </c>
      <c r="U40" s="342"/>
      <c r="V40" s="342"/>
      <c r="W40" s="342"/>
      <c r="X40" s="342"/>
      <c r="Y40" s="346" t="s">
        <v>104</v>
      </c>
      <c r="Z40" s="356">
        <f>IF('Old Structure'!G12&gt;15,15,'Old Structure'!G12)</f>
        <v>0</v>
      </c>
      <c r="AA40" s="345"/>
      <c r="AB40" s="335"/>
      <c r="AC40" s="335"/>
      <c r="AD40" s="710"/>
      <c r="AE40" s="710"/>
      <c r="AF40" s="710"/>
      <c r="AG40" s="710"/>
      <c r="AH40" s="710"/>
      <c r="AI40" s="710"/>
      <c r="AJ40" s="710"/>
      <c r="AK40" s="710"/>
    </row>
    <row r="41" spans="1:37" ht="15" customHeight="1" x14ac:dyDescent="0.2">
      <c r="A41" s="710"/>
      <c r="B41" s="412"/>
      <c r="C41" s="415" t="s">
        <v>383</v>
      </c>
      <c r="D41" s="411" t="s">
        <v>384</v>
      </c>
      <c r="E41" s="411"/>
      <c r="F41" s="416"/>
      <c r="G41" s="416"/>
      <c r="H41" s="408"/>
      <c r="I41" s="417"/>
      <c r="J41" s="417"/>
      <c r="K41" s="408"/>
      <c r="L41" s="408"/>
      <c r="M41" s="408"/>
      <c r="N41" s="392"/>
      <c r="O41" s="406"/>
      <c r="R41" s="705"/>
      <c r="S41" s="335"/>
      <c r="T41" s="342"/>
      <c r="U41" s="342"/>
      <c r="V41" s="342"/>
      <c r="W41" s="342"/>
      <c r="X41" s="342"/>
      <c r="Y41" s="346" t="s">
        <v>105</v>
      </c>
      <c r="Z41" s="357"/>
      <c r="AA41" s="356">
        <f>IF('Old Structure'!G13&gt;30,30,'Old Structure'!G13)</f>
        <v>0</v>
      </c>
      <c r="AB41" s="335"/>
      <c r="AC41" s="335"/>
      <c r="AD41" s="710"/>
      <c r="AE41" s="710"/>
      <c r="AF41" s="710"/>
      <c r="AG41" s="710"/>
      <c r="AH41" s="710"/>
      <c r="AI41" s="710"/>
      <c r="AJ41" s="710"/>
      <c r="AK41" s="710"/>
    </row>
    <row r="42" spans="1:37" ht="15" customHeight="1" x14ac:dyDescent="0.2">
      <c r="A42" s="710"/>
      <c r="B42" s="412"/>
      <c r="C42" s="411"/>
      <c r="D42" s="411"/>
      <c r="E42" s="411" t="s">
        <v>389</v>
      </c>
      <c r="F42" s="408"/>
      <c r="G42" s="408"/>
      <c r="H42" s="408"/>
      <c r="I42" s="417"/>
      <c r="J42" s="417"/>
      <c r="K42" s="417"/>
      <c r="L42" s="417"/>
      <c r="M42" s="417"/>
      <c r="N42" s="417"/>
      <c r="O42" s="418"/>
      <c r="R42" s="705"/>
      <c r="S42" s="335"/>
      <c r="T42" s="342"/>
      <c r="U42" s="342"/>
      <c r="V42" s="342"/>
      <c r="W42" s="342"/>
      <c r="X42" s="342"/>
      <c r="Y42" s="346"/>
      <c r="Z42" s="357"/>
      <c r="AA42" s="358"/>
      <c r="AB42" s="342"/>
      <c r="AC42" s="335"/>
      <c r="AD42" s="710"/>
      <c r="AE42" s="710"/>
      <c r="AF42" s="710"/>
      <c r="AG42" s="710"/>
      <c r="AH42" s="710"/>
      <c r="AI42" s="710"/>
      <c r="AJ42" s="710"/>
      <c r="AK42" s="710"/>
    </row>
    <row r="43" spans="1:37" ht="15" customHeight="1" x14ac:dyDescent="0.2">
      <c r="A43" s="710"/>
      <c r="B43" s="412"/>
      <c r="C43" s="411"/>
      <c r="D43" s="411"/>
      <c r="E43" s="411" t="s">
        <v>390</v>
      </c>
      <c r="F43" s="408"/>
      <c r="G43" s="408"/>
      <c r="H43" s="408"/>
      <c r="I43" s="417"/>
      <c r="J43" s="417"/>
      <c r="K43" s="417"/>
      <c r="L43" s="417"/>
      <c r="M43" s="417"/>
      <c r="N43" s="417"/>
      <c r="O43" s="418"/>
      <c r="R43" s="705"/>
      <c r="S43" s="335"/>
      <c r="T43" s="335"/>
      <c r="U43" s="335"/>
      <c r="V43" s="335"/>
      <c r="W43" s="335"/>
      <c r="X43" s="335"/>
      <c r="Y43" s="359"/>
      <c r="Z43" s="360"/>
      <c r="AA43" s="361"/>
      <c r="AB43" s="335"/>
      <c r="AC43" s="360"/>
      <c r="AD43" s="710"/>
      <c r="AE43" s="710"/>
      <c r="AF43" s="710"/>
      <c r="AG43" s="710"/>
      <c r="AH43" s="710"/>
      <c r="AI43" s="710"/>
      <c r="AJ43" s="710"/>
      <c r="AK43" s="710"/>
    </row>
    <row r="44" spans="1:37" ht="15" customHeight="1" x14ac:dyDescent="0.2">
      <c r="A44" s="710"/>
      <c r="B44" s="412"/>
      <c r="C44" s="411"/>
      <c r="D44" s="411"/>
      <c r="E44" s="411" t="s">
        <v>391</v>
      </c>
      <c r="F44" s="408"/>
      <c r="G44" s="408"/>
      <c r="H44" s="408"/>
      <c r="I44" s="417"/>
      <c r="J44" s="417"/>
      <c r="K44" s="408"/>
      <c r="L44" s="408"/>
      <c r="M44" s="408"/>
      <c r="N44" s="392"/>
      <c r="O44" s="406"/>
      <c r="R44" s="705"/>
      <c r="S44" s="335"/>
      <c r="T44" s="335"/>
      <c r="U44" s="335"/>
      <c r="V44" s="335"/>
      <c r="W44" s="335"/>
      <c r="X44" s="335"/>
      <c r="Y44" s="335"/>
      <c r="Z44" s="360"/>
      <c r="AA44" s="335"/>
      <c r="AB44" s="335"/>
      <c r="AC44" s="335"/>
      <c r="AD44" s="710"/>
      <c r="AE44" s="710"/>
      <c r="AF44" s="710"/>
      <c r="AG44" s="710"/>
      <c r="AH44" s="710"/>
      <c r="AI44" s="710"/>
      <c r="AJ44" s="710"/>
      <c r="AK44" s="710"/>
    </row>
    <row r="45" spans="1:37" ht="15" customHeight="1" x14ac:dyDescent="0.2">
      <c r="A45" s="710"/>
      <c r="B45" s="412"/>
      <c r="C45" s="411"/>
      <c r="D45" s="411"/>
      <c r="E45" s="411"/>
      <c r="F45" s="408"/>
      <c r="G45" s="408"/>
      <c r="H45" s="408"/>
      <c r="I45" s="408"/>
      <c r="J45" s="408"/>
      <c r="K45" s="408"/>
      <c r="L45" s="408"/>
      <c r="M45" s="408"/>
      <c r="N45" s="392"/>
      <c r="O45" s="406"/>
      <c r="R45" s="362"/>
      <c r="S45" s="335" t="s">
        <v>106</v>
      </c>
      <c r="T45" s="335"/>
      <c r="U45" s="335"/>
      <c r="V45" s="335"/>
      <c r="W45" s="335"/>
      <c r="X45" s="335"/>
      <c r="Y45" s="335"/>
      <c r="Z45" s="335"/>
      <c r="AA45" s="335"/>
      <c r="AB45" s="335"/>
      <c r="AC45" s="335"/>
      <c r="AD45" s="710"/>
      <c r="AE45" s="710"/>
      <c r="AF45" s="710"/>
      <c r="AG45" s="710"/>
      <c r="AH45" s="710"/>
      <c r="AI45" s="710"/>
      <c r="AJ45" s="710"/>
      <c r="AK45" s="710"/>
    </row>
    <row r="46" spans="1:37" ht="15" customHeight="1" x14ac:dyDescent="0.2">
      <c r="A46" s="710"/>
      <c r="B46" s="412"/>
      <c r="C46" s="411"/>
      <c r="D46" s="413" t="s">
        <v>419</v>
      </c>
      <c r="E46" s="413"/>
      <c r="F46" s="408"/>
      <c r="G46" s="408"/>
      <c r="H46" s="408"/>
      <c r="I46" s="408"/>
      <c r="J46" s="408"/>
      <c r="K46" s="408"/>
      <c r="L46" s="408"/>
      <c r="M46" s="408"/>
      <c r="N46" s="392"/>
      <c r="O46" s="406"/>
      <c r="R46" s="362"/>
      <c r="S46" s="335" t="s">
        <v>107</v>
      </c>
      <c r="T46" s="335"/>
      <c r="U46" s="335"/>
      <c r="V46" s="335"/>
      <c r="W46" s="335"/>
      <c r="X46" s="335"/>
      <c r="Y46" s="335"/>
      <c r="Z46" s="335"/>
      <c r="AA46" s="335"/>
      <c r="AB46" s="335"/>
      <c r="AC46" s="335"/>
      <c r="AD46" s="710"/>
      <c r="AE46" s="710"/>
      <c r="AF46" s="710"/>
      <c r="AG46" s="710"/>
      <c r="AH46" s="710"/>
      <c r="AI46" s="710"/>
      <c r="AJ46" s="710"/>
      <c r="AK46" s="710"/>
    </row>
    <row r="47" spans="1:37" ht="15" customHeight="1" x14ac:dyDescent="0.2">
      <c r="A47" s="710"/>
      <c r="B47" s="412"/>
      <c r="C47" s="411"/>
      <c r="D47" s="411"/>
      <c r="E47" s="411" t="s">
        <v>385</v>
      </c>
      <c r="F47" s="408"/>
      <c r="G47" s="408"/>
      <c r="H47" s="408"/>
      <c r="I47" s="408"/>
      <c r="J47" s="408"/>
      <c r="K47" s="408"/>
      <c r="L47" s="408"/>
      <c r="M47" s="408"/>
      <c r="N47" s="392"/>
      <c r="O47" s="406"/>
      <c r="R47" s="362"/>
      <c r="S47" s="335" t="s">
        <v>108</v>
      </c>
      <c r="T47" s="335"/>
      <c r="U47" s="335"/>
      <c r="V47" s="335"/>
      <c r="W47" s="335"/>
      <c r="X47" s="335"/>
      <c r="Y47" s="335"/>
      <c r="Z47" s="335"/>
      <c r="AA47" s="335"/>
      <c r="AB47" s="335"/>
      <c r="AC47" s="335"/>
      <c r="AD47" s="710"/>
      <c r="AE47" s="710"/>
      <c r="AF47" s="710"/>
      <c r="AG47" s="710"/>
      <c r="AH47" s="710"/>
      <c r="AI47" s="710"/>
      <c r="AJ47" s="710"/>
      <c r="AK47" s="710"/>
    </row>
    <row r="48" spans="1:37" ht="15" customHeight="1" x14ac:dyDescent="0.2">
      <c r="A48" s="710"/>
      <c r="B48" s="412"/>
      <c r="C48" s="411"/>
      <c r="D48" s="411"/>
      <c r="E48" s="411"/>
      <c r="F48" s="408"/>
      <c r="G48" s="408"/>
      <c r="H48" s="408"/>
      <c r="I48" s="408"/>
      <c r="J48" s="408"/>
      <c r="K48" s="408"/>
      <c r="L48" s="408"/>
      <c r="M48" s="408"/>
      <c r="N48" s="392"/>
      <c r="O48" s="406"/>
      <c r="R48" s="705"/>
      <c r="S48" s="335"/>
      <c r="T48" s="335"/>
      <c r="U48" s="335"/>
      <c r="V48" s="335"/>
      <c r="W48" s="335"/>
      <c r="X48" s="335"/>
      <c r="Y48" s="335"/>
      <c r="Z48" s="335"/>
      <c r="AA48" s="335"/>
      <c r="AB48" s="335"/>
      <c r="AC48" s="335"/>
      <c r="AD48" s="710"/>
      <c r="AE48" s="710"/>
      <c r="AF48" s="710"/>
      <c r="AG48" s="710"/>
      <c r="AH48" s="710"/>
      <c r="AI48" s="710"/>
      <c r="AJ48" s="710"/>
      <c r="AK48" s="710"/>
    </row>
    <row r="49" spans="1:37" ht="15" customHeight="1" x14ac:dyDescent="0.2">
      <c r="A49" s="710"/>
      <c r="B49" s="407"/>
      <c r="C49" s="408" t="s">
        <v>70</v>
      </c>
      <c r="D49" s="392"/>
      <c r="E49" s="408"/>
      <c r="F49" s="408"/>
      <c r="G49" s="408"/>
      <c r="H49" s="408"/>
      <c r="I49" s="408"/>
      <c r="J49" s="408"/>
      <c r="K49" s="408"/>
      <c r="L49" s="408"/>
      <c r="M49" s="408"/>
      <c r="N49" s="392"/>
      <c r="O49" s="406"/>
      <c r="R49" s="705"/>
      <c r="S49" s="335"/>
      <c r="T49" s="335"/>
      <c r="U49" s="335"/>
      <c r="V49" s="335"/>
      <c r="W49" s="335"/>
      <c r="X49" s="335"/>
      <c r="Y49" s="335"/>
      <c r="Z49" s="340" t="s">
        <v>398</v>
      </c>
      <c r="AA49" s="363"/>
      <c r="AB49" s="363"/>
      <c r="AC49" s="335"/>
      <c r="AD49" s="710"/>
      <c r="AE49" s="710"/>
      <c r="AF49" s="710"/>
      <c r="AG49" s="710"/>
      <c r="AH49" s="710"/>
      <c r="AI49" s="710"/>
      <c r="AJ49" s="710"/>
      <c r="AK49" s="710"/>
    </row>
    <row r="50" spans="1:37" ht="15" customHeight="1" x14ac:dyDescent="0.2">
      <c r="A50" s="710"/>
      <c r="B50" s="407"/>
      <c r="C50" s="392"/>
      <c r="D50" s="408"/>
      <c r="E50" s="419" t="s">
        <v>420</v>
      </c>
      <c r="F50" s="408"/>
      <c r="G50" s="408"/>
      <c r="H50" s="408"/>
      <c r="I50" s="408"/>
      <c r="J50" s="408"/>
      <c r="K50" s="408"/>
      <c r="L50" s="408"/>
      <c r="M50" s="408"/>
      <c r="N50" s="392"/>
      <c r="O50" s="406"/>
      <c r="R50" s="705"/>
      <c r="S50" s="337" t="s">
        <v>353</v>
      </c>
      <c r="T50" s="338"/>
      <c r="U50" s="338"/>
      <c r="V50" s="338"/>
      <c r="W50" s="338"/>
      <c r="X50" s="338"/>
      <c r="Y50" s="338"/>
      <c r="Z50" s="704" t="s">
        <v>399</v>
      </c>
      <c r="AA50" s="704"/>
      <c r="AB50" s="364"/>
      <c r="AC50" s="335"/>
      <c r="AD50" s="710"/>
      <c r="AE50" s="710"/>
      <c r="AF50" s="710"/>
      <c r="AG50" s="710"/>
      <c r="AH50" s="710"/>
      <c r="AI50" s="710"/>
      <c r="AJ50" s="710"/>
      <c r="AK50" s="710"/>
    </row>
    <row r="51" spans="1:37" ht="15" customHeight="1" thickBot="1" x14ac:dyDescent="0.25">
      <c r="A51" s="710"/>
      <c r="B51" s="407"/>
      <c r="C51" s="392"/>
      <c r="D51" s="416"/>
      <c r="E51" s="408" t="s">
        <v>71</v>
      </c>
      <c r="F51" s="408"/>
      <c r="G51" s="408"/>
      <c r="H51" s="408"/>
      <c r="I51" s="408"/>
      <c r="J51" s="408"/>
      <c r="K51" s="408"/>
      <c r="L51" s="408"/>
      <c r="M51" s="408"/>
      <c r="N51" s="392"/>
      <c r="O51" s="406"/>
      <c r="R51" s="705"/>
      <c r="S51" s="335"/>
      <c r="T51" s="335"/>
      <c r="U51" s="335"/>
      <c r="V51" s="335"/>
      <c r="W51" s="335"/>
      <c r="X51" s="335"/>
      <c r="Y51" s="335"/>
      <c r="Z51" s="704" t="s">
        <v>400</v>
      </c>
      <c r="AA51" s="704"/>
      <c r="AB51" s="704"/>
      <c r="AC51" s="335"/>
      <c r="AD51" s="710"/>
      <c r="AE51" s="710"/>
      <c r="AF51" s="710"/>
      <c r="AG51" s="710"/>
      <c r="AH51" s="710"/>
      <c r="AI51" s="710"/>
      <c r="AJ51" s="710"/>
      <c r="AK51" s="710"/>
    </row>
    <row r="52" spans="1:37" ht="15" customHeight="1" x14ac:dyDescent="0.2">
      <c r="A52" s="710"/>
      <c r="B52" s="407"/>
      <c r="C52" s="392"/>
      <c r="D52" s="408"/>
      <c r="E52" s="419" t="s">
        <v>421</v>
      </c>
      <c r="F52" s="408"/>
      <c r="G52" s="408"/>
      <c r="H52" s="408"/>
      <c r="I52" s="408"/>
      <c r="J52" s="408"/>
      <c r="K52" s="408"/>
      <c r="L52" s="408"/>
      <c r="M52" s="408"/>
      <c r="N52" s="392"/>
      <c r="O52" s="406"/>
      <c r="R52" s="705"/>
      <c r="S52" s="335"/>
      <c r="T52" s="365" t="s">
        <v>89</v>
      </c>
      <c r="U52" s="366"/>
      <c r="V52" s="366"/>
      <c r="W52" s="367" t="s">
        <v>109</v>
      </c>
      <c r="X52" s="366"/>
      <c r="Y52" s="366"/>
      <c r="Z52" s="366" t="s">
        <v>57</v>
      </c>
      <c r="AA52" s="368"/>
      <c r="AB52" s="369"/>
      <c r="AC52" s="335"/>
      <c r="AD52" s="710"/>
      <c r="AE52" s="710"/>
      <c r="AF52" s="710"/>
      <c r="AG52" s="710"/>
      <c r="AH52" s="710"/>
      <c r="AI52" s="710"/>
      <c r="AJ52" s="710"/>
      <c r="AK52" s="710"/>
    </row>
    <row r="53" spans="1:37" ht="15" customHeight="1" x14ac:dyDescent="0.2">
      <c r="A53" s="710"/>
      <c r="B53" s="420"/>
      <c r="C53" s="392"/>
      <c r="D53" s="408"/>
      <c r="E53" s="419" t="s">
        <v>422</v>
      </c>
      <c r="F53" s="408"/>
      <c r="G53" s="408"/>
      <c r="H53" s="408"/>
      <c r="I53" s="408"/>
      <c r="J53" s="408"/>
      <c r="K53" s="408"/>
      <c r="L53" s="408"/>
      <c r="M53" s="408"/>
      <c r="N53" s="392"/>
      <c r="O53" s="406"/>
      <c r="R53" s="705"/>
      <c r="S53" s="335"/>
      <c r="T53" s="370" t="s">
        <v>110</v>
      </c>
      <c r="U53" s="335"/>
      <c r="V53" s="335"/>
      <c r="W53" s="335"/>
      <c r="X53" s="335"/>
      <c r="Y53" s="335"/>
      <c r="Z53" s="335"/>
      <c r="AA53" s="335"/>
      <c r="AB53" s="371"/>
      <c r="AC53" s="335"/>
      <c r="AD53" s="710"/>
      <c r="AE53" s="710"/>
      <c r="AF53" s="710"/>
      <c r="AG53" s="710"/>
      <c r="AH53" s="710"/>
      <c r="AI53" s="710"/>
      <c r="AJ53" s="710"/>
      <c r="AK53" s="710"/>
    </row>
    <row r="54" spans="1:37" ht="15" customHeight="1" x14ac:dyDescent="0.2">
      <c r="A54" s="710"/>
      <c r="B54" s="420"/>
      <c r="C54" s="419"/>
      <c r="D54" s="408"/>
      <c r="E54" s="408"/>
      <c r="F54" s="408"/>
      <c r="G54" s="408"/>
      <c r="H54" s="408"/>
      <c r="I54" s="408"/>
      <c r="J54" s="408"/>
      <c r="K54" s="408"/>
      <c r="L54" s="408"/>
      <c r="M54" s="408"/>
      <c r="N54" s="392"/>
      <c r="O54" s="406"/>
      <c r="R54" s="705"/>
      <c r="S54" s="335"/>
      <c r="T54" s="370"/>
      <c r="U54" s="336"/>
      <c r="V54" s="359" t="s">
        <v>92</v>
      </c>
      <c r="W54" s="372" t="s">
        <v>93</v>
      </c>
      <c r="X54" s="372" t="s">
        <v>94</v>
      </c>
      <c r="Y54" s="372" t="s">
        <v>95</v>
      </c>
      <c r="Z54" s="335"/>
      <c r="AA54" s="335"/>
      <c r="AB54" s="371"/>
      <c r="AC54" s="335"/>
      <c r="AD54" s="710"/>
      <c r="AE54" s="710"/>
      <c r="AF54" s="710"/>
      <c r="AG54" s="710"/>
      <c r="AH54" s="710"/>
      <c r="AI54" s="710"/>
      <c r="AJ54" s="710"/>
      <c r="AK54" s="710"/>
    </row>
    <row r="55" spans="1:37" ht="15" customHeight="1" x14ac:dyDescent="0.2">
      <c r="A55" s="710"/>
      <c r="B55" s="412"/>
      <c r="C55" s="411"/>
      <c r="D55" s="411"/>
      <c r="E55" s="411"/>
      <c r="F55" s="408"/>
      <c r="G55" s="408"/>
      <c r="H55" s="408"/>
      <c r="I55" s="408"/>
      <c r="J55" s="408"/>
      <c r="K55" s="408"/>
      <c r="L55" s="408"/>
      <c r="M55" s="408"/>
      <c r="N55" s="392"/>
      <c r="O55" s="406"/>
      <c r="R55" s="705"/>
      <c r="S55" s="335"/>
      <c r="T55" s="370"/>
      <c r="U55" s="336"/>
      <c r="V55" s="335"/>
      <c r="W55" s="335"/>
      <c r="X55" s="335"/>
      <c r="Y55" s="335"/>
      <c r="Z55" s="335"/>
      <c r="AA55" s="335"/>
      <c r="AB55" s="371"/>
      <c r="AC55" s="335"/>
      <c r="AD55" s="710"/>
      <c r="AE55" s="710"/>
      <c r="AF55" s="710"/>
      <c r="AG55" s="710"/>
      <c r="AH55" s="710"/>
      <c r="AI55" s="710"/>
      <c r="AJ55" s="710"/>
      <c r="AK55" s="710"/>
    </row>
    <row r="56" spans="1:37" ht="15" customHeight="1" x14ac:dyDescent="0.2">
      <c r="A56" s="710"/>
      <c r="B56" s="702" t="s">
        <v>77</v>
      </c>
      <c r="C56" s="410" t="s">
        <v>423</v>
      </c>
      <c r="D56" s="411"/>
      <c r="E56" s="411"/>
      <c r="F56" s="408"/>
      <c r="G56" s="408"/>
      <c r="H56" s="408"/>
      <c r="I56" s="408"/>
      <c r="J56" s="408"/>
      <c r="K56" s="408"/>
      <c r="L56" s="408"/>
      <c r="M56" s="408"/>
      <c r="N56" s="392"/>
      <c r="O56" s="406"/>
      <c r="R56" s="705"/>
      <c r="S56" s="335"/>
      <c r="T56" s="370" t="s">
        <v>111</v>
      </c>
      <c r="U56" s="336"/>
      <c r="V56" s="373">
        <f t="shared" ref="V56:V62" si="0">V32*2</f>
        <v>0</v>
      </c>
      <c r="W56" s="374">
        <v>4</v>
      </c>
      <c r="X56" s="374">
        <v>6</v>
      </c>
      <c r="Y56" s="374">
        <v>10</v>
      </c>
      <c r="Z56" s="375"/>
      <c r="AA56" s="376"/>
      <c r="AB56" s="371"/>
      <c r="AC56" s="335"/>
      <c r="AD56" s="710"/>
      <c r="AE56" s="710"/>
      <c r="AF56" s="710"/>
      <c r="AG56" s="710"/>
      <c r="AH56" s="710"/>
      <c r="AI56" s="710"/>
      <c r="AJ56" s="710"/>
      <c r="AK56" s="710"/>
    </row>
    <row r="57" spans="1:37" ht="15" customHeight="1" x14ac:dyDescent="0.2">
      <c r="A57" s="710"/>
      <c r="B57" s="702"/>
      <c r="C57" s="411"/>
      <c r="D57" s="411"/>
      <c r="E57" s="411"/>
      <c r="F57" s="408"/>
      <c r="G57" s="408"/>
      <c r="H57" s="408"/>
      <c r="I57" s="408"/>
      <c r="J57" s="408"/>
      <c r="K57" s="408"/>
      <c r="L57" s="408"/>
      <c r="M57" s="408"/>
      <c r="N57" s="392"/>
      <c r="O57" s="406"/>
      <c r="R57" s="705"/>
      <c r="S57" s="335"/>
      <c r="T57" s="370" t="s">
        <v>97</v>
      </c>
      <c r="U57" s="336"/>
      <c r="V57" s="373">
        <f t="shared" si="0"/>
        <v>0</v>
      </c>
      <c r="W57" s="374">
        <v>2</v>
      </c>
      <c r="X57" s="374">
        <v>6</v>
      </c>
      <c r="Y57" s="374">
        <v>8</v>
      </c>
      <c r="Z57" s="377"/>
      <c r="AA57" s="376"/>
      <c r="AB57" s="371"/>
      <c r="AC57" s="335"/>
      <c r="AD57" s="710"/>
      <c r="AE57" s="710"/>
      <c r="AF57" s="710"/>
      <c r="AG57" s="710"/>
      <c r="AH57" s="710"/>
      <c r="AI57" s="710"/>
      <c r="AJ57" s="710"/>
      <c r="AK57" s="710"/>
    </row>
    <row r="58" spans="1:37" ht="15" customHeight="1" x14ac:dyDescent="0.2">
      <c r="A58" s="710"/>
      <c r="B58" s="412"/>
      <c r="C58" s="411"/>
      <c r="D58" s="410" t="s">
        <v>424</v>
      </c>
      <c r="E58" s="411"/>
      <c r="F58" s="408"/>
      <c r="G58" s="408"/>
      <c r="H58" s="408"/>
      <c r="I58" s="408"/>
      <c r="J58" s="408"/>
      <c r="K58" s="408"/>
      <c r="L58" s="408"/>
      <c r="M58" s="408"/>
      <c r="N58" s="392"/>
      <c r="O58" s="406"/>
      <c r="R58" s="705"/>
      <c r="S58" s="335"/>
      <c r="T58" s="370" t="s">
        <v>112</v>
      </c>
      <c r="U58" s="335"/>
      <c r="V58" s="373">
        <f t="shared" si="0"/>
        <v>0</v>
      </c>
      <c r="W58" s="374">
        <v>6</v>
      </c>
      <c r="X58" s="374">
        <v>8</v>
      </c>
      <c r="Y58" s="374">
        <v>10</v>
      </c>
      <c r="Z58" s="377"/>
      <c r="AA58" s="376"/>
      <c r="AB58" s="371"/>
      <c r="AC58" s="335"/>
      <c r="AD58" s="710"/>
      <c r="AE58" s="710"/>
      <c r="AF58" s="710"/>
      <c r="AG58" s="710"/>
      <c r="AH58" s="710"/>
      <c r="AI58" s="710"/>
      <c r="AJ58" s="710"/>
      <c r="AK58" s="710"/>
    </row>
    <row r="59" spans="1:37" ht="15" customHeight="1" x14ac:dyDescent="0.2">
      <c r="A59" s="710"/>
      <c r="B59" s="412"/>
      <c r="C59" s="411"/>
      <c r="D59" s="411"/>
      <c r="E59" s="411" t="s">
        <v>75</v>
      </c>
      <c r="F59" s="408"/>
      <c r="G59" s="408"/>
      <c r="H59" s="408"/>
      <c r="I59" s="408"/>
      <c r="J59" s="408"/>
      <c r="K59" s="408"/>
      <c r="L59" s="408"/>
      <c r="M59" s="408"/>
      <c r="N59" s="392"/>
      <c r="O59" s="406"/>
      <c r="R59" s="705"/>
      <c r="S59" s="335"/>
      <c r="T59" s="370" t="s">
        <v>113</v>
      </c>
      <c r="U59" s="336"/>
      <c r="V59" s="373">
        <f t="shared" si="0"/>
        <v>0</v>
      </c>
      <c r="W59" s="374">
        <v>2</v>
      </c>
      <c r="X59" s="374">
        <v>4</v>
      </c>
      <c r="Y59" s="374">
        <v>6</v>
      </c>
      <c r="Z59" s="377"/>
      <c r="AA59" s="376"/>
      <c r="AB59" s="371"/>
      <c r="AC59" s="335"/>
      <c r="AD59" s="710"/>
      <c r="AE59" s="710"/>
      <c r="AF59" s="710"/>
      <c r="AG59" s="710"/>
      <c r="AH59" s="710"/>
      <c r="AI59" s="710"/>
      <c r="AJ59" s="710"/>
      <c r="AK59" s="710"/>
    </row>
    <row r="60" spans="1:37" ht="15" customHeight="1" x14ac:dyDescent="0.2">
      <c r="A60" s="710"/>
      <c r="B60" s="412"/>
      <c r="C60" s="411"/>
      <c r="D60" s="411"/>
      <c r="E60" s="411" t="s">
        <v>76</v>
      </c>
      <c r="F60" s="408"/>
      <c r="G60" s="408"/>
      <c r="H60" s="408"/>
      <c r="I60" s="408"/>
      <c r="J60" s="408"/>
      <c r="K60" s="408"/>
      <c r="L60" s="408"/>
      <c r="M60" s="408"/>
      <c r="N60" s="392"/>
      <c r="O60" s="406"/>
      <c r="R60" s="705"/>
      <c r="S60" s="335"/>
      <c r="T60" s="370" t="s">
        <v>114</v>
      </c>
      <c r="U60" s="336"/>
      <c r="V60" s="373">
        <f t="shared" si="0"/>
        <v>0</v>
      </c>
      <c r="W60" s="374">
        <v>2</v>
      </c>
      <c r="X60" s="374">
        <v>4</v>
      </c>
      <c r="Y60" s="374">
        <v>6</v>
      </c>
      <c r="Z60" s="377"/>
      <c r="AA60" s="376"/>
      <c r="AB60" s="371"/>
      <c r="AC60" s="335"/>
      <c r="AD60" s="710"/>
      <c r="AE60" s="710"/>
      <c r="AF60" s="710"/>
      <c r="AG60" s="710"/>
      <c r="AH60" s="710"/>
      <c r="AI60" s="710"/>
      <c r="AJ60" s="710"/>
      <c r="AK60" s="710"/>
    </row>
    <row r="61" spans="1:37" ht="15" customHeight="1" x14ac:dyDescent="0.2">
      <c r="A61" s="710"/>
      <c r="B61" s="412"/>
      <c r="C61" s="411"/>
      <c r="D61" s="411"/>
      <c r="E61" s="411"/>
      <c r="F61" s="408"/>
      <c r="G61" s="408"/>
      <c r="H61" s="408"/>
      <c r="I61" s="408"/>
      <c r="J61" s="408"/>
      <c r="K61" s="408"/>
      <c r="L61" s="408"/>
      <c r="M61" s="408"/>
      <c r="N61" s="392"/>
      <c r="O61" s="406"/>
      <c r="R61" s="705"/>
      <c r="S61" s="335"/>
      <c r="T61" s="370" t="s">
        <v>100</v>
      </c>
      <c r="U61" s="336"/>
      <c r="V61" s="373">
        <f t="shared" si="0"/>
        <v>0</v>
      </c>
      <c r="W61" s="374">
        <v>0</v>
      </c>
      <c r="X61" s="374">
        <v>2</v>
      </c>
      <c r="Y61" s="374">
        <v>4</v>
      </c>
      <c r="Z61" s="377"/>
      <c r="AA61" s="376"/>
      <c r="AB61" s="371"/>
      <c r="AC61" s="335"/>
      <c r="AD61" s="710"/>
      <c r="AE61" s="710"/>
      <c r="AF61" s="710"/>
      <c r="AG61" s="710"/>
      <c r="AH61" s="710"/>
      <c r="AI61" s="710"/>
      <c r="AJ61" s="710"/>
      <c r="AK61" s="710"/>
    </row>
    <row r="62" spans="1:37" ht="15" customHeight="1" x14ac:dyDescent="0.2">
      <c r="A62" s="710"/>
      <c r="B62" s="412"/>
      <c r="C62" s="411"/>
      <c r="D62" s="413" t="s">
        <v>425</v>
      </c>
      <c r="E62" s="413"/>
      <c r="F62" s="408"/>
      <c r="G62" s="408"/>
      <c r="H62" s="408"/>
      <c r="I62" s="408"/>
      <c r="J62" s="408"/>
      <c r="K62" s="408"/>
      <c r="L62" s="408"/>
      <c r="M62" s="408"/>
      <c r="N62" s="392"/>
      <c r="O62" s="406"/>
      <c r="R62" s="705"/>
      <c r="S62" s="335"/>
      <c r="T62" s="370" t="s">
        <v>115</v>
      </c>
      <c r="U62" s="335"/>
      <c r="V62" s="373">
        <f t="shared" si="0"/>
        <v>0</v>
      </c>
      <c r="W62" s="374">
        <v>2</v>
      </c>
      <c r="X62" s="374">
        <v>4</v>
      </c>
      <c r="Y62" s="374">
        <v>6</v>
      </c>
      <c r="Z62" s="377"/>
      <c r="AA62" s="378" t="s">
        <v>351</v>
      </c>
      <c r="AB62" s="371"/>
      <c r="AC62" s="335"/>
      <c r="AD62" s="710"/>
      <c r="AE62" s="710"/>
      <c r="AF62" s="710"/>
      <c r="AG62" s="710"/>
      <c r="AH62" s="710"/>
      <c r="AI62" s="710"/>
      <c r="AJ62" s="710"/>
      <c r="AK62" s="710"/>
    </row>
    <row r="63" spans="1:37" ht="15" customHeight="1" x14ac:dyDescent="0.2">
      <c r="A63" s="710"/>
      <c r="B63" s="412"/>
      <c r="C63" s="411"/>
      <c r="D63" s="411"/>
      <c r="E63" s="411"/>
      <c r="F63" s="408"/>
      <c r="G63" s="408"/>
      <c r="H63" s="408"/>
      <c r="I63" s="408"/>
      <c r="J63" s="408"/>
      <c r="K63" s="408"/>
      <c r="L63" s="408"/>
      <c r="M63" s="408"/>
      <c r="N63" s="392"/>
      <c r="O63" s="406"/>
      <c r="R63" s="705"/>
      <c r="S63" s="335"/>
      <c r="T63" s="370"/>
      <c r="U63" s="335"/>
      <c r="V63" s="335"/>
      <c r="W63" s="372"/>
      <c r="X63" s="372"/>
      <c r="Y63" s="373" t="s">
        <v>41</v>
      </c>
      <c r="Z63" s="335"/>
      <c r="AA63" s="379" t="s">
        <v>354</v>
      </c>
      <c r="AB63" s="380" t="s">
        <v>355</v>
      </c>
      <c r="AC63" s="335"/>
      <c r="AD63" s="710"/>
      <c r="AE63" s="710"/>
      <c r="AF63" s="710"/>
      <c r="AG63" s="710"/>
      <c r="AH63" s="710"/>
      <c r="AI63" s="710"/>
      <c r="AJ63" s="710"/>
      <c r="AK63" s="710"/>
    </row>
    <row r="64" spans="1:37" ht="15" customHeight="1" thickBot="1" x14ac:dyDescent="0.25">
      <c r="A64" s="710"/>
      <c r="B64" s="412"/>
      <c r="C64" s="411"/>
      <c r="D64" s="411"/>
      <c r="E64" s="411"/>
      <c r="F64" s="408"/>
      <c r="G64" s="408"/>
      <c r="H64" s="408"/>
      <c r="I64" s="408"/>
      <c r="J64" s="408"/>
      <c r="K64" s="408"/>
      <c r="L64" s="408"/>
      <c r="M64" s="408"/>
      <c r="N64" s="392"/>
      <c r="O64" s="406"/>
      <c r="R64" s="705"/>
      <c r="S64" s="335" t="s">
        <v>73</v>
      </c>
      <c r="T64" s="381" t="s">
        <v>116</v>
      </c>
      <c r="U64" s="382"/>
      <c r="V64" s="382"/>
      <c r="W64" s="382"/>
      <c r="X64" s="382"/>
      <c r="Y64" s="383"/>
      <c r="Z64" s="384">
        <f>IF('Old Structure'!G14&gt;30,30,'Old Structure'!G14)</f>
        <v>5</v>
      </c>
      <c r="AA64" s="734" t="s">
        <v>396</v>
      </c>
      <c r="AB64" s="735"/>
      <c r="AC64" s="335"/>
      <c r="AD64" s="710"/>
      <c r="AE64" s="710"/>
      <c r="AF64" s="710"/>
      <c r="AG64" s="710"/>
      <c r="AH64" s="710"/>
      <c r="AI64" s="710"/>
      <c r="AJ64" s="710"/>
      <c r="AK64" s="710"/>
    </row>
    <row r="65" spans="1:35" ht="15" customHeight="1" x14ac:dyDescent="0.2">
      <c r="A65" s="710"/>
      <c r="B65" s="420"/>
      <c r="C65" s="408"/>
      <c r="D65" s="408"/>
      <c r="E65" s="408"/>
      <c r="F65" s="408"/>
      <c r="G65" s="408"/>
      <c r="H65" s="408"/>
      <c r="I65" s="408"/>
      <c r="J65" s="408"/>
      <c r="K65" s="408"/>
      <c r="L65" s="408"/>
      <c r="M65" s="408"/>
      <c r="N65" s="392"/>
      <c r="O65" s="406"/>
      <c r="R65" s="385"/>
      <c r="S65" s="385"/>
      <c r="T65" s="385"/>
      <c r="U65" s="385"/>
      <c r="V65" s="385"/>
      <c r="W65" s="385"/>
      <c r="X65" s="385"/>
      <c r="Y65" s="385"/>
      <c r="Z65" s="385"/>
      <c r="AA65" s="385"/>
      <c r="AB65" s="385"/>
      <c r="AC65" s="385"/>
    </row>
    <row r="66" spans="1:35" ht="15" customHeight="1" x14ac:dyDescent="0.2">
      <c r="A66" s="710"/>
      <c r="B66" s="702" t="s">
        <v>78</v>
      </c>
      <c r="C66" s="408" t="s">
        <v>79</v>
      </c>
      <c r="D66" s="408"/>
      <c r="E66" s="408"/>
      <c r="F66" s="408"/>
      <c r="G66" s="408"/>
      <c r="H66" s="408"/>
      <c r="I66" s="408"/>
      <c r="J66" s="408"/>
      <c r="K66" s="408"/>
      <c r="L66" s="408"/>
      <c r="M66" s="408"/>
      <c r="N66" s="392"/>
      <c r="O66" s="406"/>
    </row>
    <row r="67" spans="1:35" ht="15" customHeight="1" x14ac:dyDescent="0.2">
      <c r="A67" s="710"/>
      <c r="B67" s="702"/>
      <c r="C67" s="408"/>
      <c r="D67" s="408"/>
      <c r="E67" s="408"/>
      <c r="F67" s="408"/>
      <c r="G67" s="408"/>
      <c r="H67" s="408"/>
      <c r="I67" s="408"/>
      <c r="J67" s="408"/>
      <c r="K67" s="408"/>
      <c r="L67" s="408"/>
      <c r="M67" s="408"/>
      <c r="N67" s="392"/>
      <c r="O67" s="406"/>
    </row>
    <row r="68" spans="1:35" ht="15" customHeight="1" thickBot="1" x14ac:dyDescent="0.25">
      <c r="A68" s="710"/>
      <c r="B68" s="420"/>
      <c r="C68" s="408"/>
      <c r="D68" s="408" t="s">
        <v>80</v>
      </c>
      <c r="E68" s="408"/>
      <c r="F68" s="408"/>
      <c r="G68" s="408"/>
      <c r="H68" s="408"/>
      <c r="I68" s="408"/>
      <c r="J68" s="408"/>
      <c r="K68" s="408"/>
      <c r="L68" s="408"/>
      <c r="M68" s="408"/>
      <c r="N68" s="392"/>
      <c r="O68" s="406"/>
    </row>
    <row r="69" spans="1:35" ht="15" customHeight="1" x14ac:dyDescent="0.2">
      <c r="A69" s="710"/>
      <c r="B69" s="420"/>
      <c r="C69" s="408"/>
      <c r="D69" s="411" t="s">
        <v>386</v>
      </c>
      <c r="E69" s="408"/>
      <c r="F69" s="416"/>
      <c r="G69" s="408"/>
      <c r="H69" s="408"/>
      <c r="I69" s="408"/>
      <c r="J69" s="408"/>
      <c r="K69" s="408"/>
      <c r="L69" s="408"/>
      <c r="M69" s="408"/>
      <c r="N69" s="392"/>
      <c r="O69" s="406"/>
      <c r="Q69" s="299"/>
      <c r="R69" s="386"/>
      <c r="S69" s="387"/>
      <c r="T69" s="387"/>
      <c r="U69" s="387"/>
      <c r="V69" s="387"/>
      <c r="W69" s="387"/>
      <c r="X69" s="387"/>
      <c r="Y69" s="387"/>
      <c r="Z69" s="387"/>
      <c r="AA69" s="387"/>
      <c r="AB69" s="387"/>
      <c r="AC69" s="388"/>
    </row>
    <row r="70" spans="1:35" ht="15" customHeight="1" x14ac:dyDescent="0.2">
      <c r="A70" s="710"/>
      <c r="B70" s="420"/>
      <c r="C70" s="408"/>
      <c r="D70" s="408"/>
      <c r="E70" s="408"/>
      <c r="F70" s="408"/>
      <c r="G70" s="408"/>
      <c r="H70" s="408"/>
      <c r="I70" s="408"/>
      <c r="J70" s="408"/>
      <c r="K70" s="408"/>
      <c r="L70" s="408"/>
      <c r="M70" s="408"/>
      <c r="N70" s="392"/>
      <c r="O70" s="406"/>
      <c r="Q70" s="299"/>
      <c r="R70" s="389"/>
      <c r="S70" s="390" t="s">
        <v>356</v>
      </c>
      <c r="T70" s="391"/>
      <c r="U70" s="391"/>
      <c r="V70" s="391"/>
      <c r="W70" s="391"/>
      <c r="X70" s="391"/>
      <c r="Y70" s="391"/>
      <c r="Z70" s="342"/>
      <c r="AA70" s="342"/>
      <c r="AB70" s="392"/>
      <c r="AC70" s="393"/>
    </row>
    <row r="71" spans="1:35" ht="15" customHeight="1" x14ac:dyDescent="0.2">
      <c r="A71" s="710"/>
      <c r="B71" s="702" t="s">
        <v>81</v>
      </c>
      <c r="C71" s="408" t="s">
        <v>426</v>
      </c>
      <c r="D71" s="408"/>
      <c r="E71" s="408"/>
      <c r="F71" s="408"/>
      <c r="G71" s="408"/>
      <c r="H71" s="408"/>
      <c r="I71" s="408"/>
      <c r="J71" s="408"/>
      <c r="K71" s="408"/>
      <c r="L71" s="408"/>
      <c r="M71" s="408"/>
      <c r="N71" s="392"/>
      <c r="O71" s="406"/>
      <c r="Q71" s="299"/>
      <c r="R71" s="389"/>
      <c r="S71" s="342" t="s">
        <v>117</v>
      </c>
      <c r="T71" s="342"/>
      <c r="U71" s="342"/>
      <c r="V71" s="342"/>
      <c r="W71" s="342"/>
      <c r="X71" s="342"/>
      <c r="Y71" s="342"/>
      <c r="Z71" s="342"/>
      <c r="AA71" s="342"/>
      <c r="AB71" s="392"/>
      <c r="AC71" s="393"/>
    </row>
    <row r="72" spans="1:35" ht="15" customHeight="1" x14ac:dyDescent="0.2">
      <c r="A72" s="710"/>
      <c r="B72" s="702"/>
      <c r="C72" s="408" t="s">
        <v>83</v>
      </c>
      <c r="D72" s="408"/>
      <c r="E72" s="408"/>
      <c r="F72" s="408"/>
      <c r="G72" s="408"/>
      <c r="H72" s="408"/>
      <c r="I72" s="408"/>
      <c r="J72" s="408"/>
      <c r="K72" s="408"/>
      <c r="L72" s="408"/>
      <c r="M72" s="408"/>
      <c r="N72" s="392"/>
      <c r="O72" s="406"/>
      <c r="Q72" s="299"/>
      <c r="R72" s="389"/>
      <c r="S72" s="342" t="s">
        <v>118</v>
      </c>
      <c r="T72" s="342"/>
      <c r="U72" s="342"/>
      <c r="V72" s="342"/>
      <c r="W72" s="342"/>
      <c r="X72" s="342"/>
      <c r="Y72" s="342"/>
      <c r="Z72" s="342"/>
      <c r="AA72" s="342"/>
      <c r="AB72" s="392"/>
      <c r="AC72" s="393"/>
    </row>
    <row r="73" spans="1:35" ht="15" customHeight="1" x14ac:dyDescent="0.2">
      <c r="B73" s="420"/>
      <c r="C73" s="408"/>
      <c r="D73" s="408"/>
      <c r="E73" s="408"/>
      <c r="F73" s="408"/>
      <c r="G73" s="408"/>
      <c r="H73" s="408"/>
      <c r="I73" s="408"/>
      <c r="J73" s="408"/>
      <c r="K73" s="408"/>
      <c r="L73" s="408"/>
      <c r="M73" s="408"/>
      <c r="N73" s="392"/>
      <c r="O73" s="406"/>
      <c r="Q73" s="299"/>
      <c r="R73" s="389"/>
      <c r="S73" s="345"/>
      <c r="T73" s="342"/>
      <c r="U73" s="342"/>
      <c r="V73" s="342"/>
      <c r="W73" s="342"/>
      <c r="X73" s="342"/>
      <c r="Y73" s="342"/>
      <c r="Z73" s="342"/>
      <c r="AA73" s="342"/>
      <c r="AB73" s="392"/>
      <c r="AC73" s="393"/>
    </row>
    <row r="74" spans="1:35" ht="15" customHeight="1" x14ac:dyDescent="0.2">
      <c r="B74" s="420"/>
      <c r="C74" s="408"/>
      <c r="D74" s="408"/>
      <c r="E74" s="408"/>
      <c r="F74" s="408"/>
      <c r="G74" s="408"/>
      <c r="H74" s="408"/>
      <c r="I74" s="408"/>
      <c r="J74" s="408"/>
      <c r="K74" s="408"/>
      <c r="L74" s="408"/>
      <c r="M74" s="408"/>
      <c r="N74" s="392"/>
      <c r="O74" s="406"/>
      <c r="Q74" s="299"/>
      <c r="R74" s="389"/>
      <c r="S74" s="344" t="s">
        <v>119</v>
      </c>
      <c r="T74" s="345" t="s">
        <v>120</v>
      </c>
      <c r="U74" s="345"/>
      <c r="V74" s="342"/>
      <c r="W74" s="342"/>
      <c r="X74" s="342"/>
      <c r="Y74" s="342"/>
      <c r="Z74" s="342"/>
      <c r="AA74" s="342"/>
      <c r="AB74" s="392"/>
      <c r="AC74" s="393"/>
    </row>
    <row r="75" spans="1:35" ht="15" customHeight="1" x14ac:dyDescent="0.2">
      <c r="B75" s="702" t="s">
        <v>82</v>
      </c>
      <c r="C75" s="408" t="s">
        <v>427</v>
      </c>
      <c r="D75" s="408"/>
      <c r="E75" s="408"/>
      <c r="F75" s="408"/>
      <c r="G75" s="408"/>
      <c r="H75" s="408"/>
      <c r="I75" s="408"/>
      <c r="J75" s="408"/>
      <c r="K75" s="408"/>
      <c r="L75" s="408"/>
      <c r="M75" s="408"/>
      <c r="N75" s="392"/>
      <c r="O75" s="406"/>
      <c r="Q75" s="299"/>
      <c r="R75" s="389"/>
      <c r="S75" s="342"/>
      <c r="T75" s="345"/>
      <c r="U75" s="342"/>
      <c r="V75" s="342"/>
      <c r="W75" s="342"/>
      <c r="X75" s="342"/>
      <c r="Y75" s="342"/>
      <c r="Z75" s="342"/>
      <c r="AA75" s="342"/>
      <c r="AB75" s="392"/>
      <c r="AC75" s="393"/>
    </row>
    <row r="76" spans="1:35" ht="15" customHeight="1" x14ac:dyDescent="0.2">
      <c r="B76" s="702"/>
      <c r="C76" s="408" t="s">
        <v>428</v>
      </c>
      <c r="D76" s="408"/>
      <c r="E76" s="408"/>
      <c r="F76" s="408"/>
      <c r="G76" s="408"/>
      <c r="H76" s="408"/>
      <c r="I76" s="408"/>
      <c r="J76" s="408"/>
      <c r="K76" s="408"/>
      <c r="L76" s="408"/>
      <c r="M76" s="408"/>
      <c r="N76" s="392"/>
      <c r="O76" s="406"/>
      <c r="Q76" s="299"/>
      <c r="R76" s="389"/>
      <c r="S76" s="342"/>
      <c r="T76" s="345"/>
      <c r="U76" s="342"/>
      <c r="V76" s="342"/>
      <c r="W76" s="342"/>
      <c r="X76" s="342"/>
      <c r="Y76" s="342"/>
      <c r="Z76" s="342"/>
      <c r="AA76" s="342"/>
      <c r="AB76" s="392"/>
      <c r="AC76" s="393"/>
    </row>
    <row r="77" spans="1:35" ht="15" customHeight="1" x14ac:dyDescent="0.2">
      <c r="B77" s="407"/>
      <c r="C77" s="408" t="s">
        <v>429</v>
      </c>
      <c r="D77" s="408"/>
      <c r="E77" s="408"/>
      <c r="F77" s="408"/>
      <c r="G77" s="408"/>
      <c r="H77" s="408"/>
      <c r="I77" s="408"/>
      <c r="J77" s="408"/>
      <c r="K77" s="408"/>
      <c r="L77" s="408"/>
      <c r="M77" s="408"/>
      <c r="N77" s="392"/>
      <c r="O77" s="406"/>
      <c r="Q77" s="299"/>
      <c r="R77" s="389"/>
      <c r="S77" s="394">
        <f>IF(OR('Old Structure'!Z40&gt;0,'Old Structure'!AA41&gt;0,'Old Structure'!Z64&gt;0),0,'Traffic &amp; Accidents'!F22)</f>
        <v>0</v>
      </c>
      <c r="T77" s="395" t="s">
        <v>377</v>
      </c>
      <c r="U77" s="345"/>
      <c r="V77" s="396"/>
      <c r="W77" s="342"/>
      <c r="X77" s="342"/>
      <c r="Y77" s="342"/>
      <c r="Z77" s="385"/>
      <c r="AA77" s="397">
        <f>IF((S77/250)*30&gt;30,30,(S77/250)*30)</f>
        <v>0</v>
      </c>
      <c r="AB77" s="392"/>
      <c r="AC77" s="393"/>
    </row>
    <row r="78" spans="1:35" ht="15" customHeight="1" thickBot="1" x14ac:dyDescent="0.25">
      <c r="B78" s="407"/>
      <c r="C78" s="392"/>
      <c r="D78" s="392"/>
      <c r="E78" s="392"/>
      <c r="F78" s="392"/>
      <c r="G78" s="392"/>
      <c r="H78" s="392"/>
      <c r="I78" s="392"/>
      <c r="J78" s="392"/>
      <c r="K78" s="392"/>
      <c r="L78" s="392"/>
      <c r="M78" s="392"/>
      <c r="N78" s="392"/>
      <c r="O78" s="406"/>
      <c r="Q78" s="299"/>
      <c r="R78" s="398"/>
      <c r="S78" s="399"/>
      <c r="T78" s="399"/>
      <c r="U78" s="399"/>
      <c r="V78" s="399"/>
      <c r="W78" s="399"/>
      <c r="X78" s="399"/>
      <c r="Y78" s="399"/>
      <c r="Z78" s="399"/>
      <c r="AA78" s="399"/>
      <c r="AB78" s="399"/>
      <c r="AC78" s="400"/>
    </row>
    <row r="79" spans="1:35" ht="15" customHeight="1" x14ac:dyDescent="0.2">
      <c r="B79" s="407"/>
      <c r="C79" s="392"/>
      <c r="D79" s="392"/>
      <c r="E79" s="392"/>
      <c r="F79" s="392"/>
      <c r="G79" s="392"/>
      <c r="H79" s="392"/>
      <c r="I79" s="392"/>
      <c r="J79" s="392"/>
      <c r="K79" s="392"/>
      <c r="L79" s="392"/>
      <c r="M79" s="392"/>
      <c r="N79" s="392"/>
      <c r="O79" s="406"/>
      <c r="R79" s="709"/>
      <c r="S79" s="709"/>
      <c r="T79" s="709"/>
      <c r="U79" s="709"/>
      <c r="V79" s="709"/>
      <c r="W79" s="709"/>
      <c r="X79" s="709"/>
      <c r="Y79" s="709"/>
      <c r="Z79" s="709"/>
      <c r="AA79" s="709"/>
      <c r="AB79" s="709"/>
      <c r="AC79" s="709"/>
      <c r="AD79" s="709"/>
      <c r="AE79" s="709"/>
      <c r="AF79" s="709"/>
      <c r="AG79" s="709"/>
      <c r="AH79" s="709"/>
      <c r="AI79" s="709"/>
    </row>
    <row r="80" spans="1:35" ht="15" customHeight="1" x14ac:dyDescent="0.2">
      <c r="B80" s="703" t="s">
        <v>430</v>
      </c>
      <c r="C80" s="392"/>
      <c r="D80" s="410" t="s">
        <v>441</v>
      </c>
      <c r="E80" s="392"/>
      <c r="F80" s="392"/>
      <c r="G80" s="392"/>
      <c r="H80" s="392"/>
      <c r="I80" s="392"/>
      <c r="J80" s="392"/>
      <c r="K80" s="392"/>
      <c r="L80" s="392"/>
      <c r="M80" s="392"/>
      <c r="N80" s="392"/>
      <c r="O80" s="406"/>
      <c r="R80" s="709"/>
      <c r="S80" s="709"/>
      <c r="T80" s="709"/>
      <c r="U80" s="709"/>
      <c r="V80" s="709"/>
      <c r="W80" s="709"/>
      <c r="X80" s="709"/>
      <c r="Y80" s="709"/>
      <c r="Z80" s="709"/>
      <c r="AA80" s="709"/>
      <c r="AB80" s="709"/>
      <c r="AC80" s="709"/>
      <c r="AD80" s="709"/>
      <c r="AE80" s="709"/>
      <c r="AF80" s="709"/>
      <c r="AG80" s="709"/>
      <c r="AH80" s="709"/>
      <c r="AI80" s="709"/>
    </row>
    <row r="81" spans="2:35" ht="15" customHeight="1" x14ac:dyDescent="0.2">
      <c r="B81" s="703"/>
      <c r="C81" s="392"/>
      <c r="D81" s="421"/>
      <c r="E81" s="392"/>
      <c r="F81" s="392"/>
      <c r="G81" s="392"/>
      <c r="H81" s="392"/>
      <c r="I81" s="392"/>
      <c r="J81" s="392"/>
      <c r="K81" s="392"/>
      <c r="L81" s="392"/>
      <c r="M81" s="392"/>
      <c r="N81" s="392"/>
      <c r="O81" s="406"/>
      <c r="R81" s="709"/>
      <c r="S81" s="709"/>
      <c r="T81" s="709"/>
      <c r="U81" s="709"/>
      <c r="V81" s="709"/>
      <c r="W81" s="709"/>
      <c r="X81" s="709"/>
      <c r="Y81" s="709"/>
      <c r="Z81" s="709"/>
      <c r="AA81" s="709"/>
      <c r="AB81" s="709"/>
      <c r="AC81" s="709"/>
      <c r="AD81" s="709"/>
      <c r="AE81" s="709"/>
      <c r="AF81" s="709"/>
      <c r="AG81" s="709"/>
      <c r="AH81" s="709"/>
      <c r="AI81" s="709"/>
    </row>
    <row r="82" spans="2:35" ht="15" customHeight="1" x14ac:dyDescent="0.2">
      <c r="B82" s="407"/>
      <c r="C82" s="392"/>
      <c r="D82" s="392"/>
      <c r="E82" s="392"/>
      <c r="F82" s="392"/>
      <c r="G82" s="392"/>
      <c r="H82" s="392"/>
      <c r="I82" s="392"/>
      <c r="J82" s="392"/>
      <c r="K82" s="392"/>
      <c r="L82" s="392"/>
      <c r="M82" s="392"/>
      <c r="N82" s="392"/>
      <c r="O82" s="406"/>
      <c r="R82" s="709"/>
      <c r="S82" s="709"/>
      <c r="T82" s="709"/>
      <c r="U82" s="709"/>
      <c r="V82" s="709"/>
      <c r="W82" s="709"/>
      <c r="X82" s="709"/>
      <c r="Y82" s="709"/>
      <c r="Z82" s="709"/>
      <c r="AA82" s="709"/>
      <c r="AB82" s="709"/>
      <c r="AC82" s="709"/>
      <c r="AD82" s="709"/>
      <c r="AE82" s="709"/>
      <c r="AF82" s="709"/>
      <c r="AG82" s="709"/>
      <c r="AH82" s="709"/>
      <c r="AI82" s="709"/>
    </row>
    <row r="83" spans="2:35" ht="15" customHeight="1" x14ac:dyDescent="0.2">
      <c r="B83" s="407"/>
      <c r="C83" s="422" t="s">
        <v>431</v>
      </c>
      <c r="D83" s="423">
        <f>IF(((1-(G7/G6))*25)&gt;0,(1-(G7/G6))*25,0)</f>
        <v>5.978260869565216</v>
      </c>
      <c r="E83" s="424" t="s">
        <v>432</v>
      </c>
      <c r="F83" s="392"/>
      <c r="G83" s="392"/>
      <c r="H83" s="392"/>
      <c r="I83" s="392"/>
      <c r="J83" s="392"/>
      <c r="K83" s="392"/>
      <c r="L83" s="392"/>
      <c r="M83" s="392"/>
      <c r="N83" s="392"/>
      <c r="O83" s="406"/>
      <c r="R83" s="709"/>
      <c r="S83" s="709"/>
      <c r="T83" s="709"/>
      <c r="U83" s="709"/>
      <c r="V83" s="709"/>
      <c r="W83" s="709"/>
      <c r="X83" s="709"/>
      <c r="Y83" s="709"/>
      <c r="Z83" s="709"/>
      <c r="AA83" s="709"/>
      <c r="AB83" s="709"/>
      <c r="AC83" s="709"/>
      <c r="AD83" s="709"/>
      <c r="AE83" s="709"/>
      <c r="AF83" s="709"/>
      <c r="AG83" s="709"/>
      <c r="AH83" s="709"/>
      <c r="AI83" s="709"/>
    </row>
    <row r="84" spans="2:35" ht="15" customHeight="1" x14ac:dyDescent="0.2">
      <c r="B84" s="407"/>
      <c r="C84" s="408"/>
      <c r="D84" s="425" t="s">
        <v>433</v>
      </c>
      <c r="E84" s="408"/>
      <c r="F84" s="408"/>
      <c r="G84" s="392"/>
      <c r="H84" s="392"/>
      <c r="I84" s="392"/>
      <c r="J84" s="392"/>
      <c r="K84" s="392"/>
      <c r="L84" s="392"/>
      <c r="M84" s="392"/>
      <c r="N84" s="392"/>
      <c r="O84" s="406"/>
      <c r="R84" s="709"/>
      <c r="S84" s="709"/>
      <c r="T84" s="709"/>
      <c r="U84" s="709"/>
      <c r="V84" s="709"/>
      <c r="W84" s="709"/>
      <c r="X84" s="709"/>
      <c r="Y84" s="709"/>
      <c r="Z84" s="709"/>
      <c r="AA84" s="709"/>
      <c r="AB84" s="709"/>
      <c r="AC84" s="709"/>
      <c r="AD84" s="709"/>
      <c r="AE84" s="709"/>
      <c r="AF84" s="709"/>
      <c r="AG84" s="709"/>
      <c r="AH84" s="709"/>
      <c r="AI84" s="709"/>
    </row>
    <row r="85" spans="2:35" ht="15" customHeight="1" x14ac:dyDescent="0.2">
      <c r="B85" s="407"/>
      <c r="C85" s="392"/>
      <c r="D85" s="392"/>
      <c r="E85" s="392"/>
      <c r="F85" s="392"/>
      <c r="G85" s="392"/>
      <c r="H85" s="392"/>
      <c r="I85" s="392"/>
      <c r="J85" s="392"/>
      <c r="K85" s="392"/>
      <c r="L85" s="392"/>
      <c r="M85" s="392"/>
      <c r="N85" s="392"/>
      <c r="O85" s="406"/>
      <c r="R85" s="709"/>
      <c r="S85" s="709"/>
      <c r="T85" s="709"/>
      <c r="U85" s="709"/>
      <c r="V85" s="709"/>
      <c r="W85" s="709"/>
      <c r="X85" s="709"/>
      <c r="Y85" s="709"/>
      <c r="Z85" s="709"/>
      <c r="AA85" s="709"/>
      <c r="AB85" s="709"/>
      <c r="AC85" s="709"/>
      <c r="AD85" s="709"/>
      <c r="AE85" s="709"/>
      <c r="AF85" s="709"/>
      <c r="AG85" s="709"/>
      <c r="AH85" s="709"/>
      <c r="AI85" s="709"/>
    </row>
    <row r="86" spans="2:35" ht="15" customHeight="1" x14ac:dyDescent="0.2">
      <c r="B86" s="407"/>
      <c r="C86" s="392"/>
      <c r="D86" s="392"/>
      <c r="E86" s="392"/>
      <c r="F86" s="392"/>
      <c r="G86" s="392"/>
      <c r="H86" s="392"/>
      <c r="I86" s="392"/>
      <c r="J86" s="392"/>
      <c r="K86" s="392"/>
      <c r="L86" s="392"/>
      <c r="M86" s="392"/>
      <c r="N86" s="392"/>
      <c r="O86" s="406"/>
      <c r="R86" s="709"/>
      <c r="S86" s="709"/>
      <c r="T86" s="709"/>
      <c r="U86" s="709"/>
      <c r="V86" s="709"/>
      <c r="W86" s="709"/>
      <c r="X86" s="709"/>
      <c r="Y86" s="709"/>
      <c r="Z86" s="709"/>
      <c r="AA86" s="709"/>
      <c r="AB86" s="709"/>
      <c r="AC86" s="709"/>
      <c r="AD86" s="709"/>
      <c r="AE86" s="709"/>
      <c r="AF86" s="709"/>
      <c r="AG86" s="709"/>
      <c r="AH86" s="709"/>
      <c r="AI86" s="709"/>
    </row>
    <row r="87" spans="2:35" ht="15" customHeight="1" x14ac:dyDescent="0.2">
      <c r="B87" s="407"/>
      <c r="C87" s="392"/>
      <c r="D87" s="392"/>
      <c r="E87" s="392"/>
      <c r="F87" s="392"/>
      <c r="G87" s="392"/>
      <c r="H87" s="392"/>
      <c r="I87" s="392"/>
      <c r="J87" s="392"/>
      <c r="K87" s="392"/>
      <c r="L87" s="392"/>
      <c r="M87" s="392"/>
      <c r="N87" s="392"/>
      <c r="O87" s="406"/>
      <c r="R87" s="709"/>
      <c r="S87" s="709"/>
      <c r="T87" s="709"/>
      <c r="U87" s="709"/>
      <c r="V87" s="709"/>
      <c r="W87" s="709"/>
      <c r="X87" s="709"/>
      <c r="Y87" s="709"/>
      <c r="Z87" s="709"/>
      <c r="AA87" s="709"/>
      <c r="AB87" s="709"/>
      <c r="AC87" s="709"/>
      <c r="AD87" s="709"/>
      <c r="AE87" s="709"/>
      <c r="AF87" s="709"/>
      <c r="AG87" s="709"/>
      <c r="AH87" s="709"/>
      <c r="AI87" s="709"/>
    </row>
    <row r="88" spans="2:35" ht="15" customHeight="1" x14ac:dyDescent="0.2">
      <c r="B88" s="407"/>
      <c r="C88" s="392"/>
      <c r="D88" s="426">
        <f>IF(G6=0,0,IF(((1-(G7/G6))*15)&gt;0,(1-(G7/G6))*15,0))</f>
        <v>3.5869565217391299</v>
      </c>
      <c r="E88" s="424" t="s">
        <v>434</v>
      </c>
      <c r="F88" s="427"/>
      <c r="G88" s="428"/>
      <c r="H88" s="429"/>
      <c r="I88" s="392"/>
      <c r="J88" s="430"/>
      <c r="K88" s="430"/>
      <c r="L88" s="392"/>
      <c r="M88" s="392"/>
      <c r="N88" s="392"/>
      <c r="O88" s="406"/>
      <c r="R88" s="709"/>
      <c r="S88" s="709"/>
      <c r="T88" s="709"/>
      <c r="U88" s="709"/>
      <c r="V88" s="709"/>
      <c r="W88" s="709"/>
      <c r="X88" s="709"/>
      <c r="Y88" s="709"/>
      <c r="Z88" s="709"/>
      <c r="AA88" s="709"/>
      <c r="AB88" s="709"/>
      <c r="AC88" s="709"/>
      <c r="AD88" s="709"/>
      <c r="AE88" s="709"/>
      <c r="AF88" s="709"/>
      <c r="AG88" s="709"/>
      <c r="AH88" s="709"/>
      <c r="AI88" s="709"/>
    </row>
    <row r="89" spans="2:35" ht="15" customHeight="1" x14ac:dyDescent="0.2">
      <c r="B89" s="407"/>
      <c r="C89" s="392"/>
      <c r="D89" s="431" t="s">
        <v>435</v>
      </c>
      <c r="E89" s="392"/>
      <c r="F89" s="392"/>
      <c r="G89" s="392"/>
      <c r="H89" s="392"/>
      <c r="I89" s="392"/>
      <c r="J89" s="392"/>
      <c r="K89" s="392"/>
      <c r="L89" s="392"/>
      <c r="M89" s="392"/>
      <c r="N89" s="392"/>
      <c r="O89" s="406"/>
      <c r="R89" s="709"/>
      <c r="S89" s="709"/>
      <c r="T89" s="709"/>
      <c r="U89" s="709"/>
      <c r="V89" s="709"/>
      <c r="W89" s="709"/>
      <c r="X89" s="709"/>
      <c r="Y89" s="709"/>
      <c r="Z89" s="709"/>
      <c r="AA89" s="709"/>
      <c r="AB89" s="709"/>
      <c r="AC89" s="709"/>
      <c r="AD89" s="709"/>
      <c r="AE89" s="709"/>
      <c r="AF89" s="709"/>
      <c r="AG89" s="709"/>
      <c r="AH89" s="709"/>
      <c r="AI89" s="709"/>
    </row>
    <row r="90" spans="2:35" ht="15" customHeight="1" thickBot="1" x14ac:dyDescent="0.25">
      <c r="B90" s="432"/>
      <c r="C90" s="433"/>
      <c r="D90" s="433"/>
      <c r="E90" s="433"/>
      <c r="F90" s="433"/>
      <c r="G90" s="433"/>
      <c r="H90" s="433"/>
      <c r="I90" s="433"/>
      <c r="J90" s="433"/>
      <c r="K90" s="433"/>
      <c r="L90" s="433"/>
      <c r="M90" s="433"/>
      <c r="N90" s="433"/>
      <c r="O90" s="434"/>
      <c r="R90" s="709"/>
      <c r="S90" s="709"/>
      <c r="T90" s="709"/>
      <c r="U90" s="709"/>
      <c r="V90" s="709"/>
      <c r="W90" s="709"/>
      <c r="X90" s="709"/>
      <c r="Y90" s="709"/>
      <c r="Z90" s="709"/>
      <c r="AA90" s="709"/>
      <c r="AB90" s="709"/>
      <c r="AC90" s="709"/>
      <c r="AD90" s="709"/>
      <c r="AE90" s="709"/>
      <c r="AF90" s="709"/>
      <c r="AG90" s="709"/>
      <c r="AH90" s="709"/>
      <c r="AI90" s="709"/>
    </row>
    <row r="91" spans="2:35" ht="15" customHeight="1" x14ac:dyDescent="0.2">
      <c r="R91" s="709"/>
      <c r="S91" s="709"/>
      <c r="T91" s="709"/>
      <c r="U91" s="709"/>
      <c r="V91" s="709"/>
      <c r="W91" s="709"/>
      <c r="X91" s="709"/>
      <c r="Y91" s="709"/>
      <c r="Z91" s="709"/>
      <c r="AA91" s="709"/>
      <c r="AB91" s="709"/>
      <c r="AC91" s="709"/>
      <c r="AD91" s="709"/>
      <c r="AE91" s="709"/>
      <c r="AF91" s="709"/>
      <c r="AG91" s="709"/>
      <c r="AH91" s="709"/>
      <c r="AI91" s="709"/>
    </row>
    <row r="92" spans="2:35" ht="15" customHeight="1" x14ac:dyDescent="0.2">
      <c r="R92" s="709"/>
      <c r="S92" s="709"/>
      <c r="T92" s="709"/>
      <c r="U92" s="709"/>
      <c r="V92" s="709"/>
      <c r="W92" s="709"/>
      <c r="X92" s="709"/>
      <c r="Y92" s="709"/>
      <c r="Z92" s="709"/>
      <c r="AA92" s="709"/>
      <c r="AB92" s="709"/>
      <c r="AC92" s="709"/>
      <c r="AD92" s="709"/>
      <c r="AE92" s="709"/>
      <c r="AF92" s="709"/>
      <c r="AG92" s="709"/>
      <c r="AH92" s="709"/>
      <c r="AI92" s="709"/>
    </row>
    <row r="93" spans="2:35" ht="15" customHeight="1" x14ac:dyDescent="0.2">
      <c r="R93" s="709"/>
      <c r="S93" s="709"/>
      <c r="T93" s="709"/>
      <c r="U93" s="709"/>
      <c r="V93" s="709"/>
      <c r="W93" s="709"/>
      <c r="X93" s="709"/>
      <c r="Y93" s="709"/>
      <c r="Z93" s="709"/>
      <c r="AA93" s="709"/>
      <c r="AB93" s="709"/>
      <c r="AC93" s="709"/>
      <c r="AD93" s="709"/>
      <c r="AE93" s="709"/>
      <c r="AF93" s="709"/>
      <c r="AG93" s="709"/>
      <c r="AH93" s="709"/>
      <c r="AI93" s="709"/>
    </row>
    <row r="94" spans="2:35" ht="15" customHeight="1" x14ac:dyDescent="0.2">
      <c r="R94" s="709"/>
      <c r="S94" s="709"/>
      <c r="T94" s="709"/>
      <c r="U94" s="709"/>
      <c r="V94" s="709"/>
      <c r="W94" s="709"/>
      <c r="X94" s="709"/>
      <c r="Y94" s="709"/>
      <c r="Z94" s="709"/>
      <c r="AA94" s="709"/>
      <c r="AB94" s="709"/>
      <c r="AC94" s="709"/>
      <c r="AD94" s="709"/>
      <c r="AE94" s="709"/>
      <c r="AF94" s="709"/>
      <c r="AG94" s="709"/>
      <c r="AH94" s="709"/>
      <c r="AI94" s="709"/>
    </row>
  </sheetData>
  <sheetProtection selectLockedCells="1"/>
  <mergeCells count="27">
    <mergeCell ref="R79:AI94"/>
    <mergeCell ref="A21:A72"/>
    <mergeCell ref="AD21:AK64"/>
    <mergeCell ref="M6:M7"/>
    <mergeCell ref="C19:N20"/>
    <mergeCell ref="C23:G28"/>
    <mergeCell ref="L23:N29"/>
    <mergeCell ref="I33:O35"/>
    <mergeCell ref="D6:E7"/>
    <mergeCell ref="K13:L13"/>
    <mergeCell ref="J14:K14"/>
    <mergeCell ref="D12:E12"/>
    <mergeCell ref="I23:I24"/>
    <mergeCell ref="J23:K28"/>
    <mergeCell ref="R22:R44"/>
    <mergeCell ref="AA64:AB64"/>
    <mergeCell ref="Z50:AA50"/>
    <mergeCell ref="Z51:AB51"/>
    <mergeCell ref="R48:R64"/>
    <mergeCell ref="AB38:AC38"/>
    <mergeCell ref="AB37:AC37"/>
    <mergeCell ref="B33:B34"/>
    <mergeCell ref="B80:B81"/>
    <mergeCell ref="B75:B76"/>
    <mergeCell ref="B71:B72"/>
    <mergeCell ref="B66:B67"/>
    <mergeCell ref="B56:B57"/>
  </mergeCells>
  <conditionalFormatting sqref="D83">
    <cfRule type="containsErrors" dxfId="10" priority="3" stopIfTrue="1">
      <formula>ISERROR(D83)</formula>
    </cfRule>
  </conditionalFormatting>
  <conditionalFormatting sqref="D88">
    <cfRule type="containsErrors" dxfId="9" priority="2" stopIfTrue="1">
      <formula>ISERROR(D88)</formula>
    </cfRule>
  </conditionalFormatting>
  <conditionalFormatting sqref="Z40 AA41 Z64">
    <cfRule type="cellIs" dxfId="8" priority="1" stopIfTrue="1" operator="equal">
      <formula>0</formula>
    </cfRule>
  </conditionalFormatting>
  <hyperlinks>
    <hyperlink ref="D6" r:id="rId1" display="ITN; from graph, figure III-1" xr:uid="{00000000-0004-0000-0300-000000000000}"/>
    <hyperlink ref="M15" location="Structure!R79" display="See Below" xr:uid="{00000000-0004-0000-0300-000001000000}"/>
    <hyperlink ref="D6:E7" location="Structure!A22" display="Online graphs" xr:uid="{00000000-0004-0000-0300-000002000000}"/>
    <hyperlink ref="D12:E12" location="Structure!AD21" display="Surface Ratings" xr:uid="{00000000-0004-0000-0300-000003000000}"/>
  </hyperlinks>
  <pageMargins left="0.7" right="0.7" top="0.5" bottom="0.5" header="0.23" footer="0.2"/>
  <pageSetup orientation="landscape" horizontalDpi="1200" verticalDpi="1200" r:id="rId2"/>
  <drawing r:id="rId3"/>
  <legacyDrawing r:id="rId4"/>
  <oleObjects>
    <mc:AlternateContent xmlns:mc="http://schemas.openxmlformats.org/markup-compatibility/2006">
      <mc:Choice Requires="x14">
        <oleObject progId="Acrobat Document" shapeId="9217" r:id="rId5">
          <objectPr defaultSize="0" autoPict="0" r:id="rId6">
            <anchor moveWithCells="1">
              <from>
                <xdr:col>11</xdr:col>
                <xdr:colOff>114300</xdr:colOff>
                <xdr:row>21</xdr:row>
                <xdr:rowOff>180975</xdr:rowOff>
              </from>
              <to>
                <xdr:col>13</xdr:col>
                <xdr:colOff>257175</xdr:colOff>
                <xdr:row>27</xdr:row>
                <xdr:rowOff>161925</xdr:rowOff>
              </to>
            </anchor>
          </objectPr>
        </oleObject>
      </mc:Choice>
      <mc:Fallback>
        <oleObject progId="Acrobat Document" shapeId="9217" r:id="rId5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AB38"/>
  <sheetViews>
    <sheetView workbookViewId="0">
      <selection activeCell="G12" sqref="G12"/>
    </sheetView>
  </sheetViews>
  <sheetFormatPr defaultRowHeight="12.75" customHeight="1" x14ac:dyDescent="0.2"/>
  <cols>
    <col min="1" max="1" width="2.42578125" style="576" customWidth="1"/>
    <col min="2" max="15" width="6.85546875" style="576" customWidth="1"/>
    <col min="16" max="16384" width="9.140625" style="576"/>
  </cols>
  <sheetData>
    <row r="3" spans="2:28" ht="12.75" customHeight="1" thickBot="1" x14ac:dyDescent="0.25"/>
    <row r="4" spans="2:28" ht="12.75" customHeight="1" x14ac:dyDescent="0.2">
      <c r="B4" s="625"/>
      <c r="C4" s="624"/>
      <c r="D4" s="623"/>
      <c r="E4" s="738" t="s">
        <v>468</v>
      </c>
      <c r="F4" s="738"/>
      <c r="G4" s="738"/>
      <c r="H4" s="738"/>
      <c r="I4" s="738"/>
      <c r="J4" s="738"/>
      <c r="K4" s="738"/>
      <c r="L4" s="738"/>
      <c r="M4" s="622"/>
      <c r="N4" s="621"/>
    </row>
    <row r="5" spans="2:28" ht="12.75" customHeight="1" x14ac:dyDescent="0.2">
      <c r="B5" s="589"/>
      <c r="C5" s="620"/>
      <c r="D5" s="620"/>
      <c r="E5" s="739"/>
      <c r="F5" s="739"/>
      <c r="G5" s="739"/>
      <c r="H5" s="739"/>
      <c r="I5" s="739"/>
      <c r="J5" s="739"/>
      <c r="K5" s="739"/>
      <c r="L5" s="739"/>
      <c r="M5" s="619"/>
      <c r="N5" s="603"/>
    </row>
    <row r="6" spans="2:28" ht="12.75" customHeight="1" thickBot="1" x14ac:dyDescent="0.25">
      <c r="B6" s="589"/>
      <c r="C6" s="618"/>
      <c r="D6" s="155"/>
      <c r="E6" s="155"/>
      <c r="F6" s="155"/>
      <c r="G6" s="155"/>
      <c r="H6" s="2"/>
      <c r="I6" s="155"/>
      <c r="J6" s="155"/>
      <c r="K6" s="155"/>
      <c r="L6" s="155"/>
      <c r="M6" s="155"/>
      <c r="N6" s="603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</row>
    <row r="7" spans="2:28" ht="12.75" customHeight="1" x14ac:dyDescent="0.2">
      <c r="B7" s="589"/>
      <c r="C7" s="614"/>
      <c r="D7" s="736" t="s">
        <v>454</v>
      </c>
      <c r="E7" s="736"/>
      <c r="F7" s="736"/>
      <c r="G7" s="736"/>
      <c r="H7" s="617"/>
      <c r="I7" s="617"/>
      <c r="J7" s="616"/>
      <c r="K7" s="616"/>
      <c r="L7" s="616"/>
      <c r="M7" s="616"/>
      <c r="N7" s="603"/>
      <c r="P7" s="299"/>
      <c r="Q7" s="386"/>
      <c r="R7" s="387"/>
      <c r="S7" s="387"/>
      <c r="T7" s="387"/>
      <c r="U7" s="387"/>
      <c r="V7" s="387"/>
      <c r="W7" s="387"/>
      <c r="X7" s="387"/>
      <c r="Y7" s="387"/>
      <c r="Z7" s="387"/>
      <c r="AA7" s="387"/>
      <c r="AB7" s="388"/>
    </row>
    <row r="8" spans="2:28" ht="12.75" customHeight="1" x14ac:dyDescent="0.2">
      <c r="B8" s="589"/>
      <c r="C8" s="615"/>
      <c r="D8" s="614"/>
      <c r="E8" s="613" t="s">
        <v>453</v>
      </c>
      <c r="F8" s="614"/>
      <c r="G8" s="614"/>
      <c r="H8" s="614"/>
      <c r="I8" s="614"/>
      <c r="J8" s="612"/>
      <c r="K8" s="612"/>
      <c r="L8" s="612"/>
      <c r="M8" s="612"/>
      <c r="N8" s="603"/>
      <c r="P8" s="299"/>
      <c r="Q8" s="389"/>
      <c r="R8" s="390" t="s">
        <v>356</v>
      </c>
      <c r="S8" s="391"/>
      <c r="T8" s="391"/>
      <c r="U8" s="391"/>
      <c r="V8" s="391"/>
      <c r="W8" s="391"/>
      <c r="X8" s="391"/>
      <c r="Y8" s="342"/>
      <c r="Z8" s="342"/>
      <c r="AA8" s="392"/>
      <c r="AB8" s="393"/>
    </row>
    <row r="9" spans="2:28" ht="12.75" customHeight="1" x14ac:dyDescent="0.2">
      <c r="B9" s="589"/>
      <c r="C9" s="615"/>
      <c r="D9" s="614"/>
      <c r="E9" s="614"/>
      <c r="F9" s="614"/>
      <c r="G9" s="613"/>
      <c r="H9" s="585"/>
      <c r="I9" s="585"/>
      <c r="J9" s="612"/>
      <c r="K9" s="612"/>
      <c r="L9" s="612"/>
      <c r="M9" s="612"/>
      <c r="N9" s="603"/>
      <c r="P9" s="299"/>
      <c r="Q9" s="389"/>
      <c r="R9" s="342" t="s">
        <v>117</v>
      </c>
      <c r="S9" s="342"/>
      <c r="T9" s="342"/>
      <c r="U9" s="342"/>
      <c r="V9" s="342"/>
      <c r="W9" s="342"/>
      <c r="X9" s="342"/>
      <c r="Y9" s="342"/>
      <c r="Z9" s="342"/>
      <c r="AA9" s="392"/>
      <c r="AB9" s="393"/>
    </row>
    <row r="10" spans="2:28" ht="12.75" customHeight="1" x14ac:dyDescent="0.2">
      <c r="B10" s="589"/>
      <c r="C10" s="611"/>
      <c r="D10" s="611"/>
      <c r="E10" s="611"/>
      <c r="F10" s="611"/>
      <c r="G10" s="611"/>
      <c r="H10" s="611"/>
      <c r="I10" s="602"/>
      <c r="J10" s="610"/>
      <c r="K10" s="610"/>
      <c r="L10" s="610"/>
      <c r="M10" s="610"/>
      <c r="N10" s="603"/>
      <c r="P10" s="299"/>
      <c r="Q10" s="389"/>
      <c r="R10" s="342" t="s">
        <v>118</v>
      </c>
      <c r="S10" s="342"/>
      <c r="T10" s="342"/>
      <c r="U10" s="342"/>
      <c r="V10" s="342"/>
      <c r="W10" s="342"/>
      <c r="X10" s="342"/>
      <c r="Y10" s="342"/>
      <c r="Z10" s="342"/>
      <c r="AA10" s="392"/>
      <c r="AB10" s="393"/>
    </row>
    <row r="11" spans="2:28" ht="12.75" customHeight="1" x14ac:dyDescent="0.2">
      <c r="B11" s="607"/>
      <c r="C11" s="588"/>
      <c r="D11" s="602"/>
      <c r="E11" s="592"/>
      <c r="F11" s="592"/>
      <c r="G11" s="592"/>
      <c r="H11" s="155"/>
      <c r="I11" s="2"/>
      <c r="J11" s="604"/>
      <c r="K11" s="604"/>
      <c r="L11" s="604"/>
      <c r="M11" s="604"/>
      <c r="N11" s="603"/>
      <c r="P11" s="299"/>
      <c r="Q11" s="389"/>
      <c r="R11" s="345"/>
      <c r="S11" s="342"/>
      <c r="T11" s="342"/>
      <c r="U11" s="342"/>
      <c r="V11" s="342"/>
      <c r="W11" s="342"/>
      <c r="X11" s="342"/>
      <c r="Y11" s="342"/>
      <c r="Z11" s="342"/>
      <c r="AA11" s="392"/>
      <c r="AB11" s="393"/>
    </row>
    <row r="12" spans="2:28" ht="12.75" customHeight="1" x14ac:dyDescent="0.25">
      <c r="B12" s="607"/>
      <c r="C12" s="587"/>
      <c r="D12" s="602"/>
      <c r="E12" s="592"/>
      <c r="F12" s="606" t="s">
        <v>452</v>
      </c>
      <c r="G12" s="609"/>
      <c r="H12" s="608"/>
      <c r="I12" s="636"/>
      <c r="J12" s="604"/>
      <c r="K12" s="604"/>
      <c r="L12" s="604"/>
      <c r="M12" s="604"/>
      <c r="N12" s="603"/>
      <c r="P12" s="299"/>
      <c r="Q12" s="389"/>
      <c r="R12" s="344" t="s">
        <v>119</v>
      </c>
      <c r="S12" s="345" t="s">
        <v>120</v>
      </c>
      <c r="T12" s="345"/>
      <c r="U12" s="342"/>
      <c r="V12" s="342"/>
      <c r="W12" s="342"/>
      <c r="X12" s="342"/>
      <c r="Y12" s="342"/>
      <c r="Z12" s="342"/>
      <c r="AA12" s="392"/>
      <c r="AB12" s="393"/>
    </row>
    <row r="13" spans="2:28" ht="12.75" customHeight="1" x14ac:dyDescent="0.2">
      <c r="B13" s="607"/>
      <c r="C13" s="587"/>
      <c r="D13" s="587"/>
      <c r="E13" s="587"/>
      <c r="F13" s="587"/>
      <c r="G13" s="587"/>
      <c r="H13" s="155"/>
      <c r="I13" s="585"/>
      <c r="J13" s="604"/>
      <c r="K13" s="604"/>
      <c r="L13" s="604"/>
      <c r="M13" s="604"/>
      <c r="N13" s="603"/>
      <c r="P13" s="299"/>
      <c r="Q13" s="389"/>
      <c r="R13" s="342"/>
      <c r="S13" s="345"/>
      <c r="T13" s="342"/>
      <c r="U13" s="342"/>
      <c r="V13" s="342"/>
      <c r="W13" s="342"/>
      <c r="X13" s="342"/>
      <c r="Y13" s="342"/>
      <c r="Z13" s="342"/>
      <c r="AA13" s="392"/>
      <c r="AB13" s="393"/>
    </row>
    <row r="14" spans="2:28" ht="12.75" customHeight="1" x14ac:dyDescent="0.2">
      <c r="B14" s="589"/>
      <c r="C14" s="588"/>
      <c r="D14" s="602"/>
      <c r="E14" s="592"/>
      <c r="F14" s="592"/>
      <c r="G14" s="592"/>
      <c r="H14" s="155"/>
      <c r="I14" s="585"/>
      <c r="J14" s="604"/>
      <c r="K14" s="604"/>
      <c r="L14" s="604"/>
      <c r="M14" s="604"/>
      <c r="N14" s="603"/>
      <c r="P14" s="299"/>
      <c r="Q14" s="389"/>
      <c r="R14" s="342"/>
      <c r="S14" s="345"/>
      <c r="T14" s="342"/>
      <c r="U14" s="342"/>
      <c r="V14" s="342"/>
      <c r="W14" s="342"/>
      <c r="X14" s="342"/>
      <c r="Y14" s="342"/>
      <c r="Z14" s="342"/>
      <c r="AA14" s="392"/>
      <c r="AB14" s="393"/>
    </row>
    <row r="15" spans="2:28" ht="12.75" customHeight="1" x14ac:dyDescent="0.2">
      <c r="B15" s="589"/>
      <c r="C15" s="588"/>
      <c r="D15" s="602"/>
      <c r="E15" s="605"/>
      <c r="F15" s="605" t="s">
        <v>238</v>
      </c>
      <c r="G15" s="591">
        <f>IF(G12&lt;=E27,I27,IF(G12&lt;=E28,I28,IF(G12&lt;=E29,I29,IF(G12&lt;=E30,I30,IF(G12&lt;=E31,I31,IF(G12&lt;=E32,I32,IF(G12&lt;=E33,I33,IF(G12&lt;=E34,I34,IF(G12&lt;=E35,I35,IF(G12&lt;=E36,I36,IF(G12&lt;=E37,(E37-G12)/2,0)))))))))))</f>
        <v>5</v>
      </c>
      <c r="H15" s="587"/>
      <c r="I15" s="587"/>
      <c r="J15" s="604"/>
      <c r="K15" s="605"/>
      <c r="L15" s="630"/>
      <c r="M15" s="604"/>
      <c r="N15" s="603"/>
      <c r="P15" s="299"/>
      <c r="Q15" s="389"/>
      <c r="R15" s="394">
        <f>IF(G12&gt;0,0,'Traffic &amp; Accidents'!C7)</f>
        <v>0</v>
      </c>
      <c r="S15" s="395" t="s">
        <v>377</v>
      </c>
      <c r="T15" s="345"/>
      <c r="U15" s="396"/>
      <c r="V15" s="342"/>
      <c r="W15" s="342"/>
      <c r="X15" s="342"/>
      <c r="Y15" s="385"/>
      <c r="Z15" s="397">
        <f>IF((R15/250)*30&gt;30,30,(R15/250)*30)</f>
        <v>0</v>
      </c>
      <c r="AA15" s="392"/>
      <c r="AB15" s="393"/>
    </row>
    <row r="16" spans="2:28" ht="12.75" customHeight="1" thickBot="1" x14ac:dyDescent="0.25">
      <c r="B16" s="589"/>
      <c r="C16" s="588"/>
      <c r="D16" s="602"/>
      <c r="E16" s="592"/>
      <c r="F16" s="592"/>
      <c r="G16" s="592"/>
      <c r="H16" s="155"/>
      <c r="I16" s="585"/>
      <c r="J16" s="604"/>
      <c r="K16" s="604"/>
      <c r="L16" s="604"/>
      <c r="M16" s="604"/>
      <c r="N16" s="603"/>
      <c r="P16" s="299"/>
      <c r="Q16" s="398"/>
      <c r="R16" s="399"/>
      <c r="S16" s="399"/>
      <c r="T16" s="399"/>
      <c r="U16" s="399"/>
      <c r="V16" s="399"/>
      <c r="W16" s="399"/>
      <c r="X16" s="399"/>
      <c r="Y16" s="399"/>
      <c r="Z16" s="399"/>
      <c r="AA16" s="399"/>
      <c r="AB16" s="400"/>
    </row>
    <row r="17" spans="2:14" ht="12.75" customHeight="1" x14ac:dyDescent="0.2">
      <c r="B17" s="589"/>
      <c r="C17" s="588"/>
      <c r="D17" s="602"/>
      <c r="E17" s="592"/>
      <c r="F17" s="592"/>
      <c r="G17" s="630"/>
      <c r="H17" s="155"/>
      <c r="I17" s="585"/>
      <c r="J17" s="604"/>
      <c r="K17" s="604"/>
      <c r="L17" s="604"/>
      <c r="M17" s="604"/>
      <c r="N17" s="603"/>
    </row>
    <row r="18" spans="2:14" ht="12.75" customHeight="1" thickBot="1" x14ac:dyDescent="0.25">
      <c r="B18" s="589"/>
      <c r="C18" s="588"/>
      <c r="D18" s="602"/>
      <c r="E18" s="592"/>
      <c r="F18" s="592"/>
      <c r="G18" s="592"/>
      <c r="H18" s="155"/>
      <c r="I18" s="585"/>
      <c r="J18" s="585"/>
      <c r="K18" s="585"/>
      <c r="L18" s="585"/>
      <c r="M18" s="585"/>
      <c r="N18" s="584"/>
    </row>
    <row r="19" spans="2:14" ht="12.75" customHeight="1" thickTop="1" x14ac:dyDescent="0.2">
      <c r="B19" s="601"/>
      <c r="C19" s="600"/>
      <c r="D19" s="599"/>
      <c r="E19" s="598"/>
      <c r="F19" s="598"/>
      <c r="G19" s="598"/>
      <c r="H19" s="597"/>
      <c r="I19" s="596"/>
      <c r="J19" s="596"/>
      <c r="K19" s="596"/>
      <c r="L19" s="596"/>
      <c r="M19" s="596"/>
      <c r="N19" s="595"/>
    </row>
    <row r="20" spans="2:14" ht="12.75" customHeight="1" x14ac:dyDescent="0.2">
      <c r="B20" s="589"/>
      <c r="C20" s="737" t="s">
        <v>455</v>
      </c>
      <c r="D20" s="737"/>
      <c r="E20" s="737"/>
      <c r="F20" s="737"/>
      <c r="G20" s="737"/>
      <c r="H20" s="737"/>
      <c r="I20" s="737"/>
      <c r="J20" s="737"/>
      <c r="K20" s="737"/>
      <c r="L20" s="737"/>
      <c r="M20" s="737"/>
      <c r="N20" s="584"/>
    </row>
    <row r="21" spans="2:14" ht="12.75" customHeight="1" x14ac:dyDescent="0.2">
      <c r="B21" s="589"/>
      <c r="C21" s="737"/>
      <c r="D21" s="737"/>
      <c r="E21" s="737"/>
      <c r="F21" s="737"/>
      <c r="G21" s="737"/>
      <c r="H21" s="737"/>
      <c r="I21" s="737"/>
      <c r="J21" s="737"/>
      <c r="K21" s="737"/>
      <c r="L21" s="737"/>
      <c r="M21" s="737"/>
      <c r="N21" s="584"/>
    </row>
    <row r="22" spans="2:14" ht="12.75" customHeight="1" x14ac:dyDescent="0.2">
      <c r="B22" s="589"/>
      <c r="C22" s="737"/>
      <c r="D22" s="737"/>
      <c r="E22" s="737"/>
      <c r="F22" s="737"/>
      <c r="G22" s="737"/>
      <c r="H22" s="737"/>
      <c r="I22" s="737"/>
      <c r="J22" s="737"/>
      <c r="K22" s="737"/>
      <c r="L22" s="737"/>
      <c r="M22" s="737"/>
      <c r="N22" s="637"/>
    </row>
    <row r="23" spans="2:14" ht="12.75" customHeight="1" x14ac:dyDescent="0.2">
      <c r="B23" s="589"/>
      <c r="C23" s="594"/>
      <c r="D23" s="593"/>
      <c r="E23" s="593"/>
      <c r="F23" s="593"/>
      <c r="G23" s="593"/>
      <c r="H23" s="593"/>
      <c r="I23" s="593"/>
      <c r="J23" s="593"/>
      <c r="K23" s="593"/>
      <c r="L23" s="593"/>
      <c r="M23" s="593"/>
      <c r="N23" s="637"/>
    </row>
    <row r="24" spans="2:14" ht="12.75" customHeight="1" x14ac:dyDescent="0.2">
      <c r="B24" s="589"/>
      <c r="C24" s="587"/>
      <c r="D24" s="587"/>
      <c r="E24" s="155"/>
      <c r="F24" s="630"/>
      <c r="G24" s="740" t="s">
        <v>57</v>
      </c>
      <c r="H24" s="740"/>
      <c r="I24" s="740"/>
      <c r="J24" s="740"/>
      <c r="K24" s="740"/>
      <c r="L24" s="585"/>
      <c r="M24" s="585"/>
      <c r="N24" s="637"/>
    </row>
    <row r="25" spans="2:14" ht="12.75" customHeight="1" x14ac:dyDescent="0.2">
      <c r="B25" s="589"/>
      <c r="C25" s="587"/>
      <c r="D25" s="587"/>
      <c r="E25" s="587"/>
      <c r="F25" s="587"/>
      <c r="G25" s="587"/>
      <c r="H25" s="634"/>
      <c r="I25" s="634"/>
      <c r="J25" s="634"/>
      <c r="K25" s="634"/>
      <c r="L25" s="585"/>
      <c r="M25" s="585"/>
      <c r="N25" s="637"/>
    </row>
    <row r="26" spans="2:14" ht="12.75" customHeight="1" x14ac:dyDescent="0.2">
      <c r="B26" s="589"/>
      <c r="C26" s="588"/>
      <c r="D26" s="587"/>
      <c r="E26" s="631" t="s">
        <v>451</v>
      </c>
      <c r="F26" s="587"/>
      <c r="G26" s="632"/>
      <c r="H26" s="631"/>
      <c r="I26" s="632" t="s">
        <v>456</v>
      </c>
      <c r="J26" s="633"/>
      <c r="K26" s="587"/>
      <c r="L26" s="585"/>
      <c r="M26" s="585"/>
      <c r="N26" s="637"/>
    </row>
    <row r="27" spans="2:14" ht="12.75" customHeight="1" x14ac:dyDescent="0.2">
      <c r="B27" s="589"/>
      <c r="C27" s="588"/>
      <c r="D27" s="587"/>
      <c r="E27" s="586">
        <v>0</v>
      </c>
      <c r="F27" s="587"/>
      <c r="G27" s="627"/>
      <c r="H27" s="626"/>
      <c r="I27" s="627">
        <v>5</v>
      </c>
      <c r="J27" s="585"/>
      <c r="K27" s="585"/>
      <c r="L27" s="585"/>
      <c r="M27" s="585"/>
      <c r="N27" s="637"/>
    </row>
    <row r="28" spans="2:14" ht="12.75" customHeight="1" x14ac:dyDescent="0.2">
      <c r="B28" s="589"/>
      <c r="C28" s="588"/>
      <c r="D28" s="587"/>
      <c r="E28" s="586">
        <v>10</v>
      </c>
      <c r="F28" s="587"/>
      <c r="G28" s="627"/>
      <c r="H28" s="626"/>
      <c r="I28" s="627">
        <v>10</v>
      </c>
      <c r="J28" s="585"/>
      <c r="K28" s="585"/>
      <c r="L28" s="585"/>
      <c r="M28" s="585"/>
      <c r="N28" s="638"/>
    </row>
    <row r="29" spans="2:14" ht="12.75" customHeight="1" x14ac:dyDescent="0.2">
      <c r="B29" s="589"/>
      <c r="C29" s="588"/>
      <c r="D29" s="587"/>
      <c r="E29" s="586">
        <v>20</v>
      </c>
      <c r="F29" s="587"/>
      <c r="G29" s="627"/>
      <c r="H29" s="626"/>
      <c r="I29" s="627">
        <v>15</v>
      </c>
      <c r="J29" s="585"/>
      <c r="K29" s="585"/>
      <c r="L29" s="585"/>
      <c r="M29" s="585"/>
      <c r="N29" s="637"/>
    </row>
    <row r="30" spans="2:14" ht="12.75" customHeight="1" x14ac:dyDescent="0.2">
      <c r="B30" s="589"/>
      <c r="C30" s="588"/>
      <c r="D30" s="587"/>
      <c r="E30" s="586">
        <v>30</v>
      </c>
      <c r="F30" s="587"/>
      <c r="G30" s="627"/>
      <c r="H30" s="626"/>
      <c r="I30" s="627">
        <v>20</v>
      </c>
      <c r="J30" s="590"/>
      <c r="K30" s="585"/>
      <c r="L30" s="585"/>
      <c r="M30" s="585"/>
      <c r="N30" s="637"/>
    </row>
    <row r="31" spans="2:14" ht="12.75" customHeight="1" x14ac:dyDescent="0.2">
      <c r="B31" s="589"/>
      <c r="C31" s="588"/>
      <c r="D31" s="587"/>
      <c r="E31" s="586">
        <v>40</v>
      </c>
      <c r="F31" s="587"/>
      <c r="G31" s="627"/>
      <c r="H31" s="626"/>
      <c r="I31" s="629">
        <v>25</v>
      </c>
      <c r="J31" s="585"/>
      <c r="K31" s="585"/>
      <c r="L31" s="585"/>
      <c r="M31" s="590"/>
      <c r="N31" s="637"/>
    </row>
    <row r="32" spans="2:14" ht="12.75" customHeight="1" x14ac:dyDescent="0.2">
      <c r="B32" s="589"/>
      <c r="C32" s="588"/>
      <c r="D32" s="587"/>
      <c r="E32" s="586">
        <v>50</v>
      </c>
      <c r="F32" s="587"/>
      <c r="G32" s="627"/>
      <c r="H32" s="626"/>
      <c r="I32" s="627">
        <v>30</v>
      </c>
      <c r="J32" s="585"/>
      <c r="K32" s="585"/>
      <c r="L32" s="585"/>
      <c r="M32" s="585"/>
      <c r="N32" s="637"/>
    </row>
    <row r="33" spans="2:14" ht="12.75" customHeight="1" x14ac:dyDescent="0.2">
      <c r="B33" s="589"/>
      <c r="C33" s="588"/>
      <c r="D33" s="587"/>
      <c r="E33" s="586">
        <v>60</v>
      </c>
      <c r="F33" s="587"/>
      <c r="G33" s="628"/>
      <c r="H33" s="626"/>
      <c r="I33" s="628">
        <v>30</v>
      </c>
      <c r="J33" s="585"/>
      <c r="K33" s="585"/>
      <c r="L33" s="585"/>
      <c r="M33" s="585"/>
      <c r="N33" s="638"/>
    </row>
    <row r="34" spans="2:14" ht="12.75" customHeight="1" x14ac:dyDescent="0.2">
      <c r="B34" s="589"/>
      <c r="C34" s="588"/>
      <c r="D34" s="587"/>
      <c r="E34" s="586">
        <v>70</v>
      </c>
      <c r="F34" s="587"/>
      <c r="G34" s="627"/>
      <c r="H34" s="626"/>
      <c r="I34" s="627">
        <v>25</v>
      </c>
      <c r="J34" s="585"/>
      <c r="K34" s="585"/>
      <c r="L34" s="585"/>
      <c r="M34" s="585"/>
      <c r="N34" s="637"/>
    </row>
    <row r="35" spans="2:14" ht="12.75" customHeight="1" x14ac:dyDescent="0.2">
      <c r="B35" s="589"/>
      <c r="C35" s="588"/>
      <c r="D35" s="587"/>
      <c r="E35" s="586">
        <v>80</v>
      </c>
      <c r="F35" s="587"/>
      <c r="G35" s="627"/>
      <c r="H35" s="626"/>
      <c r="I35" s="627">
        <v>15</v>
      </c>
      <c r="J35" s="585"/>
      <c r="K35" s="627"/>
      <c r="L35" s="585"/>
      <c r="M35" s="585"/>
      <c r="N35" s="637"/>
    </row>
    <row r="36" spans="2:14" ht="12.75" customHeight="1" x14ac:dyDescent="0.2">
      <c r="B36" s="589"/>
      <c r="C36" s="588"/>
      <c r="D36" s="587"/>
      <c r="E36" s="586">
        <v>90</v>
      </c>
      <c r="F36" s="587"/>
      <c r="G36" s="627"/>
      <c r="H36" s="626"/>
      <c r="I36" s="627">
        <v>10</v>
      </c>
      <c r="J36" s="585"/>
      <c r="K36" s="627"/>
      <c r="L36" s="585"/>
      <c r="M36" s="585"/>
      <c r="N36" s="637"/>
    </row>
    <row r="37" spans="2:14" ht="12.75" customHeight="1" x14ac:dyDescent="0.2">
      <c r="B37" s="589"/>
      <c r="C37" s="588"/>
      <c r="D37" s="587"/>
      <c r="E37" s="586">
        <v>100</v>
      </c>
      <c r="F37" s="587"/>
      <c r="G37" s="627"/>
      <c r="H37" s="626"/>
      <c r="I37" s="627">
        <v>0</v>
      </c>
      <c r="J37" s="585"/>
      <c r="K37" s="627"/>
      <c r="L37" s="585"/>
      <c r="M37" s="585"/>
      <c r="N37" s="637"/>
    </row>
    <row r="38" spans="2:14" ht="12.75" customHeight="1" thickBot="1" x14ac:dyDescent="0.25">
      <c r="B38" s="583"/>
      <c r="C38" s="582"/>
      <c r="D38" s="581"/>
      <c r="E38" s="580"/>
      <c r="F38" s="580"/>
      <c r="G38" s="580"/>
      <c r="H38" s="579"/>
      <c r="I38" s="578"/>
      <c r="J38" s="578"/>
      <c r="K38" s="578"/>
      <c r="L38" s="578"/>
      <c r="M38" s="578"/>
      <c r="N38" s="577"/>
    </row>
  </sheetData>
  <sheetProtection algorithmName="SHA-512" hashValue="71bv1Qq3JTyC4EozdDod7WVz3naKcfmBRUWjE95LppUZcoU2SeVUO3li6o4vUj3ZMQVy7WFnm9nbIotX7e5Idw==" saltValue="XiPnQ/u4QT+nAktkzfbusQ==" spinCount="100000" sheet="1" selectLockedCells="1"/>
  <mergeCells count="4">
    <mergeCell ref="D7:G7"/>
    <mergeCell ref="C20:M22"/>
    <mergeCell ref="E4:L5"/>
    <mergeCell ref="G24:K24"/>
  </mergeCells>
  <conditionalFormatting sqref="I12">
    <cfRule type="containsErrors" dxfId="7" priority="1" stopIfTrue="1">
      <formula>ISERROR(I12)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AC168"/>
  <sheetViews>
    <sheetView workbookViewId="0">
      <selection activeCell="F16" sqref="F16"/>
    </sheetView>
  </sheetViews>
  <sheetFormatPr defaultColWidth="7.7109375" defaultRowHeight="12.95" customHeight="1" x14ac:dyDescent="0.2"/>
  <cols>
    <col min="1" max="3" width="7.7109375" style="149"/>
    <col min="4" max="4" width="8.140625" style="149" customWidth="1"/>
    <col min="5" max="6" width="7.7109375" style="149"/>
    <col min="7" max="7" width="6.140625" style="149" customWidth="1"/>
    <col min="8" max="12" width="7.7109375" style="149"/>
    <col min="13" max="13" width="6.7109375" style="149" customWidth="1"/>
    <col min="14" max="14" width="9" style="149" customWidth="1"/>
    <col min="15" max="15" width="7.7109375" style="221"/>
    <col min="16" max="16384" width="7.7109375" style="149"/>
  </cols>
  <sheetData>
    <row r="4" spans="2:16" ht="12.95" customHeight="1" thickBot="1" x14ac:dyDescent="0.25"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50"/>
      <c r="N4" s="150"/>
      <c r="O4" s="215"/>
      <c r="P4" s="150"/>
    </row>
    <row r="5" spans="2:16" ht="12.95" customHeight="1" x14ac:dyDescent="0.2">
      <c r="B5" s="148"/>
      <c r="C5" s="170" t="s">
        <v>233</v>
      </c>
      <c r="D5" s="171"/>
      <c r="E5" s="171"/>
      <c r="F5" s="171"/>
      <c r="G5" s="172"/>
      <c r="H5" s="171"/>
      <c r="I5" s="171"/>
      <c r="J5" s="171"/>
      <c r="K5" s="171"/>
      <c r="L5" s="173"/>
      <c r="M5" s="173"/>
      <c r="N5" s="174"/>
      <c r="O5" s="215"/>
      <c r="P5" s="150"/>
    </row>
    <row r="6" spans="2:16" ht="12.95" customHeight="1" x14ac:dyDescent="0.2">
      <c r="B6" s="148"/>
      <c r="C6" s="175"/>
      <c r="D6" s="176"/>
      <c r="E6" s="176"/>
      <c r="F6" s="176"/>
      <c r="G6" s="177"/>
      <c r="H6" s="176"/>
      <c r="I6" s="176"/>
      <c r="J6" s="176"/>
      <c r="K6" s="176"/>
      <c r="L6" s="178"/>
      <c r="M6" s="178"/>
      <c r="N6" s="179"/>
      <c r="O6" s="215"/>
      <c r="P6" s="150"/>
    </row>
    <row r="7" spans="2:16" ht="12.95" customHeight="1" x14ac:dyDescent="0.2">
      <c r="B7" s="148"/>
      <c r="C7" s="180"/>
      <c r="D7" s="744"/>
      <c r="E7" s="744"/>
      <c r="F7" s="744"/>
      <c r="G7" s="176"/>
      <c r="H7" s="745" t="s">
        <v>308</v>
      </c>
      <c r="I7" s="745"/>
      <c r="J7" s="745"/>
      <c r="K7" s="176"/>
      <c r="L7" s="178"/>
      <c r="M7" s="178"/>
      <c r="N7" s="179"/>
      <c r="O7" s="216"/>
      <c r="P7" s="163"/>
    </row>
    <row r="8" spans="2:16" ht="12.95" customHeight="1" x14ac:dyDescent="0.2">
      <c r="B8" s="148"/>
      <c r="C8" s="180"/>
      <c r="D8" s="181"/>
      <c r="E8" s="181"/>
      <c r="F8" s="181"/>
      <c r="G8" s="176"/>
      <c r="H8" s="176"/>
      <c r="I8" s="182"/>
      <c r="J8" s="749" t="s">
        <v>443</v>
      </c>
      <c r="K8" s="749"/>
      <c r="L8" s="178"/>
      <c r="M8" s="178"/>
      <c r="N8" s="179"/>
      <c r="O8" s="216"/>
      <c r="P8" s="163"/>
    </row>
    <row r="9" spans="2:16" ht="12.95" customHeight="1" x14ac:dyDescent="0.2">
      <c r="B9" s="148"/>
      <c r="C9" s="180"/>
      <c r="D9" s="183"/>
      <c r="E9" s="176"/>
      <c r="F9" s="177"/>
      <c r="G9" s="176"/>
      <c r="H9" s="147"/>
      <c r="I9" s="184" t="s">
        <v>466</v>
      </c>
      <c r="J9" s="176"/>
      <c r="K9" s="176"/>
      <c r="L9" s="178"/>
      <c r="M9" s="178"/>
      <c r="N9" s="179"/>
      <c r="O9" s="216"/>
      <c r="P9" s="163"/>
    </row>
    <row r="10" spans="2:16" ht="12.95" customHeight="1" x14ac:dyDescent="0.2">
      <c r="B10" s="148"/>
      <c r="C10" s="180"/>
      <c r="D10" s="672" t="s">
        <v>465</v>
      </c>
      <c r="E10" s="176"/>
      <c r="F10" s="147"/>
      <c r="G10" s="176"/>
      <c r="H10" s="147"/>
      <c r="I10" s="184" t="s">
        <v>467</v>
      </c>
      <c r="J10" s="176"/>
      <c r="K10" s="176"/>
      <c r="L10" s="178"/>
      <c r="M10" s="178"/>
      <c r="N10" s="179"/>
      <c r="O10" s="216"/>
      <c r="P10" s="163"/>
    </row>
    <row r="11" spans="2:16" ht="12.95" customHeight="1" x14ac:dyDescent="0.2">
      <c r="B11" s="148"/>
      <c r="C11" s="180"/>
      <c r="D11" s="673"/>
      <c r="E11" s="673"/>
      <c r="F11" s="673"/>
      <c r="G11" s="176"/>
      <c r="H11" s="176"/>
      <c r="I11" s="176"/>
      <c r="J11" s="176"/>
      <c r="K11" s="176"/>
      <c r="L11" s="178"/>
      <c r="M11" s="178"/>
      <c r="N11" s="179"/>
      <c r="O11" s="216"/>
      <c r="P11" s="163"/>
    </row>
    <row r="12" spans="2:16" ht="12.95" customHeight="1" x14ac:dyDescent="0.2">
      <c r="B12" s="148"/>
      <c r="C12" s="180"/>
      <c r="D12" s="176"/>
      <c r="E12" s="182"/>
      <c r="F12" s="177"/>
      <c r="G12" s="176"/>
      <c r="H12" s="185">
        <f>Geometry!F67</f>
        <v>30</v>
      </c>
      <c r="I12" s="183" t="s">
        <v>311</v>
      </c>
      <c r="J12" s="176"/>
      <c r="K12" s="176"/>
      <c r="L12" s="178"/>
      <c r="M12" s="178"/>
      <c r="N12" s="179"/>
      <c r="O12" s="216"/>
      <c r="P12" s="163"/>
    </row>
    <row r="13" spans="2:16" ht="12.95" customHeight="1" x14ac:dyDescent="0.2">
      <c r="B13" s="148"/>
      <c r="C13" s="180"/>
      <c r="D13" s="176"/>
      <c r="E13" s="176"/>
      <c r="F13" s="176"/>
      <c r="G13" s="176"/>
      <c r="H13" s="182"/>
      <c r="I13" s="182"/>
      <c r="J13" s="176"/>
      <c r="K13" s="178"/>
      <c r="L13" s="178"/>
      <c r="M13" s="178"/>
      <c r="N13" s="179"/>
      <c r="O13" s="216"/>
      <c r="P13" s="163"/>
    </row>
    <row r="14" spans="2:16" ht="12.95" customHeight="1" x14ac:dyDescent="0.2">
      <c r="B14" s="148"/>
      <c r="C14" s="180"/>
      <c r="D14" s="176"/>
      <c r="E14" s="176"/>
      <c r="F14" s="178"/>
      <c r="G14" s="178"/>
      <c r="H14" s="178"/>
      <c r="I14" s="178"/>
      <c r="J14" s="178"/>
      <c r="K14" s="178"/>
      <c r="L14" s="178"/>
      <c r="M14" s="178"/>
      <c r="N14" s="179"/>
      <c r="O14" s="215"/>
      <c r="P14" s="150"/>
    </row>
    <row r="15" spans="2:16" ht="12.95" customHeight="1" x14ac:dyDescent="0.2">
      <c r="B15" s="148"/>
      <c r="C15" s="180"/>
      <c r="D15" s="663"/>
      <c r="E15" s="664" t="s">
        <v>174</v>
      </c>
      <c r="F15" s="663"/>
      <c r="G15" s="2"/>
      <c r="H15" s="663"/>
      <c r="I15" s="663"/>
      <c r="J15" s="663"/>
      <c r="K15" s="746" t="str">
        <f>IF(OR(AND(H9&lt;&gt;0,H9&lt;M9),AND(H10&lt;&gt;0,H10&lt;M10),AND(J12&lt;&gt;0,J12&lt;M10)),"Points are reduced for 
below Std proposals","")</f>
        <v/>
      </c>
      <c r="L15" s="746"/>
      <c r="M15" s="665"/>
      <c r="N15" s="662"/>
      <c r="O15" s="215"/>
      <c r="P15" s="150"/>
    </row>
    <row r="16" spans="2:16" ht="12.95" customHeight="1" x14ac:dyDescent="0.2">
      <c r="B16" s="148"/>
      <c r="C16" s="180"/>
      <c r="D16" s="666" t="s">
        <v>180</v>
      </c>
      <c r="E16" s="663"/>
      <c r="F16" s="667"/>
      <c r="G16" s="2"/>
      <c r="H16" s="668" t="s">
        <v>464</v>
      </c>
      <c r="I16" s="663"/>
      <c r="J16" s="663"/>
      <c r="K16" s="746"/>
      <c r="L16" s="746"/>
      <c r="M16" s="665"/>
      <c r="N16" s="662"/>
      <c r="O16" s="215"/>
      <c r="P16" s="150"/>
    </row>
    <row r="17" spans="2:16" ht="12.95" customHeight="1" x14ac:dyDescent="0.2">
      <c r="B17" s="148"/>
      <c r="C17" s="180"/>
      <c r="D17" s="666" t="s">
        <v>181</v>
      </c>
      <c r="E17" s="663"/>
      <c r="F17" s="669"/>
      <c r="G17" s="663"/>
      <c r="H17" s="670">
        <f>Q106</f>
        <v>20</v>
      </c>
      <c r="I17" s="663"/>
      <c r="J17" s="663"/>
      <c r="K17" s="663"/>
      <c r="L17" s="663"/>
      <c r="M17" s="663"/>
      <c r="N17" s="662"/>
      <c r="O17" s="215"/>
      <c r="P17" s="150"/>
    </row>
    <row r="18" spans="2:16" ht="12.95" customHeight="1" x14ac:dyDescent="0.2">
      <c r="B18" s="148"/>
      <c r="C18" s="180"/>
      <c r="D18" s="666" t="s">
        <v>182</v>
      </c>
      <c r="E18" s="663"/>
      <c r="F18" s="667"/>
      <c r="G18" s="663"/>
      <c r="H18" s="671"/>
      <c r="I18" s="671"/>
      <c r="J18" s="663"/>
      <c r="K18" s="663"/>
      <c r="L18" s="663"/>
      <c r="M18" s="663"/>
      <c r="N18" s="662"/>
      <c r="O18" s="215"/>
      <c r="P18" s="150"/>
    </row>
    <row r="19" spans="2:16" ht="12.95" customHeight="1" x14ac:dyDescent="0.2">
      <c r="B19" s="148"/>
      <c r="C19" s="180"/>
      <c r="D19" s="663"/>
      <c r="E19" s="663"/>
      <c r="F19" s="663"/>
      <c r="G19" s="663"/>
      <c r="H19" s="671"/>
      <c r="I19" s="671"/>
      <c r="J19" s="663"/>
      <c r="K19" s="663"/>
      <c r="L19" s="663"/>
      <c r="M19" s="663"/>
      <c r="N19" s="179"/>
      <c r="O19" s="215"/>
      <c r="P19" s="150"/>
    </row>
    <row r="20" spans="2:16" ht="12.95" customHeight="1" x14ac:dyDescent="0.2">
      <c r="B20" s="148"/>
      <c r="C20" s="180"/>
      <c r="D20" s="176"/>
      <c r="E20" s="743" t="s">
        <v>313</v>
      </c>
      <c r="F20" s="743"/>
      <c r="G20" s="743"/>
      <c r="H20" s="743"/>
      <c r="I20" s="743"/>
      <c r="J20" s="743"/>
      <c r="K20" s="743"/>
      <c r="L20" s="176"/>
      <c r="M20" s="176"/>
      <c r="N20" s="186"/>
      <c r="O20" s="217"/>
      <c r="P20" s="148"/>
    </row>
    <row r="21" spans="2:16" ht="12.95" customHeight="1" x14ac:dyDescent="0.2">
      <c r="B21" s="148"/>
      <c r="C21" s="180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86"/>
      <c r="O21" s="217"/>
      <c r="P21" s="148"/>
    </row>
    <row r="22" spans="2:16" ht="12.95" customHeight="1" x14ac:dyDescent="0.2">
      <c r="B22" s="148"/>
      <c r="C22" s="187"/>
      <c r="D22" s="750" t="s">
        <v>234</v>
      </c>
      <c r="E22" s="750"/>
      <c r="F22" s="176"/>
      <c r="G22" s="176"/>
      <c r="H22" s="176"/>
      <c r="I22" s="176"/>
      <c r="J22" s="188"/>
      <c r="K22" s="189" t="s">
        <v>235</v>
      </c>
      <c r="L22" s="188"/>
      <c r="M22" s="189"/>
      <c r="N22" s="190"/>
      <c r="O22" s="218"/>
      <c r="P22" s="164"/>
    </row>
    <row r="23" spans="2:16" ht="12.95" customHeight="1" x14ac:dyDescent="0.2">
      <c r="B23" s="148"/>
      <c r="C23" s="747"/>
      <c r="D23" s="749" t="s">
        <v>443</v>
      </c>
      <c r="E23" s="749"/>
      <c r="F23" s="188"/>
      <c r="G23" s="188"/>
      <c r="H23" s="748" t="s">
        <v>290</v>
      </c>
      <c r="I23" s="176"/>
      <c r="J23" s="191"/>
      <c r="K23" s="749" t="s">
        <v>443</v>
      </c>
      <c r="L23" s="749"/>
      <c r="M23" s="188"/>
      <c r="N23" s="192"/>
      <c r="O23" s="218"/>
      <c r="P23" s="164"/>
    </row>
    <row r="24" spans="2:16" ht="12.95" customHeight="1" x14ac:dyDescent="0.2">
      <c r="B24" s="148"/>
      <c r="C24" s="747"/>
      <c r="D24" s="193" t="s">
        <v>138</v>
      </c>
      <c r="E24" s="193" t="s">
        <v>286</v>
      </c>
      <c r="F24" s="194" t="s">
        <v>287</v>
      </c>
      <c r="G24" s="188"/>
      <c r="H24" s="748"/>
      <c r="I24" s="176"/>
      <c r="J24" s="191" t="s">
        <v>194</v>
      </c>
      <c r="K24" s="194" t="s">
        <v>285</v>
      </c>
      <c r="L24" s="194" t="s">
        <v>286</v>
      </c>
      <c r="M24" s="194" t="s">
        <v>287</v>
      </c>
      <c r="N24" s="573" t="s">
        <v>394</v>
      </c>
      <c r="O24" s="219"/>
      <c r="P24" s="165"/>
    </row>
    <row r="25" spans="2:16" ht="12.95" customHeight="1" x14ac:dyDescent="0.2">
      <c r="B25" s="148"/>
      <c r="C25" s="747"/>
      <c r="D25" s="193" t="s">
        <v>172</v>
      </c>
      <c r="E25" s="193" t="s">
        <v>172</v>
      </c>
      <c r="F25" s="196" t="s">
        <v>289</v>
      </c>
      <c r="G25" s="188"/>
      <c r="H25" s="748"/>
      <c r="I25" s="176"/>
      <c r="J25" s="197" t="s">
        <v>176</v>
      </c>
      <c r="K25" s="194" t="s">
        <v>288</v>
      </c>
      <c r="L25" s="194" t="s">
        <v>172</v>
      </c>
      <c r="M25" s="196" t="s">
        <v>289</v>
      </c>
      <c r="N25" s="198" t="s">
        <v>172</v>
      </c>
      <c r="O25" s="220"/>
      <c r="P25" s="166"/>
    </row>
    <row r="26" spans="2:16" ht="12.95" customHeight="1" x14ac:dyDescent="0.2">
      <c r="B26" s="148"/>
      <c r="C26" s="199" t="str">
        <f>IF(AND(E26&lt;&gt;0,E26&lt;H17),"*","")</f>
        <v/>
      </c>
      <c r="D26" s="147"/>
      <c r="E26" s="147"/>
      <c r="F26" s="200" t="str">
        <f>IF(AND(E26&gt;=D26,D26&lt;H17,E26&lt;&gt;0),G26,"")</f>
        <v/>
      </c>
      <c r="G26" s="201">
        <f>IF(E26&gt;H17,1,(E26-D26)/(H17-D26))</f>
        <v>0</v>
      </c>
      <c r="H26" s="191">
        <v>1</v>
      </c>
      <c r="I26" s="202" t="str">
        <f>IF(AND(L26&lt;&gt;0,L26&lt;H17),"*","")</f>
        <v/>
      </c>
      <c r="J26" s="147"/>
      <c r="K26" s="147"/>
      <c r="L26" s="147"/>
      <c r="M26" s="203" t="str">
        <f>IF(AND(L26&gt;=N26,N26&lt;H17,L26&lt;&gt;0),O26*(K26/M41),"")</f>
        <v/>
      </c>
      <c r="N26" s="195" t="str">
        <f>Geometry!R124</f>
        <v/>
      </c>
      <c r="O26" s="300" t="e">
        <f>IF(L26&gt;H17,1,(L26-N26)/(H17-N26))</f>
        <v>#VALUE!</v>
      </c>
      <c r="P26" s="167"/>
    </row>
    <row r="27" spans="2:16" ht="12.95" customHeight="1" x14ac:dyDescent="0.2">
      <c r="B27" s="148"/>
      <c r="C27" s="199" t="str">
        <f>IF(AND(E27&lt;&gt;0,E27&lt;H17),"*","")</f>
        <v/>
      </c>
      <c r="D27" s="214"/>
      <c r="E27" s="214"/>
      <c r="F27" s="200" t="str">
        <f>IF(AND(E27&gt;=D27,D27&lt;H17,E27&lt;&gt;0),G27,"")</f>
        <v/>
      </c>
      <c r="G27" s="201">
        <f>IF(E27&gt;H17,1,(E27-D27)/(H17-D27))</f>
        <v>0</v>
      </c>
      <c r="H27" s="191">
        <v>2</v>
      </c>
      <c r="I27" s="202" t="str">
        <f>IF(AND(L27&lt;&gt;0,L27&lt;H17),"*","")</f>
        <v/>
      </c>
      <c r="J27" s="147"/>
      <c r="K27" s="147"/>
      <c r="L27" s="147"/>
      <c r="M27" s="200" t="str">
        <f>IF(AND(L27&gt;=N27,N27&lt;H17,L27&lt;&gt;0),O27*(K27/M41),"")</f>
        <v/>
      </c>
      <c r="N27" s="195" t="str">
        <f>Geometry!R125</f>
        <v/>
      </c>
      <c r="O27" s="300" t="e">
        <f>IF(L27&gt;H17,1,(L27-N27)/(H17-N27))</f>
        <v>#VALUE!</v>
      </c>
      <c r="P27" s="167"/>
    </row>
    <row r="28" spans="2:16" ht="12.95" customHeight="1" x14ac:dyDescent="0.2">
      <c r="B28" s="148"/>
      <c r="C28" s="199" t="str">
        <f>IF(AND(E28&lt;&gt;0,E28&lt;H17),"*","")</f>
        <v/>
      </c>
      <c r="D28" s="214"/>
      <c r="E28" s="214"/>
      <c r="F28" s="200" t="str">
        <f>IF(AND(E28&gt;=D28,D28&lt;H17,E28&lt;&gt;0),G28,"")</f>
        <v/>
      </c>
      <c r="G28" s="201">
        <f>IF(E28&gt;H17,1,(E28-D28)/(H17-D28))</f>
        <v>0</v>
      </c>
      <c r="H28" s="191">
        <v>3</v>
      </c>
      <c r="I28" s="202" t="str">
        <f>IF(AND(L28&lt;&gt;0,L28&lt;H17),"*","")</f>
        <v/>
      </c>
      <c r="J28" s="147"/>
      <c r="K28" s="147"/>
      <c r="L28" s="147"/>
      <c r="M28" s="200" t="str">
        <f>IF(AND(L28&gt;=N28,N28&lt;H17,L28&lt;&gt;0),O28*(K28/M41),"")</f>
        <v/>
      </c>
      <c r="N28" s="195" t="str">
        <f>Geometry!R126</f>
        <v/>
      </c>
      <c r="O28" s="300" t="e">
        <f>IF(L28&gt;H17,1,(L28-N28)/(H17-N28))</f>
        <v>#VALUE!</v>
      </c>
      <c r="P28" s="167"/>
    </row>
    <row r="29" spans="2:16" ht="12.95" customHeight="1" x14ac:dyDescent="0.2">
      <c r="B29" s="148"/>
      <c r="C29" s="199" t="str">
        <f>IF(AND(E29&lt;&gt;0,E29&lt;H17),"*","")</f>
        <v/>
      </c>
      <c r="D29" s="214"/>
      <c r="E29" s="214"/>
      <c r="F29" s="200" t="str">
        <f>IF(AND(E29&gt;=D29,D29&lt;H17,E29&lt;&gt;0),G29,"")</f>
        <v/>
      </c>
      <c r="G29" s="201">
        <f>IF(E29&gt;H17,1,(E29-D29)/(H17-D29))</f>
        <v>0</v>
      </c>
      <c r="H29" s="191">
        <v>4</v>
      </c>
      <c r="I29" s="202" t="str">
        <f>IF(AND(L29&lt;&gt;0,L29&lt;H17),"*","")</f>
        <v/>
      </c>
      <c r="J29" s="147"/>
      <c r="K29" s="147"/>
      <c r="L29" s="147"/>
      <c r="M29" s="200" t="str">
        <f>IF(AND(L29&gt;=N29,N29&lt;H17,L29&lt;&gt;0),O29*(K29/M41),"")</f>
        <v/>
      </c>
      <c r="N29" s="195" t="str">
        <f>Geometry!R127</f>
        <v/>
      </c>
      <c r="O29" s="300" t="e">
        <f>IF(L29&gt;H17,1,(L29-N29)/(H17-N29))</f>
        <v>#VALUE!</v>
      </c>
      <c r="P29" s="167"/>
    </row>
    <row r="30" spans="2:16" ht="12.95" customHeight="1" x14ac:dyDescent="0.2">
      <c r="B30" s="148"/>
      <c r="C30" s="199" t="str">
        <f>IF(AND(E30&lt;&gt;0,E30&lt;H17),"*","")</f>
        <v/>
      </c>
      <c r="D30" s="214"/>
      <c r="E30" s="214"/>
      <c r="F30" s="200" t="str">
        <f>IF(AND(E30&gt;=D30,D30&lt;H17,E30&lt;&gt;0),G30,"")</f>
        <v/>
      </c>
      <c r="G30" s="201">
        <f>IF(E30&gt;H17,1,(E30-D30)/(H17-D30))</f>
        <v>0</v>
      </c>
      <c r="H30" s="191">
        <v>5</v>
      </c>
      <c r="I30" s="202" t="str">
        <f>IF(AND(L30&lt;&gt;0,L30&lt;H17),"*","")</f>
        <v/>
      </c>
      <c r="J30" s="147"/>
      <c r="K30" s="147"/>
      <c r="L30" s="147"/>
      <c r="M30" s="200" t="str">
        <f>IF(AND(L30&gt;=N30,N30&lt;H17,L30&lt;&gt;0),O30*(K30/M41),"")</f>
        <v/>
      </c>
      <c r="N30" s="195" t="str">
        <f>Geometry!R128</f>
        <v/>
      </c>
      <c r="O30" s="300" t="e">
        <f>IF(L30&gt;H17,1,(L30-N30)/(H17-N30))</f>
        <v>#VALUE!</v>
      </c>
      <c r="P30" s="167"/>
    </row>
    <row r="31" spans="2:16" ht="12.95" customHeight="1" x14ac:dyDescent="0.2">
      <c r="B31" s="148"/>
      <c r="C31" s="199" t="str">
        <f>IF(AND(E31&lt;&gt;0,E31&lt;H17),"*","")</f>
        <v/>
      </c>
      <c r="D31" s="214"/>
      <c r="E31" s="214"/>
      <c r="F31" s="200" t="str">
        <f>IF(AND(E31&gt;=D31,D31&lt;H17,E31&lt;&gt;0),G31,"")</f>
        <v/>
      </c>
      <c r="G31" s="201">
        <f>IF(E31&gt;H17,1,(E31-D31)/(H17-D31))</f>
        <v>0</v>
      </c>
      <c r="H31" s="191">
        <v>6</v>
      </c>
      <c r="I31" s="202" t="str">
        <f>IF(AND(L31&lt;&gt;0,L31&lt;H17),"*","")</f>
        <v/>
      </c>
      <c r="J31" s="147"/>
      <c r="K31" s="147"/>
      <c r="L31" s="147"/>
      <c r="M31" s="200" t="str">
        <f>IF(AND(L31&gt;=N31,N31&lt;H17,L31&lt;&gt;0),O31*(K31/M41),"")</f>
        <v/>
      </c>
      <c r="N31" s="195" t="str">
        <f>Geometry!R129</f>
        <v/>
      </c>
      <c r="O31" s="300" t="e">
        <f>IF(L31&gt;H17,1,(L31-N31)/(H17-N31))</f>
        <v>#VALUE!</v>
      </c>
      <c r="P31" s="167"/>
    </row>
    <row r="32" spans="2:16" ht="12.95" customHeight="1" x14ac:dyDescent="0.2">
      <c r="B32" s="148"/>
      <c r="C32" s="199" t="str">
        <f>IF(AND(E32&lt;&gt;0,E32&lt;H17),"*","")</f>
        <v/>
      </c>
      <c r="D32" s="214"/>
      <c r="E32" s="214"/>
      <c r="F32" s="200" t="str">
        <f>IF(AND(E32&gt;=D32,D32&lt;H17,E32&lt;&gt;0),G32,"")</f>
        <v/>
      </c>
      <c r="G32" s="201">
        <f>IF(E32&gt;H17,1,(E32-D32)/(H17-D32))</f>
        <v>0</v>
      </c>
      <c r="H32" s="191">
        <v>7</v>
      </c>
      <c r="I32" s="202" t="str">
        <f>IF(AND(L32&lt;&gt;0,L32&lt;H17),"*","")</f>
        <v/>
      </c>
      <c r="J32" s="147"/>
      <c r="K32" s="147"/>
      <c r="L32" s="147"/>
      <c r="M32" s="200" t="str">
        <f>IF(AND(L32&gt;=N32,N32&lt;H17,L32&lt;&gt;0),O32*(K32/M41),"")</f>
        <v/>
      </c>
      <c r="N32" s="195" t="str">
        <f>Geometry!R130</f>
        <v/>
      </c>
      <c r="O32" s="300" t="e">
        <f>IF(L32&gt;H17,1,(L32-N32)/(H17-N32))</f>
        <v>#VALUE!</v>
      </c>
      <c r="P32" s="167"/>
    </row>
    <row r="33" spans="2:16" ht="12.95" customHeight="1" x14ac:dyDescent="0.2">
      <c r="B33" s="148"/>
      <c r="C33" s="199" t="str">
        <f>IF(AND(E33&lt;&gt;0,E33&lt;H17),"*","")</f>
        <v/>
      </c>
      <c r="D33" s="214"/>
      <c r="E33" s="214"/>
      <c r="F33" s="200" t="str">
        <f>IF(AND(E33&gt;=D33,D33&lt;H17,E33&lt;&gt;0),G33,"")</f>
        <v/>
      </c>
      <c r="G33" s="201">
        <f>IF(E33&gt;H17,1,(E33-D33)/(H17-D33))</f>
        <v>0</v>
      </c>
      <c r="H33" s="191">
        <v>8</v>
      </c>
      <c r="I33" s="202" t="str">
        <f>IF(AND(L33&lt;&gt;0,L33&lt;H17),"*","")</f>
        <v/>
      </c>
      <c r="J33" s="147"/>
      <c r="K33" s="147"/>
      <c r="L33" s="147"/>
      <c r="M33" s="200" t="str">
        <f>IF(AND(L33&gt;=N33,N33&lt;H17,L33&lt;&gt;0),O33*(K33/M41),"")</f>
        <v/>
      </c>
      <c r="N33" s="195" t="str">
        <f>Geometry!R131</f>
        <v/>
      </c>
      <c r="O33" s="300" t="e">
        <f>IF(L33&gt;H17,1,(L33-N33)/(H17-N33))</f>
        <v>#VALUE!</v>
      </c>
      <c r="P33" s="167"/>
    </row>
    <row r="34" spans="2:16" ht="12.95" customHeight="1" x14ac:dyDescent="0.2">
      <c r="B34" s="148"/>
      <c r="C34" s="199" t="str">
        <f>IF(AND(E34&lt;&gt;0,E34&lt;H17),"*","")</f>
        <v/>
      </c>
      <c r="D34" s="147"/>
      <c r="E34" s="147"/>
      <c r="F34" s="200" t="str">
        <f>IF(AND(E34&gt;=D34,D34&lt;H17,E34&lt;&gt;0),G34,"")</f>
        <v/>
      </c>
      <c r="G34" s="201">
        <f>IF(E34&gt;H17,1,(E34-D34)/(H17-D34))</f>
        <v>0</v>
      </c>
      <c r="H34" s="191">
        <v>9</v>
      </c>
      <c r="I34" s="202" t="str">
        <f>IF(AND(L34&lt;&gt;0,L34&lt;H17),"*","")</f>
        <v/>
      </c>
      <c r="J34" s="147"/>
      <c r="K34" s="147"/>
      <c r="L34" s="147"/>
      <c r="M34" s="200" t="str">
        <f>IF(AND(L34&gt;=N34,N34&lt;H17,L34&lt;&gt;0),O34*(K34/M41),"")</f>
        <v/>
      </c>
      <c r="N34" s="195" t="str">
        <f>Geometry!R132</f>
        <v/>
      </c>
      <c r="O34" s="300" t="e">
        <f>IF(L34&gt;H17,1,(L34-N34)/(H17-N34))</f>
        <v>#VALUE!</v>
      </c>
      <c r="P34" s="167"/>
    </row>
    <row r="35" spans="2:16" ht="12.95" customHeight="1" x14ac:dyDescent="0.2">
      <c r="B35" s="148"/>
      <c r="C35" s="199" t="str">
        <f>IF(AND(E35&lt;&gt;0,E35&lt;H17),"*","")</f>
        <v/>
      </c>
      <c r="D35" s="214"/>
      <c r="E35" s="214"/>
      <c r="F35" s="200" t="str">
        <f>IF(AND(E35&gt;=D35,D35&lt;H17,E35&lt;&gt;0),G35,"")</f>
        <v/>
      </c>
      <c r="G35" s="201">
        <f>IF(E35&gt;H17,1,(E35-D35)/(H17-D35))</f>
        <v>0</v>
      </c>
      <c r="H35" s="191">
        <v>10</v>
      </c>
      <c r="I35" s="202" t="str">
        <f>IF(AND(L35&lt;&gt;0,L35&lt;H17),"*","")</f>
        <v/>
      </c>
      <c r="J35" s="147"/>
      <c r="K35" s="147"/>
      <c r="L35" s="147"/>
      <c r="M35" s="200" t="str">
        <f>IF(AND(L35&gt;=N35,N35&lt;H17,L35&lt;&gt;0),O35*(K35/M41),"")</f>
        <v/>
      </c>
      <c r="N35" s="195" t="str">
        <f>Geometry!R133</f>
        <v/>
      </c>
      <c r="O35" s="300" t="e">
        <f>IF(L35&gt;H17,1,(L35-N35)/(H17-N35))</f>
        <v>#VALUE!</v>
      </c>
      <c r="P35" s="167"/>
    </row>
    <row r="36" spans="2:16" ht="12.95" customHeight="1" x14ac:dyDescent="0.2">
      <c r="B36" s="148"/>
      <c r="C36" s="199" t="str">
        <f>IF(AND(E36&lt;&gt;0,E36&lt;H17),"*","")</f>
        <v/>
      </c>
      <c r="D36" s="214"/>
      <c r="E36" s="214"/>
      <c r="F36" s="200" t="str">
        <f>IF(AND(E36&gt;=D36,D36&lt;H17,E36&lt;&gt;0),G36,"")</f>
        <v/>
      </c>
      <c r="G36" s="201">
        <f>IF(E36&gt;H17,1,(E36-D36)/(H17-D36))</f>
        <v>0</v>
      </c>
      <c r="H36" s="191">
        <v>11</v>
      </c>
      <c r="I36" s="202" t="str">
        <f>IF(AND(L36&lt;&gt;0,L36&lt;H17),"*","")</f>
        <v/>
      </c>
      <c r="J36" s="214"/>
      <c r="K36" s="147"/>
      <c r="L36" s="147"/>
      <c r="M36" s="200" t="str">
        <f>IF(AND(L36&gt;=N36,N36&lt;H17,L36&lt;&gt;0),O36*(K36/M41),"")</f>
        <v/>
      </c>
      <c r="N36" s="195" t="str">
        <f>Geometry!R134</f>
        <v/>
      </c>
      <c r="O36" s="300" t="e">
        <f>IF(L36&gt;H17,1,(L36-N36)/(H17-N36))</f>
        <v>#VALUE!</v>
      </c>
      <c r="P36" s="167"/>
    </row>
    <row r="37" spans="2:16" ht="12.95" customHeight="1" x14ac:dyDescent="0.2">
      <c r="B37" s="148"/>
      <c r="C37" s="199" t="str">
        <f>IF(AND(E37&lt;&gt;0,E37&lt;H17),"*","")</f>
        <v/>
      </c>
      <c r="D37" s="214"/>
      <c r="E37" s="214"/>
      <c r="F37" s="200" t="str">
        <f>IF(AND(E37&gt;=D37,D37&lt;H17,E37&lt;&gt;0),G37,"")</f>
        <v/>
      </c>
      <c r="G37" s="201">
        <f>IF(E37&gt;H17,1,(E37-D37)/(H17-D37))</f>
        <v>0</v>
      </c>
      <c r="H37" s="191">
        <v>12</v>
      </c>
      <c r="I37" s="202" t="str">
        <f>IF(AND(L37&lt;&gt;0,L37&lt;H17),"*","")</f>
        <v/>
      </c>
      <c r="J37" s="214"/>
      <c r="K37" s="147"/>
      <c r="L37" s="147"/>
      <c r="M37" s="200" t="str">
        <f>IF(AND(L37&gt;=N37,N37&lt;H17,L37&lt;&gt;0),O37*(K37/M41),"")</f>
        <v/>
      </c>
      <c r="N37" s="195" t="str">
        <f>Geometry!R135</f>
        <v/>
      </c>
      <c r="O37" s="300" t="e">
        <f>IF(L37&gt;H17,1,(L37-N37)/(H17-N37))</f>
        <v>#VALUE!</v>
      </c>
      <c r="P37" s="167"/>
    </row>
    <row r="38" spans="2:16" ht="12.95" customHeight="1" x14ac:dyDescent="0.2">
      <c r="B38" s="148"/>
      <c r="C38" s="199" t="str">
        <f>IF(AND(E38&lt;&gt;0,E38&lt;H17),"*","")</f>
        <v/>
      </c>
      <c r="D38" s="214"/>
      <c r="E38" s="214"/>
      <c r="F38" s="200" t="str">
        <f>IF(AND(E38&gt;=D38,D38&lt;H17,E38&lt;&gt;0),G38,"")</f>
        <v/>
      </c>
      <c r="G38" s="201">
        <f>IF(E38&gt;H17,1,(E38-D38)/(H17-D38))</f>
        <v>0</v>
      </c>
      <c r="H38" s="191">
        <v>13</v>
      </c>
      <c r="I38" s="202" t="str">
        <f>IF(AND(L38&lt;&gt;0,L38&lt;H17),"*","")</f>
        <v/>
      </c>
      <c r="J38" s="214"/>
      <c r="K38" s="147"/>
      <c r="L38" s="147"/>
      <c r="M38" s="200" t="str">
        <f>IF(AND(L38&gt;=N38,N38&lt;H17,L38&lt;&gt;0),O38*(K38/M41),"")</f>
        <v/>
      </c>
      <c r="N38" s="195" t="str">
        <f>Geometry!R136</f>
        <v/>
      </c>
      <c r="O38" s="300" t="e">
        <f>IF(L38&gt;H17,1,(L38-N38)/(H17-N38))</f>
        <v>#VALUE!</v>
      </c>
      <c r="P38" s="167"/>
    </row>
    <row r="39" spans="2:16" ht="12.95" customHeight="1" x14ac:dyDescent="0.2">
      <c r="B39" s="148"/>
      <c r="C39" s="199" t="str">
        <f>IF(AND(E39&lt;&gt;0,E39&lt;H17),"*","")</f>
        <v/>
      </c>
      <c r="D39" s="214"/>
      <c r="E39" s="214"/>
      <c r="F39" s="200" t="str">
        <f>IF(AND(E39&gt;=D39,D39&lt;H17,E39&lt;&gt;0),G39,"")</f>
        <v/>
      </c>
      <c r="G39" s="201">
        <f>IF(E39&gt;H17,1,(E39-D39)/(H17-D39))</f>
        <v>0</v>
      </c>
      <c r="H39" s="191">
        <v>14</v>
      </c>
      <c r="I39" s="202" t="str">
        <f>IF(AND(L39&lt;&gt;0,L39&lt;H17),"*","")</f>
        <v/>
      </c>
      <c r="J39" s="214"/>
      <c r="K39" s="147"/>
      <c r="L39" s="147"/>
      <c r="M39" s="200" t="str">
        <f>IF(AND(L39&gt;=N39,N39&lt;H17,L39&lt;&gt;0),O39*(K39/M41),"")</f>
        <v/>
      </c>
      <c r="N39" s="195" t="str">
        <f>Geometry!R137</f>
        <v/>
      </c>
      <c r="O39" s="300" t="e">
        <f>IF(L39&gt;H17,1,(L39-N39)/(H17-N39))</f>
        <v>#VALUE!</v>
      </c>
      <c r="P39" s="167"/>
    </row>
    <row r="40" spans="2:16" ht="12.95" customHeight="1" x14ac:dyDescent="0.2">
      <c r="B40" s="148"/>
      <c r="C40" s="187"/>
      <c r="D40" s="204">
        <f>Geometry!L110*F40</f>
        <v>0</v>
      </c>
      <c r="E40" s="188" t="s">
        <v>4</v>
      </c>
      <c r="F40" s="205">
        <f>IF(SUM(F26:F39)=0,0,(SUM(F26:F39)/(COUNT(F26:F39))))</f>
        <v>0</v>
      </c>
      <c r="G40" s="176" t="s">
        <v>291</v>
      </c>
      <c r="H40" s="188"/>
      <c r="I40" s="188"/>
      <c r="J40" s="204" t="e">
        <f>Geometry!K163*M40</f>
        <v>#DIV/0!</v>
      </c>
      <c r="K40" s="176" t="s">
        <v>4</v>
      </c>
      <c r="L40" s="176"/>
      <c r="M40" s="205">
        <f>IF(SUM(M26:M39)=0,0,SUM(M26:M39))</f>
        <v>0</v>
      </c>
      <c r="N40" s="301" t="s">
        <v>293</v>
      </c>
      <c r="O40" s="217"/>
      <c r="P40" s="148"/>
    </row>
    <row r="41" spans="2:16" ht="12.95" customHeight="1" x14ac:dyDescent="0.2">
      <c r="B41" s="148"/>
      <c r="C41" s="206" t="str">
        <f>IF(AND(F40&lt;&gt;0,F40&lt;1),"*","")</f>
        <v/>
      </c>
      <c r="D41" s="207" t="str">
        <f>IF(AND(F40&lt;&gt;0,F40&lt;1),"Note deviation in 3R design file","")</f>
        <v/>
      </c>
      <c r="E41" s="207"/>
      <c r="F41" s="207"/>
      <c r="G41" s="188"/>
      <c r="H41" s="188"/>
      <c r="I41" s="208" t="str">
        <f>IF(AND(M40&lt;&gt;0,M40&lt;1),"*","")</f>
        <v/>
      </c>
      <c r="J41" s="207" t="str">
        <f>IF(AND(M40&lt;&gt;0,M40&lt;1),"Note deviation in 3R design file","")</f>
        <v/>
      </c>
      <c r="K41" s="207"/>
      <c r="L41" s="182"/>
      <c r="M41" s="209">
        <f>SUM(K26:K39)</f>
        <v>0</v>
      </c>
      <c r="N41" s="302" t="s">
        <v>294</v>
      </c>
      <c r="O41" s="218"/>
      <c r="P41" s="164"/>
    </row>
    <row r="42" spans="2:16" ht="12.95" customHeight="1" x14ac:dyDescent="0.2">
      <c r="B42" s="148"/>
      <c r="C42" s="187"/>
      <c r="D42" s="188"/>
      <c r="E42" s="741" t="str">
        <f>IF(AND(F10&lt;&gt;"",SUM(D26:D39,J26:J39)&lt;&gt;0),"You have input a Gravel Roadbed Width. 
Alignment points aren't available for Gravel Roads.","")</f>
        <v/>
      </c>
      <c r="F42" s="741"/>
      <c r="G42" s="741"/>
      <c r="H42" s="741"/>
      <c r="I42" s="741"/>
      <c r="J42" s="741"/>
      <c r="K42" s="741"/>
      <c r="L42" s="188"/>
      <c r="M42" s="188"/>
      <c r="N42" s="302" t="s">
        <v>325</v>
      </c>
      <c r="O42" s="218"/>
      <c r="P42" s="164"/>
    </row>
    <row r="43" spans="2:16" ht="12.95" customHeight="1" thickBot="1" x14ac:dyDescent="0.25">
      <c r="B43" s="148"/>
      <c r="C43" s="210"/>
      <c r="D43" s="211"/>
      <c r="E43" s="742"/>
      <c r="F43" s="742"/>
      <c r="G43" s="742"/>
      <c r="H43" s="742"/>
      <c r="I43" s="742"/>
      <c r="J43" s="742"/>
      <c r="K43" s="742"/>
      <c r="L43" s="212"/>
      <c r="M43" s="212"/>
      <c r="N43" s="213"/>
      <c r="O43" s="218"/>
      <c r="P43" s="164"/>
    </row>
    <row r="44" spans="2:16" ht="12.95" customHeight="1" x14ac:dyDescent="0.2">
      <c r="B44" s="148"/>
      <c r="C44" s="164"/>
      <c r="D44" s="168"/>
      <c r="E44" s="169"/>
      <c r="F44" s="169"/>
      <c r="G44" s="169"/>
      <c r="H44" s="169"/>
      <c r="I44" s="169"/>
      <c r="J44" s="169"/>
      <c r="K44" s="169"/>
      <c r="L44" s="164"/>
      <c r="M44" s="164"/>
      <c r="N44" s="164"/>
      <c r="O44" s="218"/>
      <c r="P44" s="164"/>
    </row>
    <row r="49" spans="1:27" ht="12.95" customHeight="1" thickBot="1" x14ac:dyDescent="0.25">
      <c r="A49" s="751"/>
    </row>
    <row r="50" spans="1:27" ht="12.95" customHeight="1" thickTop="1" x14ac:dyDescent="0.2">
      <c r="A50" s="751"/>
      <c r="B50" s="444" t="s">
        <v>357</v>
      </c>
      <c r="C50" s="445"/>
      <c r="D50" s="445"/>
      <c r="E50" s="445"/>
      <c r="F50" s="446"/>
      <c r="G50" s="446"/>
      <c r="H50" s="446"/>
      <c r="I50" s="447"/>
      <c r="J50" s="446"/>
      <c r="K50" s="446"/>
      <c r="L50" s="446"/>
      <c r="M50" s="446"/>
      <c r="N50" s="448" t="s">
        <v>378</v>
      </c>
      <c r="O50" s="449"/>
      <c r="P50" s="449"/>
      <c r="Q50" s="449"/>
      <c r="R50" s="450"/>
      <c r="S50" s="450"/>
      <c r="T50" s="450"/>
      <c r="U50" s="450"/>
      <c r="V50" s="450"/>
      <c r="W50" s="450"/>
      <c r="X50" s="450"/>
      <c r="Y50" s="451"/>
      <c r="Z50" s="446"/>
      <c r="AA50" s="452"/>
    </row>
    <row r="51" spans="1:27" ht="12.95" customHeight="1" x14ac:dyDescent="0.2">
      <c r="A51" s="751"/>
      <c r="B51" s="453"/>
      <c r="C51" s="342"/>
      <c r="D51" s="342"/>
      <c r="E51" s="342"/>
      <c r="F51" s="342"/>
      <c r="G51" s="354" t="s">
        <v>237</v>
      </c>
      <c r="H51" s="342"/>
      <c r="I51" s="342"/>
      <c r="J51" s="342"/>
      <c r="K51" s="342"/>
      <c r="L51" s="342"/>
      <c r="M51" s="342"/>
      <c r="N51" s="454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455"/>
      <c r="Z51" s="342"/>
      <c r="AA51" s="456"/>
    </row>
    <row r="52" spans="1:27" ht="12.95" customHeight="1" x14ac:dyDescent="0.2">
      <c r="A52" s="751"/>
      <c r="B52" s="453"/>
      <c r="C52" s="342"/>
      <c r="D52" s="342"/>
      <c r="E52" s="342"/>
      <c r="F52" s="457"/>
      <c r="G52" s="348" t="s">
        <v>238</v>
      </c>
      <c r="H52" s="347" t="s">
        <v>57</v>
      </c>
      <c r="I52" s="342"/>
      <c r="J52" s="342"/>
      <c r="K52" s="342"/>
      <c r="L52" s="342"/>
      <c r="M52" s="342"/>
      <c r="N52" s="458" t="s">
        <v>4</v>
      </c>
      <c r="O52" s="342" t="s">
        <v>55</v>
      </c>
      <c r="P52" s="342"/>
      <c r="Q52" s="342"/>
      <c r="R52" s="342"/>
      <c r="S52" s="342"/>
      <c r="T52" s="342"/>
      <c r="U52" s="342"/>
      <c r="V52" s="342"/>
      <c r="W52" s="342"/>
      <c r="X52" s="344"/>
      <c r="Y52" s="459"/>
      <c r="Z52" s="342"/>
      <c r="AA52" s="456"/>
    </row>
    <row r="53" spans="1:27" ht="12.95" customHeight="1" x14ac:dyDescent="0.2">
      <c r="A53" s="751"/>
      <c r="B53" s="453"/>
      <c r="C53" s="342"/>
      <c r="D53" s="342"/>
      <c r="E53" s="342"/>
      <c r="F53" s="342"/>
      <c r="G53" s="342"/>
      <c r="H53" s="342"/>
      <c r="I53" s="342"/>
      <c r="J53" s="357"/>
      <c r="K53" s="457"/>
      <c r="L53" s="342"/>
      <c r="M53" s="342"/>
      <c r="N53" s="458">
        <f>N55</f>
        <v>0</v>
      </c>
      <c r="O53" s="342" t="s">
        <v>127</v>
      </c>
      <c r="P53" s="342"/>
      <c r="Q53" s="342"/>
      <c r="R53" s="342"/>
      <c r="S53" s="342"/>
      <c r="T53" s="342"/>
      <c r="U53" s="342"/>
      <c r="V53" s="342"/>
      <c r="W53" s="342"/>
      <c r="X53" s="344"/>
      <c r="Y53" s="459"/>
      <c r="Z53" s="342"/>
      <c r="AA53" s="456"/>
    </row>
    <row r="54" spans="1:27" ht="12.95" customHeight="1" x14ac:dyDescent="0.2">
      <c r="A54" s="751"/>
      <c r="B54" s="453"/>
      <c r="C54" s="350">
        <f>'Traffic &amp; Accidents'!C9</f>
        <v>0</v>
      </c>
      <c r="D54" s="460" t="s">
        <v>239</v>
      </c>
      <c r="E54" s="342"/>
      <c r="F54" s="342"/>
      <c r="G54" s="344">
        <f>IF((C58-C56)*2&gt;15,15,(C58-C56)*2)</f>
        <v>0</v>
      </c>
      <c r="H54" s="344">
        <f>IF(G54&lt;0,0,G54)</f>
        <v>0</v>
      </c>
      <c r="I54" s="460" t="s">
        <v>240</v>
      </c>
      <c r="J54" s="342"/>
      <c r="K54" s="342"/>
      <c r="L54" s="342"/>
      <c r="M54" s="342"/>
      <c r="N54" s="458"/>
      <c r="O54" s="342"/>
      <c r="P54" s="342"/>
      <c r="Q54" s="342"/>
      <c r="R54" s="342"/>
      <c r="S54" s="342"/>
      <c r="T54" s="342"/>
      <c r="U54" s="342"/>
      <c r="V54" s="342"/>
      <c r="W54" s="342"/>
      <c r="X54" s="344"/>
      <c r="Y54" s="459"/>
      <c r="Z54" s="342"/>
      <c r="AA54" s="456"/>
    </row>
    <row r="55" spans="1:27" ht="12.95" customHeight="1" x14ac:dyDescent="0.2">
      <c r="A55" s="751"/>
      <c r="B55" s="453"/>
      <c r="C55" s="342"/>
      <c r="D55" s="342"/>
      <c r="E55" s="342"/>
      <c r="F55" s="342"/>
      <c r="G55" s="344"/>
      <c r="H55" s="344"/>
      <c r="I55" s="342"/>
      <c r="J55" s="342"/>
      <c r="K55" s="342"/>
      <c r="L55" s="342"/>
      <c r="M55" s="342"/>
      <c r="N55" s="458">
        <f>IF(AND(C56&lt;&gt;0,'Traffic &amp; Accidents'!F22&lt;400),P55,N56)</f>
        <v>0</v>
      </c>
      <c r="O55" s="344" t="s">
        <v>128</v>
      </c>
      <c r="P55" s="344">
        <f>IF(C56&gt;=28,1,Q55)</f>
        <v>10</v>
      </c>
      <c r="Q55" s="344">
        <f>IF(C56&gt;=27.5,2,R55)</f>
        <v>10</v>
      </c>
      <c r="R55" s="344">
        <f>IF(C56&gt;=27,3,S55)</f>
        <v>10</v>
      </c>
      <c r="S55" s="344">
        <f>IF(C56&gt;=26.5,4,T55)</f>
        <v>10</v>
      </c>
      <c r="T55" s="344">
        <f>IF(C56&gt;=26,5,U55)</f>
        <v>10</v>
      </c>
      <c r="U55" s="344">
        <f>IF(C56&gt;=25.5,6,V55)</f>
        <v>10</v>
      </c>
      <c r="V55" s="344">
        <f>IF(C56&gt;=25,7,W55)</f>
        <v>10</v>
      </c>
      <c r="W55" s="344">
        <f>IF(C56&gt;=24.5,8,X55)</f>
        <v>10</v>
      </c>
      <c r="X55" s="344">
        <f>IF(C56&gt;=24,9,Y55)</f>
        <v>10</v>
      </c>
      <c r="Y55" s="459">
        <f>IF(C56&lt;24,10,0)</f>
        <v>10</v>
      </c>
      <c r="Z55" s="342"/>
      <c r="AA55" s="456"/>
    </row>
    <row r="56" spans="1:27" ht="12.95" customHeight="1" x14ac:dyDescent="0.2">
      <c r="A56" s="751"/>
      <c r="B56" s="453"/>
      <c r="C56" s="350">
        <f>Geometry!H9</f>
        <v>0</v>
      </c>
      <c r="D56" s="460" t="s">
        <v>241</v>
      </c>
      <c r="E56" s="342"/>
      <c r="F56" s="342"/>
      <c r="G56" s="344">
        <f>IF(C58-C56&gt;15,15,C58-C56)</f>
        <v>0</v>
      </c>
      <c r="H56" s="344"/>
      <c r="I56" s="342"/>
      <c r="J56" s="342"/>
      <c r="K56" s="342"/>
      <c r="L56" s="342"/>
      <c r="M56" s="342"/>
      <c r="N56" s="458">
        <f>IF(AND(C56&lt;&gt;0,'Traffic &amp; Accidents'!F22&lt;=2000),P56,N57)</f>
        <v>0</v>
      </c>
      <c r="O56" s="342" t="s">
        <v>122</v>
      </c>
      <c r="P56" s="344">
        <f>IF(C56&gt;=34,1,Q56)</f>
        <v>10</v>
      </c>
      <c r="Q56" s="344">
        <f>IF(C56&gt;=33.5,2,R56)</f>
        <v>10</v>
      </c>
      <c r="R56" s="344">
        <f>IF(C56&gt;=33,3,S56)</f>
        <v>10</v>
      </c>
      <c r="S56" s="344">
        <f>IF(C56&gt;=32.5,4,T56)</f>
        <v>10</v>
      </c>
      <c r="T56" s="344">
        <f>IF(C56&gt;=32,5,U56)</f>
        <v>10</v>
      </c>
      <c r="U56" s="344">
        <f>IF(C56&gt;=31.5,6,V56)</f>
        <v>10</v>
      </c>
      <c r="V56" s="344">
        <f>IF(C56&gt;=31,7,W56)</f>
        <v>10</v>
      </c>
      <c r="W56" s="344">
        <f>IF(C56&gt;=30.5,8,X56)</f>
        <v>10</v>
      </c>
      <c r="X56" s="344">
        <f>IF(C56&gt;=30,9,Y56)</f>
        <v>10</v>
      </c>
      <c r="Y56" s="459">
        <f>IF(C56&lt;30,10,0)</f>
        <v>10</v>
      </c>
      <c r="Z56" s="342"/>
      <c r="AA56" s="456"/>
    </row>
    <row r="57" spans="1:27" ht="12.95" customHeight="1" x14ac:dyDescent="0.2">
      <c r="A57" s="751"/>
      <c r="B57" s="453"/>
      <c r="C57" s="342"/>
      <c r="D57" s="342"/>
      <c r="E57" s="342"/>
      <c r="F57" s="342"/>
      <c r="G57" s="344"/>
      <c r="H57" s="344"/>
      <c r="I57" s="460"/>
      <c r="J57" s="342"/>
      <c r="K57" s="342"/>
      <c r="L57" s="342"/>
      <c r="M57" s="342"/>
      <c r="N57" s="458">
        <f>IF(AND(C56&lt;&gt;0,'Traffic &amp; Accidents'!F22&gt;2000),P57,0)</f>
        <v>0</v>
      </c>
      <c r="O57" s="344" t="s">
        <v>129</v>
      </c>
      <c r="P57" s="344">
        <f>IF(C56&gt;=40,1,Q57)</f>
        <v>10</v>
      </c>
      <c r="Q57" s="344">
        <f>IF(C56&gt;=39.5,2,R57)</f>
        <v>10</v>
      </c>
      <c r="R57" s="344">
        <f>IF(C56&gt;=39,3,S57)</f>
        <v>10</v>
      </c>
      <c r="S57" s="344">
        <f>IF(C56&gt;=38.5,4,T57)</f>
        <v>10</v>
      </c>
      <c r="T57" s="344">
        <f>IF(C56&gt;=38,5,U57)</f>
        <v>10</v>
      </c>
      <c r="U57" s="344">
        <f>IF(C56&gt;=37.5,6,V57)</f>
        <v>10</v>
      </c>
      <c r="V57" s="344">
        <f>IF(C56&gt;=37,7,W57)</f>
        <v>10</v>
      </c>
      <c r="W57" s="344">
        <f>IF(C56&gt;=36.5,8,X57)</f>
        <v>10</v>
      </c>
      <c r="X57" s="344">
        <f>IF(C56&gt;=36,9,Y57)</f>
        <v>10</v>
      </c>
      <c r="Y57" s="459">
        <f>IF(C56&lt;36,10,0)</f>
        <v>10</v>
      </c>
      <c r="Z57" s="342"/>
      <c r="AA57" s="456"/>
    </row>
    <row r="58" spans="1:27" ht="12.95" customHeight="1" thickBot="1" x14ac:dyDescent="0.25">
      <c r="A58" s="751"/>
      <c r="B58" s="453"/>
      <c r="C58" s="350">
        <f>IF(Geometry!H10&gt;Geometry!C62,Geometry!C62,Geometry!H10)</f>
        <v>0</v>
      </c>
      <c r="D58" s="460" t="s">
        <v>242</v>
      </c>
      <c r="E58" s="342"/>
      <c r="F58" s="342"/>
      <c r="G58" s="342"/>
      <c r="H58" s="342"/>
      <c r="I58" s="342"/>
      <c r="J58" s="342"/>
      <c r="K58" s="342"/>
      <c r="L58" s="342"/>
      <c r="M58" s="342"/>
      <c r="N58" s="461"/>
      <c r="O58" s="462"/>
      <c r="P58" s="462"/>
      <c r="Q58" s="462"/>
      <c r="R58" s="462"/>
      <c r="S58" s="462"/>
      <c r="T58" s="462"/>
      <c r="U58" s="462"/>
      <c r="V58" s="462"/>
      <c r="W58" s="462"/>
      <c r="X58" s="463"/>
      <c r="Y58" s="464"/>
      <c r="Z58" s="342"/>
      <c r="AA58" s="456"/>
    </row>
    <row r="59" spans="1:27" ht="12.95" customHeight="1" thickBot="1" x14ac:dyDescent="0.25">
      <c r="A59" s="751"/>
      <c r="B59" s="453"/>
      <c r="C59" s="342"/>
      <c r="D59" s="342"/>
      <c r="E59" s="342"/>
      <c r="F59" s="342"/>
      <c r="G59" s="342"/>
      <c r="H59" s="342"/>
      <c r="I59" s="342"/>
      <c r="J59" s="342"/>
      <c r="K59" s="342"/>
      <c r="L59" s="342"/>
      <c r="M59" s="342"/>
      <c r="N59" s="342"/>
      <c r="O59" s="342"/>
      <c r="P59" s="342"/>
      <c r="Q59" s="342"/>
      <c r="R59" s="342"/>
      <c r="S59" s="342"/>
      <c r="T59" s="342"/>
      <c r="U59" s="342"/>
      <c r="V59" s="342"/>
      <c r="W59" s="342"/>
      <c r="X59" s="342"/>
      <c r="Y59" s="342"/>
      <c r="Z59" s="342"/>
      <c r="AA59" s="456"/>
    </row>
    <row r="60" spans="1:27" ht="12.95" customHeight="1" x14ac:dyDescent="0.2">
      <c r="A60" s="751"/>
      <c r="B60" s="453"/>
      <c r="C60" s="460" t="s">
        <v>243</v>
      </c>
      <c r="D60" s="342"/>
      <c r="E60" s="342"/>
      <c r="F60" s="342"/>
      <c r="G60" s="342"/>
      <c r="H60" s="342"/>
      <c r="I60" s="342"/>
      <c r="J60" s="342"/>
      <c r="K60" s="342"/>
      <c r="L60" s="342"/>
      <c r="M60" s="342"/>
      <c r="N60" s="448" t="s">
        <v>379</v>
      </c>
      <c r="O60" s="449"/>
      <c r="P60" s="449"/>
      <c r="Q60" s="449"/>
      <c r="R60" s="449"/>
      <c r="S60" s="450"/>
      <c r="T60" s="450"/>
      <c r="U60" s="450"/>
      <c r="V60" s="450"/>
      <c r="W60" s="450"/>
      <c r="X60" s="450"/>
      <c r="Y60" s="450"/>
      <c r="Z60" s="451"/>
      <c r="AA60" s="456"/>
    </row>
    <row r="61" spans="1:27" ht="12.95" customHeight="1" x14ac:dyDescent="0.2">
      <c r="A61" s="751"/>
      <c r="B61" s="453"/>
      <c r="C61" s="342"/>
      <c r="D61" s="342"/>
      <c r="E61" s="342"/>
      <c r="F61" s="342"/>
      <c r="G61" s="342"/>
      <c r="H61" s="342"/>
      <c r="I61" s="342"/>
      <c r="J61" s="342"/>
      <c r="K61" s="342"/>
      <c r="L61" s="342"/>
      <c r="M61" s="342"/>
      <c r="N61" s="454"/>
      <c r="O61" s="342"/>
      <c r="P61" s="342"/>
      <c r="Q61" s="342"/>
      <c r="R61" s="342"/>
      <c r="S61" s="342"/>
      <c r="T61" s="342"/>
      <c r="U61" s="342"/>
      <c r="V61" s="342"/>
      <c r="W61" s="342"/>
      <c r="X61" s="342"/>
      <c r="Y61" s="342"/>
      <c r="Z61" s="455"/>
      <c r="AA61" s="456"/>
    </row>
    <row r="62" spans="1:27" ht="12.95" customHeight="1" x14ac:dyDescent="0.2">
      <c r="A62" s="751"/>
      <c r="B62" s="453"/>
      <c r="C62" s="350">
        <f>F67</f>
        <v>30</v>
      </c>
      <c r="D62" s="460" t="s">
        <v>244</v>
      </c>
      <c r="E62" s="342"/>
      <c r="F62" s="342"/>
      <c r="G62" s="342"/>
      <c r="H62" s="342"/>
      <c r="I62" s="342"/>
      <c r="J62" s="342"/>
      <c r="K62" s="342"/>
      <c r="L62" s="342"/>
      <c r="M62" s="342"/>
      <c r="N62" s="458" t="s">
        <v>4</v>
      </c>
      <c r="O62" s="342" t="s">
        <v>55</v>
      </c>
      <c r="P62" s="342"/>
      <c r="Q62" s="342"/>
      <c r="R62" s="342"/>
      <c r="S62" s="342"/>
      <c r="T62" s="342"/>
      <c r="U62" s="342"/>
      <c r="V62" s="342"/>
      <c r="W62" s="342"/>
      <c r="X62" s="344"/>
      <c r="Y62" s="344"/>
      <c r="Z62" s="455"/>
      <c r="AA62" s="456"/>
    </row>
    <row r="63" spans="1:27" ht="12.95" customHeight="1" x14ac:dyDescent="0.2">
      <c r="A63" s="751"/>
      <c r="B63" s="453"/>
      <c r="C63" s="342"/>
      <c r="D63" s="342"/>
      <c r="E63" s="342"/>
      <c r="F63" s="342"/>
      <c r="G63" s="342"/>
      <c r="H63" s="342"/>
      <c r="I63" s="342"/>
      <c r="J63" s="342"/>
      <c r="K63" s="342"/>
      <c r="L63" s="342"/>
      <c r="M63" s="342"/>
      <c r="N63" s="674">
        <f>N65</f>
        <v>0</v>
      </c>
      <c r="O63" s="675" t="s">
        <v>127</v>
      </c>
      <c r="P63" s="675"/>
      <c r="Q63" s="675"/>
      <c r="R63" s="675"/>
      <c r="S63" s="675"/>
      <c r="T63" s="675"/>
      <c r="U63" s="675"/>
      <c r="V63" s="675"/>
      <c r="W63" s="675"/>
      <c r="X63" s="676"/>
      <c r="Y63" s="676"/>
      <c r="Z63" s="677"/>
      <c r="AA63" s="456"/>
    </row>
    <row r="64" spans="1:27" ht="12.95" customHeight="1" thickBot="1" x14ac:dyDescent="0.25">
      <c r="A64" s="751"/>
      <c r="B64" s="453"/>
      <c r="C64" s="342"/>
      <c r="D64" s="342"/>
      <c r="E64" s="342"/>
      <c r="F64" s="342"/>
      <c r="G64" s="342"/>
      <c r="H64" s="342"/>
      <c r="I64" s="342"/>
      <c r="J64" s="342"/>
      <c r="K64" s="342"/>
      <c r="L64" s="342"/>
      <c r="M64" s="342"/>
      <c r="N64" s="674"/>
      <c r="O64" s="675"/>
      <c r="P64" s="675"/>
      <c r="Q64" s="675"/>
      <c r="R64" s="675"/>
      <c r="S64" s="675"/>
      <c r="T64" s="675"/>
      <c r="U64" s="675"/>
      <c r="V64" s="675"/>
      <c r="W64" s="675"/>
      <c r="X64" s="676"/>
      <c r="Y64" s="676"/>
      <c r="Z64" s="677"/>
      <c r="AA64" s="456"/>
    </row>
    <row r="65" spans="1:27" ht="12.95" customHeight="1" thickBot="1" x14ac:dyDescent="0.25">
      <c r="A65" s="751"/>
      <c r="B65" s="453"/>
      <c r="C65" s="342"/>
      <c r="D65" s="342"/>
      <c r="E65" s="342"/>
      <c r="F65" s="342"/>
      <c r="G65" s="342"/>
      <c r="H65" s="342"/>
      <c r="I65" s="342"/>
      <c r="J65" s="342"/>
      <c r="K65" s="342"/>
      <c r="L65" s="342"/>
      <c r="M65" s="342"/>
      <c r="N65" s="683">
        <f>IF(AND(H50&lt;&gt;0,'Traffic &amp; Accidents'!F22&lt;400),P65,N66)</f>
        <v>0</v>
      </c>
      <c r="O65" s="676" t="s">
        <v>128</v>
      </c>
      <c r="P65" s="676">
        <f>IF(H50&gt;=28,5,Q65)</f>
        <v>15</v>
      </c>
      <c r="Q65" s="676">
        <f>IF(H50&gt;=27.6,6,R65)</f>
        <v>15</v>
      </c>
      <c r="R65" s="676">
        <f>IF(H50&gt;=27.2,7,S65)</f>
        <v>15</v>
      </c>
      <c r="S65" s="676">
        <f>IF(H50&gt;=26.8,8,T65)</f>
        <v>15</v>
      </c>
      <c r="T65" s="676">
        <f>IF(H50&gt;=26.4,9,U65)</f>
        <v>15</v>
      </c>
      <c r="U65" s="676">
        <f>IF(H50&gt;=26,10,V65)</f>
        <v>15</v>
      </c>
      <c r="V65" s="676">
        <f>IF(H50&gt;=25.6,11,W65)</f>
        <v>15</v>
      </c>
      <c r="W65" s="676">
        <f>IF(H50&gt;=25.2,12,X65)</f>
        <v>15</v>
      </c>
      <c r="X65" s="676">
        <f>IF(H50&gt;=24.8,13,Y65)</f>
        <v>15</v>
      </c>
      <c r="Y65" s="676">
        <f>IF(H50&gt;=24.4,14,Z65)</f>
        <v>15</v>
      </c>
      <c r="Z65" s="678">
        <f>IF(H50&lt;24.4,15,0)</f>
        <v>15</v>
      </c>
      <c r="AA65" s="456"/>
    </row>
    <row r="66" spans="1:27" ht="12.95" customHeight="1" x14ac:dyDescent="0.2">
      <c r="A66" s="751"/>
      <c r="B66" s="453"/>
      <c r="C66" s="465"/>
      <c r="D66" s="465"/>
      <c r="E66" s="465"/>
      <c r="F66" s="465"/>
      <c r="G66" s="465"/>
      <c r="H66" s="465"/>
      <c r="I66" s="465"/>
      <c r="J66" s="465"/>
      <c r="K66" s="465"/>
      <c r="L66" s="465"/>
      <c r="M66" s="342"/>
      <c r="N66" s="674">
        <f>IF(AND(H50&lt;&gt;0,'Traffic &amp; Accidents'!F22&lt;=2000),P66,N67)</f>
        <v>0</v>
      </c>
      <c r="O66" s="675" t="s">
        <v>122</v>
      </c>
      <c r="P66" s="676">
        <f>IF(H50&gt;=34,5,Q66)</f>
        <v>15</v>
      </c>
      <c r="Q66" s="676">
        <f>IF(H50&gt;=33.6,6,R66)</f>
        <v>15</v>
      </c>
      <c r="R66" s="676">
        <f>IF(H50&gt;=33.2,7,S66)</f>
        <v>15</v>
      </c>
      <c r="S66" s="676">
        <f>IF(H50&gt;=32.8,8,T66)</f>
        <v>15</v>
      </c>
      <c r="T66" s="676">
        <f>IF(H50&gt;=32.4,9,U66)</f>
        <v>15</v>
      </c>
      <c r="U66" s="676">
        <f>IF(H50&gt;=32,10,V66)</f>
        <v>15</v>
      </c>
      <c r="V66" s="676">
        <f>IF(H50&gt;=31.6,11,W66)</f>
        <v>15</v>
      </c>
      <c r="W66" s="676">
        <f>IF(H50&gt;=31.2,12,X66)</f>
        <v>15</v>
      </c>
      <c r="X66" s="676">
        <f>IF(H50&gt;=30.8,13,Y66)</f>
        <v>15</v>
      </c>
      <c r="Y66" s="676">
        <f>IF(H50&gt;=30.4,14,Z66)</f>
        <v>15</v>
      </c>
      <c r="Z66" s="678">
        <f>IF(H50&lt;30.4,15,0)</f>
        <v>15</v>
      </c>
      <c r="AA66" s="456"/>
    </row>
    <row r="67" spans="1:27" ht="12.95" customHeight="1" x14ac:dyDescent="0.2">
      <c r="A67" s="751"/>
      <c r="B67" s="453"/>
      <c r="C67" s="465"/>
      <c r="D67" s="349"/>
      <c r="E67" s="465"/>
      <c r="F67" s="466">
        <f>IF(OR(C54=7,C54=8),C73,H73)</f>
        <v>30</v>
      </c>
      <c r="G67" s="465" t="s">
        <v>358</v>
      </c>
      <c r="H67" s="342"/>
      <c r="I67" s="342"/>
      <c r="J67" s="465"/>
      <c r="K67" s="465"/>
      <c r="L67" s="465"/>
      <c r="M67" s="342"/>
      <c r="N67" s="674">
        <f>IF(AND(H50&lt;&gt;0,'Traffic &amp; Accidents'!F22&gt;2000),P67,0)</f>
        <v>0</v>
      </c>
      <c r="O67" s="676" t="s">
        <v>129</v>
      </c>
      <c r="P67" s="676">
        <f>IF(H50&gt;=40,5,Q67)</f>
        <v>15</v>
      </c>
      <c r="Q67" s="676">
        <f>IF(H50&gt;=39.6,6,R67)</f>
        <v>15</v>
      </c>
      <c r="R67" s="676">
        <f>IF(H50&gt;=39.2,7,S67)</f>
        <v>15</v>
      </c>
      <c r="S67" s="676">
        <f>IF(H50&gt;=38.8,8,T67)</f>
        <v>15</v>
      </c>
      <c r="T67" s="676">
        <f>IF(H50&gt;=38.4,9,U67)</f>
        <v>15</v>
      </c>
      <c r="U67" s="676">
        <f>IF(H50&gt;=38,10,V67)</f>
        <v>15</v>
      </c>
      <c r="V67" s="676">
        <f>IF(H50&gt;=37.6,11,W67)</f>
        <v>15</v>
      </c>
      <c r="W67" s="676">
        <f>IF(H50&gt;=37.2,12,X67)</f>
        <v>15</v>
      </c>
      <c r="X67" s="676">
        <f>IF(H50&gt;=36.8,13,Y67)</f>
        <v>15</v>
      </c>
      <c r="Y67" s="676">
        <f>IF(H50&gt;=36.4,14,Z67)</f>
        <v>15</v>
      </c>
      <c r="Z67" s="678">
        <f>IF(H50&lt;36.4,15,0)</f>
        <v>15</v>
      </c>
      <c r="AA67" s="456"/>
    </row>
    <row r="68" spans="1:27" ht="12.95" customHeight="1" thickBot="1" x14ac:dyDescent="0.25">
      <c r="A68" s="751"/>
      <c r="B68" s="467"/>
      <c r="C68" s="468"/>
      <c r="D68" s="349"/>
      <c r="E68" s="465"/>
      <c r="F68" s="465"/>
      <c r="G68" s="465"/>
      <c r="H68" s="465"/>
      <c r="I68" s="465"/>
      <c r="J68" s="465"/>
      <c r="K68" s="465"/>
      <c r="L68" s="465"/>
      <c r="M68" s="342"/>
      <c r="N68" s="679"/>
      <c r="O68" s="680"/>
      <c r="P68" s="680"/>
      <c r="Q68" s="680"/>
      <c r="R68" s="680"/>
      <c r="S68" s="680"/>
      <c r="T68" s="680"/>
      <c r="U68" s="680"/>
      <c r="V68" s="680"/>
      <c r="W68" s="680"/>
      <c r="X68" s="681"/>
      <c r="Y68" s="681"/>
      <c r="Z68" s="682"/>
      <c r="AA68" s="456"/>
    </row>
    <row r="69" spans="1:27" ht="12.95" customHeight="1" x14ac:dyDescent="0.2">
      <c r="A69" s="751"/>
      <c r="B69" s="453"/>
      <c r="C69" s="342"/>
      <c r="D69" s="342"/>
      <c r="E69" s="342"/>
      <c r="F69" s="342"/>
      <c r="G69" s="342"/>
      <c r="H69" s="342"/>
      <c r="I69" s="342"/>
      <c r="J69" s="342"/>
      <c r="K69" s="342"/>
      <c r="L69" s="342"/>
      <c r="M69" s="342"/>
      <c r="N69" s="342"/>
      <c r="O69" s="342"/>
      <c r="P69" s="342"/>
      <c r="Q69" s="342"/>
      <c r="R69" s="342"/>
      <c r="S69" s="342"/>
      <c r="T69" s="342"/>
      <c r="U69" s="342"/>
      <c r="V69" s="342"/>
      <c r="W69" s="342"/>
      <c r="X69" s="342"/>
      <c r="Y69" s="342"/>
      <c r="Z69" s="342"/>
      <c r="AA69" s="456"/>
    </row>
    <row r="70" spans="1:27" ht="12.95" customHeight="1" x14ac:dyDescent="0.2">
      <c r="A70" s="751"/>
      <c r="B70" s="453"/>
      <c r="C70" s="752" t="s">
        <v>245</v>
      </c>
      <c r="D70" s="752"/>
      <c r="E70" s="752"/>
      <c r="F70" s="752"/>
      <c r="G70" s="465"/>
      <c r="H70" s="752" t="s">
        <v>246</v>
      </c>
      <c r="I70" s="752"/>
      <c r="J70" s="752"/>
      <c r="K70" s="469"/>
      <c r="L70" s="465"/>
      <c r="M70" s="342"/>
      <c r="N70" s="342"/>
      <c r="O70" s="342"/>
      <c r="P70" s="470"/>
      <c r="Q70" s="471" t="s">
        <v>55</v>
      </c>
      <c r="R70" s="472"/>
      <c r="S70" s="473"/>
      <c r="T70" s="342"/>
      <c r="U70" s="474"/>
      <c r="V70" s="471" t="s">
        <v>55</v>
      </c>
      <c r="W70" s="472"/>
      <c r="X70" s="473"/>
      <c r="Y70" s="342"/>
      <c r="Z70" s="342"/>
      <c r="AA70" s="456"/>
    </row>
    <row r="71" spans="1:27" ht="12.95" customHeight="1" x14ac:dyDescent="0.2">
      <c r="A71" s="751"/>
      <c r="B71" s="453"/>
      <c r="C71" s="468"/>
      <c r="D71" s="349"/>
      <c r="E71" s="465"/>
      <c r="F71" s="465"/>
      <c r="G71" s="465"/>
      <c r="H71" s="465"/>
      <c r="I71" s="465"/>
      <c r="J71" s="465"/>
      <c r="K71" s="465"/>
      <c r="L71" s="465"/>
      <c r="M71" s="342"/>
      <c r="N71" s="342"/>
      <c r="O71" s="342"/>
      <c r="P71" s="475" t="s">
        <v>121</v>
      </c>
      <c r="Q71" s="348" t="s">
        <v>122</v>
      </c>
      <c r="R71" s="348" t="s">
        <v>123</v>
      </c>
      <c r="S71" s="476" t="s">
        <v>57</v>
      </c>
      <c r="T71" s="342"/>
      <c r="U71" s="475" t="s">
        <v>121</v>
      </c>
      <c r="V71" s="348" t="s">
        <v>122</v>
      </c>
      <c r="W71" s="348" t="s">
        <v>123</v>
      </c>
      <c r="X71" s="476" t="s">
        <v>57</v>
      </c>
      <c r="Y71" s="342"/>
      <c r="Z71" s="342"/>
      <c r="AA71" s="456"/>
    </row>
    <row r="72" spans="1:27" ht="12.95" customHeight="1" x14ac:dyDescent="0.2">
      <c r="A72" s="751"/>
      <c r="B72" s="453"/>
      <c r="C72" s="477" t="s">
        <v>121</v>
      </c>
      <c r="D72" s="477" t="s">
        <v>247</v>
      </c>
      <c r="E72" s="477" t="s">
        <v>248</v>
      </c>
      <c r="F72" s="477" t="s">
        <v>123</v>
      </c>
      <c r="G72" s="465"/>
      <c r="H72" s="477" t="s">
        <v>249</v>
      </c>
      <c r="I72" s="477" t="s">
        <v>250</v>
      </c>
      <c r="J72" s="477" t="s">
        <v>123</v>
      </c>
      <c r="K72" s="465"/>
      <c r="L72" s="465"/>
      <c r="M72" s="342"/>
      <c r="N72" s="342"/>
      <c r="O72" s="342"/>
      <c r="P72" s="475"/>
      <c r="Q72" s="348"/>
      <c r="R72" s="348"/>
      <c r="S72" s="476"/>
      <c r="T72" s="342"/>
      <c r="U72" s="478"/>
      <c r="V72" s="344"/>
      <c r="W72" s="344"/>
      <c r="X72" s="479"/>
      <c r="Y72" s="342"/>
      <c r="Z72" s="342"/>
      <c r="AA72" s="456"/>
    </row>
    <row r="73" spans="1:27" ht="12.95" customHeight="1" x14ac:dyDescent="0.2">
      <c r="A73" s="751"/>
      <c r="B73" s="453"/>
      <c r="C73" s="480">
        <f>IF(AND(Geometry!Q106&lt;=50,'Traffic &amp; Accidents'!F22&lt;400),24,C74)</f>
        <v>24</v>
      </c>
      <c r="D73" s="349">
        <f>IF(AND(Geometry!Q106&lt;=30,'Traffic &amp; Accidents'!F22&lt;1501),30,D74)</f>
        <v>30</v>
      </c>
      <c r="E73" s="349">
        <f>IF(AND(Geometry!Q106&lt;=50,'Traffic &amp; Accidents'!F22&lt;=2000),34,E74)</f>
        <v>34</v>
      </c>
      <c r="F73" s="349">
        <f>IF('Traffic &amp; Accidents'!F22&gt;2000,40,0)</f>
        <v>0</v>
      </c>
      <c r="G73" s="465"/>
      <c r="H73" s="480">
        <f>IF(AND(Geometry!Q106&lt;60,'Traffic &amp; Accidents'!F22&lt;1501),30,H74)</f>
        <v>30</v>
      </c>
      <c r="I73" s="349">
        <f>IF(AND(Geometry!Q106&lt;50,'Traffic &amp; Accidents'!F22&lt;2001),34,I74)</f>
        <v>34</v>
      </c>
      <c r="J73" s="349">
        <f>IF('Traffic &amp; Accidents'!F22&gt;2000,40,0)</f>
        <v>0</v>
      </c>
      <c r="K73" s="465"/>
      <c r="L73" s="465"/>
      <c r="M73" s="342"/>
      <c r="N73" s="342"/>
      <c r="O73" s="342"/>
      <c r="P73" s="481" t="s">
        <v>124</v>
      </c>
      <c r="Q73" s="482" t="s">
        <v>125</v>
      </c>
      <c r="R73" s="482" t="s">
        <v>126</v>
      </c>
      <c r="S73" s="483">
        <v>1</v>
      </c>
      <c r="T73" s="342"/>
      <c r="U73" s="481" t="s">
        <v>124</v>
      </c>
      <c r="V73" s="482" t="s">
        <v>125</v>
      </c>
      <c r="W73" s="482" t="s">
        <v>126</v>
      </c>
      <c r="X73" s="484">
        <v>5</v>
      </c>
      <c r="Y73" s="342"/>
      <c r="Z73" s="342"/>
      <c r="AA73" s="456"/>
    </row>
    <row r="74" spans="1:27" ht="12.95" customHeight="1" x14ac:dyDescent="0.2">
      <c r="A74" s="751"/>
      <c r="B74" s="453"/>
      <c r="C74" s="349">
        <f>IF(AND(Geometry!Q106&gt;50,'Traffic &amp; Accidents'!F22&lt;400),26,D73)</f>
        <v>30</v>
      </c>
      <c r="D74" s="349">
        <f>IF(AND(Geometry!Q106&gt;=35,'Traffic &amp; Accidents'!F22&lt;1501),32,E73)</f>
        <v>34</v>
      </c>
      <c r="E74" s="349">
        <f>IF(AND(Geometry!Q106&gt;=55,'Traffic &amp; Accidents'!F22&lt;=2001),36,F73)</f>
        <v>0</v>
      </c>
      <c r="F74" s="468"/>
      <c r="G74" s="465"/>
      <c r="H74" s="349">
        <f>IF(AND(Geometry!Q106&gt;55,'Traffic &amp; Accidents'!F22&lt;1501),32,I73)</f>
        <v>34</v>
      </c>
      <c r="I74" s="349">
        <f>IF(AND(Geometry!Q106&gt;=50,'Traffic &amp; Accidents'!F22&lt;2001),36,J73)</f>
        <v>0</v>
      </c>
      <c r="J74" s="349"/>
      <c r="K74" s="465"/>
      <c r="L74" s="465"/>
      <c r="M74" s="342"/>
      <c r="N74" s="342"/>
      <c r="O74" s="342"/>
      <c r="P74" s="485">
        <v>27.5</v>
      </c>
      <c r="Q74" s="486">
        <v>33.5</v>
      </c>
      <c r="R74" s="486">
        <v>39.5</v>
      </c>
      <c r="S74" s="483">
        <v>2</v>
      </c>
      <c r="T74" s="342"/>
      <c r="U74" s="485">
        <v>27.6</v>
      </c>
      <c r="V74" s="486">
        <v>33.6</v>
      </c>
      <c r="W74" s="486">
        <v>39.6</v>
      </c>
      <c r="X74" s="484">
        <v>6</v>
      </c>
      <c r="Y74" s="342"/>
      <c r="Z74" s="342"/>
      <c r="AA74" s="456"/>
    </row>
    <row r="75" spans="1:27" ht="12.95" customHeight="1" x14ac:dyDescent="0.2">
      <c r="A75" s="751"/>
      <c r="B75" s="453"/>
      <c r="C75" s="349"/>
      <c r="D75" s="349"/>
      <c r="E75" s="349"/>
      <c r="F75" s="468"/>
      <c r="G75" s="465"/>
      <c r="H75" s="465"/>
      <c r="I75" s="349"/>
      <c r="J75" s="349"/>
      <c r="K75" s="349"/>
      <c r="L75" s="465"/>
      <c r="M75" s="342"/>
      <c r="N75" s="342"/>
      <c r="O75" s="342"/>
      <c r="P75" s="485">
        <v>27</v>
      </c>
      <c r="Q75" s="486">
        <v>33</v>
      </c>
      <c r="R75" s="486">
        <v>39</v>
      </c>
      <c r="S75" s="483">
        <v>3</v>
      </c>
      <c r="T75" s="342"/>
      <c r="U75" s="485">
        <v>27.2</v>
      </c>
      <c r="V75" s="486">
        <v>33.200000000000003</v>
      </c>
      <c r="W75" s="486">
        <v>39.200000000000003</v>
      </c>
      <c r="X75" s="484">
        <v>7</v>
      </c>
      <c r="Y75" s="342"/>
      <c r="Z75" s="342"/>
      <c r="AA75" s="456"/>
    </row>
    <row r="76" spans="1:27" ht="12.95" customHeight="1" x14ac:dyDescent="0.2">
      <c r="A76" s="751"/>
      <c r="B76" s="453"/>
      <c r="C76" s="342"/>
      <c r="D76" s="342"/>
      <c r="E76" s="342"/>
      <c r="F76" s="342"/>
      <c r="G76" s="342"/>
      <c r="H76" s="342"/>
      <c r="I76" s="342"/>
      <c r="J76" s="342"/>
      <c r="K76" s="342"/>
      <c r="L76" s="342"/>
      <c r="M76" s="342"/>
      <c r="N76" s="342"/>
      <c r="O76" s="342"/>
      <c r="P76" s="485">
        <v>26.5</v>
      </c>
      <c r="Q76" s="486">
        <v>32.5</v>
      </c>
      <c r="R76" s="486">
        <v>38.5</v>
      </c>
      <c r="S76" s="483">
        <v>4</v>
      </c>
      <c r="T76" s="342"/>
      <c r="U76" s="485">
        <v>26.8</v>
      </c>
      <c r="V76" s="486">
        <v>32.799999999999997</v>
      </c>
      <c r="W76" s="486">
        <v>38.799999999999997</v>
      </c>
      <c r="X76" s="484">
        <v>8</v>
      </c>
      <c r="Y76" s="342"/>
      <c r="Z76" s="342"/>
      <c r="AA76" s="456"/>
    </row>
    <row r="77" spans="1:27" ht="12.95" customHeight="1" x14ac:dyDescent="0.2">
      <c r="A77" s="751"/>
      <c r="B77" s="453"/>
      <c r="C77" s="342"/>
      <c r="D77" s="342"/>
      <c r="E77" s="342"/>
      <c r="F77" s="342"/>
      <c r="G77" s="342"/>
      <c r="H77" s="342"/>
      <c r="I77" s="342"/>
      <c r="J77" s="342"/>
      <c r="K77" s="342"/>
      <c r="L77" s="342"/>
      <c r="M77" s="342"/>
      <c r="N77" s="342"/>
      <c r="O77" s="342"/>
      <c r="P77" s="485">
        <v>26</v>
      </c>
      <c r="Q77" s="486">
        <v>32</v>
      </c>
      <c r="R77" s="486">
        <v>38</v>
      </c>
      <c r="S77" s="483">
        <v>5</v>
      </c>
      <c r="T77" s="342"/>
      <c r="U77" s="485">
        <v>26.4</v>
      </c>
      <c r="V77" s="486">
        <v>32.4</v>
      </c>
      <c r="W77" s="486">
        <v>38.4</v>
      </c>
      <c r="X77" s="484">
        <v>9</v>
      </c>
      <c r="Y77" s="342"/>
      <c r="Z77" s="342"/>
      <c r="AA77" s="456"/>
    </row>
    <row r="78" spans="1:27" ht="12.95" customHeight="1" x14ac:dyDescent="0.2">
      <c r="A78" s="751"/>
      <c r="B78" s="453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485">
        <v>25.5</v>
      </c>
      <c r="Q78" s="486">
        <v>31.5</v>
      </c>
      <c r="R78" s="486">
        <v>37.5</v>
      </c>
      <c r="S78" s="483">
        <v>6</v>
      </c>
      <c r="T78" s="342"/>
      <c r="U78" s="485">
        <v>26</v>
      </c>
      <c r="V78" s="486">
        <v>32</v>
      </c>
      <c r="W78" s="486">
        <v>38</v>
      </c>
      <c r="X78" s="484">
        <v>10</v>
      </c>
      <c r="Y78" s="342"/>
      <c r="Z78" s="342"/>
      <c r="AA78" s="456"/>
    </row>
    <row r="79" spans="1:27" ht="12.95" customHeight="1" x14ac:dyDescent="0.2">
      <c r="A79" s="751"/>
      <c r="B79" s="453"/>
      <c r="C79" s="342"/>
      <c r="D79" s="342"/>
      <c r="E79" s="342"/>
      <c r="F79" s="342"/>
      <c r="G79" s="342"/>
      <c r="H79" s="342"/>
      <c r="I79" s="342"/>
      <c r="J79" s="342"/>
      <c r="K79" s="342"/>
      <c r="L79" s="342"/>
      <c r="M79" s="342"/>
      <c r="N79" s="342"/>
      <c r="O79" s="342"/>
      <c r="P79" s="485">
        <v>25</v>
      </c>
      <c r="Q79" s="486">
        <v>31</v>
      </c>
      <c r="R79" s="486">
        <v>37</v>
      </c>
      <c r="S79" s="483">
        <v>7</v>
      </c>
      <c r="T79" s="342"/>
      <c r="U79" s="485">
        <v>25.6</v>
      </c>
      <c r="V79" s="486">
        <v>31.6</v>
      </c>
      <c r="W79" s="486">
        <v>37.6</v>
      </c>
      <c r="X79" s="484">
        <v>11</v>
      </c>
      <c r="Y79" s="342"/>
      <c r="Z79" s="342"/>
      <c r="AA79" s="456"/>
    </row>
    <row r="80" spans="1:27" ht="12.95" customHeight="1" x14ac:dyDescent="0.2">
      <c r="A80" s="751"/>
      <c r="B80" s="453"/>
      <c r="C80" s="342"/>
      <c r="D80" s="342"/>
      <c r="E80" s="342"/>
      <c r="F80" s="342"/>
      <c r="G80" s="342"/>
      <c r="H80" s="342"/>
      <c r="I80" s="342"/>
      <c r="J80" s="342"/>
      <c r="K80" s="342"/>
      <c r="L80" s="342"/>
      <c r="M80" s="342"/>
      <c r="N80" s="342"/>
      <c r="O80" s="342"/>
      <c r="P80" s="485">
        <v>24.5</v>
      </c>
      <c r="Q80" s="486">
        <v>30.5</v>
      </c>
      <c r="R80" s="486">
        <v>36.5</v>
      </c>
      <c r="S80" s="483">
        <v>8</v>
      </c>
      <c r="T80" s="342"/>
      <c r="U80" s="485">
        <v>25.2</v>
      </c>
      <c r="V80" s="486">
        <v>31.2</v>
      </c>
      <c r="W80" s="486">
        <v>37.200000000000003</v>
      </c>
      <c r="X80" s="484">
        <v>12</v>
      </c>
      <c r="Y80" s="342"/>
      <c r="Z80" s="342"/>
      <c r="AA80" s="456"/>
    </row>
    <row r="81" spans="1:29" ht="12.95" customHeight="1" x14ac:dyDescent="0.2">
      <c r="A81" s="751"/>
      <c r="B81" s="453"/>
      <c r="C81" s="342"/>
      <c r="D81" s="342"/>
      <c r="E81" s="342"/>
      <c r="F81" s="342"/>
      <c r="G81" s="342"/>
      <c r="H81" s="342"/>
      <c r="I81" s="342"/>
      <c r="J81" s="342"/>
      <c r="K81" s="342"/>
      <c r="L81" s="342"/>
      <c r="M81" s="342"/>
      <c r="N81" s="342"/>
      <c r="O81" s="342"/>
      <c r="P81" s="485">
        <v>24</v>
      </c>
      <c r="Q81" s="486">
        <v>30</v>
      </c>
      <c r="R81" s="486">
        <v>36</v>
      </c>
      <c r="S81" s="483">
        <v>9</v>
      </c>
      <c r="T81" s="342"/>
      <c r="U81" s="485">
        <v>24.8</v>
      </c>
      <c r="V81" s="486">
        <v>30.8</v>
      </c>
      <c r="W81" s="486">
        <v>36.799999999999997</v>
      </c>
      <c r="X81" s="484">
        <v>13</v>
      </c>
      <c r="Y81" s="342"/>
      <c r="Z81" s="342"/>
      <c r="AA81" s="456"/>
    </row>
    <row r="82" spans="1:29" ht="12.95" customHeight="1" x14ac:dyDescent="0.2">
      <c r="A82" s="751"/>
      <c r="B82" s="453"/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  <c r="N82" s="342"/>
      <c r="O82" s="342"/>
      <c r="P82" s="487" t="s">
        <v>130</v>
      </c>
      <c r="Q82" s="488" t="s">
        <v>131</v>
      </c>
      <c r="R82" s="488" t="s">
        <v>132</v>
      </c>
      <c r="S82" s="489">
        <v>10</v>
      </c>
      <c r="T82" s="342"/>
      <c r="U82" s="485">
        <v>24.4</v>
      </c>
      <c r="V82" s="486">
        <v>30.4</v>
      </c>
      <c r="W82" s="486">
        <v>36.4</v>
      </c>
      <c r="X82" s="484">
        <v>14</v>
      </c>
      <c r="Y82" s="342"/>
      <c r="Z82" s="342"/>
      <c r="AA82" s="456"/>
    </row>
    <row r="83" spans="1:29" ht="12.95" customHeight="1" x14ac:dyDescent="0.2">
      <c r="A83" s="751"/>
      <c r="B83" s="453"/>
      <c r="C83" s="342"/>
      <c r="D83" s="342"/>
      <c r="E83" s="342"/>
      <c r="F83" s="342"/>
      <c r="G83" s="342"/>
      <c r="H83" s="342"/>
      <c r="I83" s="342"/>
      <c r="J83" s="342"/>
      <c r="K83" s="342"/>
      <c r="L83" s="342"/>
      <c r="M83" s="342"/>
      <c r="N83" s="342"/>
      <c r="O83" s="342"/>
      <c r="P83" s="344"/>
      <c r="Q83" s="344"/>
      <c r="R83" s="344"/>
      <c r="S83" s="357"/>
      <c r="T83" s="342"/>
      <c r="U83" s="487">
        <v>24</v>
      </c>
      <c r="V83" s="488">
        <v>30</v>
      </c>
      <c r="W83" s="488">
        <v>36</v>
      </c>
      <c r="X83" s="490">
        <v>15</v>
      </c>
      <c r="Y83" s="342"/>
      <c r="Z83" s="342"/>
      <c r="AA83" s="456"/>
    </row>
    <row r="84" spans="1:29" ht="12.95" customHeight="1" thickBot="1" x14ac:dyDescent="0.25">
      <c r="A84" s="751"/>
      <c r="B84" s="453"/>
      <c r="C84" s="342"/>
      <c r="D84" s="342"/>
      <c r="E84" s="342"/>
      <c r="F84" s="342"/>
      <c r="G84" s="342"/>
      <c r="H84" s="342"/>
      <c r="I84" s="342"/>
      <c r="J84" s="342"/>
      <c r="K84" s="342"/>
      <c r="L84" s="342"/>
      <c r="M84" s="342"/>
      <c r="N84" s="342"/>
      <c r="O84" s="342"/>
      <c r="P84" s="342"/>
      <c r="Q84" s="342" t="s">
        <v>133</v>
      </c>
      <c r="R84" s="342"/>
      <c r="S84" s="350">
        <f>N53</f>
        <v>0</v>
      </c>
      <c r="T84" s="342"/>
      <c r="U84" s="344"/>
      <c r="V84" s="342"/>
      <c r="W84" s="342"/>
      <c r="X84" s="342"/>
      <c r="Y84" s="342"/>
      <c r="Z84" s="342"/>
      <c r="AA84" s="456"/>
    </row>
    <row r="85" spans="1:29" ht="12.95" customHeight="1" thickBot="1" x14ac:dyDescent="0.25">
      <c r="A85" s="751"/>
      <c r="B85" s="453"/>
      <c r="C85" s="342"/>
      <c r="D85" s="342"/>
      <c r="E85" s="342"/>
      <c r="F85" s="342"/>
      <c r="G85" s="345"/>
      <c r="H85" s="345"/>
      <c r="I85" s="345" t="s">
        <v>134</v>
      </c>
      <c r="J85" s="345"/>
      <c r="K85" s="345"/>
      <c r="L85" s="572">
        <f>H54</f>
        <v>0</v>
      </c>
      <c r="M85" s="342"/>
      <c r="N85" s="342"/>
      <c r="O85" s="342"/>
      <c r="P85" s="342"/>
      <c r="Q85" s="344"/>
      <c r="R85" s="357"/>
      <c r="S85" s="342"/>
      <c r="T85" s="344"/>
      <c r="U85" s="342"/>
      <c r="V85" s="342" t="s">
        <v>133</v>
      </c>
      <c r="W85" s="342"/>
      <c r="X85" s="350">
        <f>N63</f>
        <v>0</v>
      </c>
      <c r="Y85" s="342"/>
      <c r="Z85" s="342"/>
      <c r="AA85" s="456"/>
    </row>
    <row r="86" spans="1:29" ht="12.95" customHeight="1" thickBot="1" x14ac:dyDescent="0.25">
      <c r="B86" s="491"/>
      <c r="C86" s="492"/>
      <c r="D86" s="493"/>
      <c r="E86" s="494"/>
      <c r="F86" s="492"/>
      <c r="G86" s="492"/>
      <c r="H86" s="492"/>
      <c r="I86" s="492"/>
      <c r="J86" s="492"/>
      <c r="K86" s="492"/>
      <c r="L86" s="492"/>
      <c r="M86" s="492"/>
      <c r="N86" s="492"/>
      <c r="O86" s="492"/>
      <c r="P86" s="492"/>
      <c r="Q86" s="492"/>
      <c r="R86" s="492"/>
      <c r="S86" s="492"/>
      <c r="T86" s="492"/>
      <c r="U86" s="492"/>
      <c r="V86" s="492"/>
      <c r="W86" s="492"/>
      <c r="X86" s="492"/>
      <c r="Y86" s="492"/>
      <c r="Z86" s="492"/>
      <c r="AA86" s="495"/>
    </row>
    <row r="87" spans="1:29" ht="12.95" customHeight="1" thickTop="1" x14ac:dyDescent="0.2"/>
    <row r="90" spans="1:29" ht="12.95" customHeight="1" thickBot="1" x14ac:dyDescent="0.25">
      <c r="A90" s="751"/>
    </row>
    <row r="91" spans="1:29" ht="12.95" customHeight="1" thickTop="1" x14ac:dyDescent="0.2">
      <c r="A91" s="751"/>
      <c r="B91" s="754"/>
      <c r="C91" s="446"/>
      <c r="D91" s="446"/>
      <c r="E91" s="446"/>
      <c r="F91" s="446"/>
      <c r="G91" s="446"/>
      <c r="H91" s="446"/>
      <c r="I91" s="446"/>
      <c r="J91" s="446"/>
      <c r="K91" s="446"/>
      <c r="L91" s="446"/>
      <c r="M91" s="446"/>
      <c r="N91" s="446"/>
      <c r="O91" s="446"/>
      <c r="P91" s="446"/>
      <c r="Q91" s="446"/>
      <c r="R91" s="446"/>
      <c r="S91" s="446"/>
      <c r="T91" s="446"/>
      <c r="U91" s="446"/>
      <c r="V91" s="446"/>
      <c r="W91" s="446"/>
      <c r="X91" s="452"/>
      <c r="Y91" s="446"/>
      <c r="Z91" s="446"/>
      <c r="AA91" s="446"/>
      <c r="AB91" s="446"/>
      <c r="AC91" s="446"/>
    </row>
    <row r="92" spans="1:29" ht="12.95" customHeight="1" x14ac:dyDescent="0.2">
      <c r="A92" s="751"/>
      <c r="B92" s="753"/>
      <c r="C92" s="390" t="s">
        <v>359</v>
      </c>
      <c r="D92" s="347"/>
      <c r="E92" s="347"/>
      <c r="F92" s="347"/>
      <c r="G92" s="347"/>
      <c r="H92" s="342"/>
      <c r="I92" s="342"/>
      <c r="J92" s="342"/>
      <c r="K92" s="342"/>
      <c r="L92" s="342"/>
      <c r="M92" s="342"/>
      <c r="N92" s="347" t="s">
        <v>135</v>
      </c>
      <c r="O92" s="347"/>
      <c r="P92" s="347"/>
      <c r="Q92" s="347"/>
      <c r="R92" s="347"/>
      <c r="S92" s="342"/>
      <c r="T92" s="496"/>
      <c r="U92" s="342"/>
      <c r="V92" s="342"/>
      <c r="W92" s="342"/>
      <c r="X92" s="456"/>
      <c r="Y92" s="342"/>
      <c r="Z92" s="342"/>
      <c r="AA92" s="342"/>
      <c r="AB92" s="342"/>
      <c r="AC92" s="342"/>
    </row>
    <row r="93" spans="1:29" ht="12.95" customHeight="1" thickBot="1" x14ac:dyDescent="0.25">
      <c r="A93" s="751"/>
      <c r="B93" s="753"/>
      <c r="C93" s="342"/>
      <c r="D93" s="342"/>
      <c r="E93" s="342"/>
      <c r="F93" s="342"/>
      <c r="G93" s="342"/>
      <c r="H93" s="342"/>
      <c r="I93" s="342"/>
      <c r="J93" s="342"/>
      <c r="K93" s="342"/>
      <c r="L93" s="342"/>
      <c r="M93" s="342"/>
      <c r="N93" s="342"/>
      <c r="O93" s="342"/>
      <c r="P93" s="497"/>
      <c r="Q93" s="497"/>
      <c r="R93" s="342"/>
      <c r="S93" s="342"/>
      <c r="T93" s="496"/>
      <c r="U93" s="342"/>
      <c r="V93" s="342"/>
      <c r="W93" s="342"/>
      <c r="X93" s="456"/>
      <c r="Y93" s="342"/>
      <c r="Z93" s="342"/>
      <c r="AA93" s="342"/>
      <c r="AB93" s="342"/>
      <c r="AC93" s="342"/>
    </row>
    <row r="94" spans="1:29" ht="12.95" customHeight="1" x14ac:dyDescent="0.2">
      <c r="A94" s="751"/>
      <c r="B94" s="753"/>
      <c r="C94" s="345"/>
      <c r="D94" s="342" t="s">
        <v>136</v>
      </c>
      <c r="E94" s="342"/>
      <c r="F94" s="342"/>
      <c r="G94" s="342"/>
      <c r="H94" s="342"/>
      <c r="I94" s="342"/>
      <c r="J94" s="342"/>
      <c r="K94" s="342"/>
      <c r="L94" s="342"/>
      <c r="M94" s="342"/>
      <c r="N94" s="342"/>
      <c r="O94" s="342"/>
      <c r="P94" s="498"/>
      <c r="Q94" s="342"/>
      <c r="R94" s="342"/>
      <c r="S94" s="342"/>
      <c r="T94" s="499"/>
      <c r="U94" s="342"/>
      <c r="V94" s="342"/>
      <c r="W94" s="530"/>
      <c r="X94" s="531"/>
      <c r="Y94" s="342"/>
      <c r="Z94" s="342"/>
      <c r="AA94" s="342"/>
      <c r="AB94" s="342"/>
      <c r="AC94" s="342"/>
    </row>
    <row r="95" spans="1:29" ht="12.95" customHeight="1" x14ac:dyDescent="0.2">
      <c r="A95" s="751"/>
      <c r="B95" s="753"/>
      <c r="C95" s="345"/>
      <c r="D95" s="342" t="s">
        <v>137</v>
      </c>
      <c r="E95" s="342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2" t="s">
        <v>138</v>
      </c>
      <c r="U95" s="342"/>
      <c r="V95" s="342"/>
      <c r="W95" s="532"/>
      <c r="X95" s="533"/>
      <c r="Y95" s="342"/>
      <c r="Z95" s="342"/>
      <c r="AA95" s="342"/>
      <c r="AB95" s="342"/>
      <c r="AC95" s="342"/>
    </row>
    <row r="96" spans="1:29" ht="12.95" customHeight="1" x14ac:dyDescent="0.2">
      <c r="A96" s="751"/>
      <c r="B96" s="753"/>
      <c r="C96" s="345"/>
      <c r="D96" s="342"/>
      <c r="E96" s="342" t="s">
        <v>139</v>
      </c>
      <c r="F96" s="342"/>
      <c r="G96" s="342"/>
      <c r="H96" s="342"/>
      <c r="I96" s="342"/>
      <c r="J96" s="342"/>
      <c r="K96" s="342"/>
      <c r="L96" s="342"/>
      <c r="M96" s="342"/>
      <c r="N96" s="342"/>
      <c r="O96" s="342" t="s">
        <v>140</v>
      </c>
      <c r="P96" s="342"/>
      <c r="Q96" s="342"/>
      <c r="R96" s="342"/>
      <c r="S96" s="500" t="s">
        <v>141</v>
      </c>
      <c r="T96" s="501" t="s">
        <v>172</v>
      </c>
      <c r="U96" s="342"/>
      <c r="V96" s="342"/>
      <c r="W96" s="534" t="s">
        <v>142</v>
      </c>
      <c r="X96" s="535" t="s">
        <v>143</v>
      </c>
      <c r="Y96" s="342"/>
      <c r="Z96" s="342"/>
      <c r="AA96" s="502" t="s">
        <v>144</v>
      </c>
      <c r="AB96" s="344">
        <f>SUM(X98:X112)</f>
        <v>0</v>
      </c>
      <c r="AC96" s="342"/>
    </row>
    <row r="97" spans="1:29" ht="12.95" customHeight="1" x14ac:dyDescent="0.2">
      <c r="A97" s="751"/>
      <c r="B97" s="753"/>
      <c r="C97" s="345"/>
      <c r="D97" s="342"/>
      <c r="E97" s="342" t="s">
        <v>145</v>
      </c>
      <c r="F97" s="342"/>
      <c r="G97" s="342"/>
      <c r="H97" s="342"/>
      <c r="I97" s="342"/>
      <c r="J97" s="342"/>
      <c r="K97" s="342"/>
      <c r="L97" s="342"/>
      <c r="M97" s="342"/>
      <c r="N97" s="342"/>
      <c r="O97" s="545">
        <f>F16</f>
        <v>0</v>
      </c>
      <c r="P97" s="342" t="s">
        <v>146</v>
      </c>
      <c r="Q97" s="342"/>
      <c r="R97" s="342"/>
      <c r="S97" s="342"/>
      <c r="T97" s="504" t="s">
        <v>147</v>
      </c>
      <c r="U97" s="342"/>
      <c r="V97" s="342"/>
      <c r="W97" s="532"/>
      <c r="X97" s="533"/>
      <c r="Y97" s="342"/>
      <c r="Z97" s="342"/>
      <c r="AA97" s="502" t="s">
        <v>148</v>
      </c>
      <c r="AB97" s="344">
        <f>'Traffic &amp; Accidents'!E46</f>
        <v>0</v>
      </c>
      <c r="AC97" s="343" t="s">
        <v>149</v>
      </c>
    </row>
    <row r="98" spans="1:29" ht="12.95" customHeight="1" x14ac:dyDescent="0.2">
      <c r="A98" s="751"/>
      <c r="B98" s="753"/>
      <c r="C98" s="345"/>
      <c r="D98" s="342"/>
      <c r="E98" s="342" t="s">
        <v>150</v>
      </c>
      <c r="F98" s="342"/>
      <c r="G98" s="342"/>
      <c r="H98" s="342"/>
      <c r="I98" s="342" t="s">
        <v>151</v>
      </c>
      <c r="J98" s="345"/>
      <c r="K98" s="342"/>
      <c r="L98" s="342"/>
      <c r="M98" s="342"/>
      <c r="N98" s="342"/>
      <c r="O98" s="546">
        <f>F17</f>
        <v>0</v>
      </c>
      <c r="P98" s="342" t="s">
        <v>152</v>
      </c>
      <c r="Q98" s="342"/>
      <c r="R98" s="342"/>
      <c r="S98" s="505">
        <v>1</v>
      </c>
      <c r="T98" s="545">
        <f>Geometry!D26</f>
        <v>0</v>
      </c>
      <c r="U98" s="342"/>
      <c r="V98" s="342"/>
      <c r="W98" s="536">
        <f>IF(T98&gt;=Q106,0,T98/Q106)</f>
        <v>0</v>
      </c>
      <c r="X98" s="537">
        <f t="shared" ref="X98:X111" si="0">IF(W98&gt;0,1-W98,0)</f>
        <v>0</v>
      </c>
      <c r="Y98" s="342"/>
      <c r="Z98" s="342"/>
      <c r="AA98" s="342"/>
      <c r="AB98" s="342"/>
      <c r="AC98" s="342"/>
    </row>
    <row r="99" spans="1:29" ht="12.95" customHeight="1" x14ac:dyDescent="0.2">
      <c r="A99" s="751"/>
      <c r="B99" s="753"/>
      <c r="C99" s="345"/>
      <c r="D99" s="342"/>
      <c r="E99" s="342"/>
      <c r="F99" s="345"/>
      <c r="G99" s="342"/>
      <c r="H99" s="457"/>
      <c r="I99" s="342"/>
      <c r="J99" s="342"/>
      <c r="K99" s="342"/>
      <c r="L99" s="342"/>
      <c r="M99" s="342"/>
      <c r="N99" s="342"/>
      <c r="O99" s="546">
        <f>F18</f>
        <v>0</v>
      </c>
      <c r="P99" s="342" t="s">
        <v>153</v>
      </c>
      <c r="Q99" s="342"/>
      <c r="R99" s="342"/>
      <c r="S99" s="505">
        <v>2</v>
      </c>
      <c r="T99" s="545">
        <f>Geometry!D27</f>
        <v>0</v>
      </c>
      <c r="U99" s="497"/>
      <c r="V99" s="497"/>
      <c r="W99" s="536">
        <f>IF(T99&gt;=Q106,0,T99/Q106)</f>
        <v>0</v>
      </c>
      <c r="X99" s="537">
        <f t="shared" si="0"/>
        <v>0</v>
      </c>
      <c r="Y99" s="342"/>
      <c r="Z99" s="342"/>
      <c r="AA99" s="502" t="s">
        <v>154</v>
      </c>
      <c r="AB99" s="342" t="e">
        <f>AB96/(3*AB97)</f>
        <v>#DIV/0!</v>
      </c>
      <c r="AC99" s="342"/>
    </row>
    <row r="100" spans="1:29" ht="12.95" customHeight="1" x14ac:dyDescent="0.2">
      <c r="A100" s="751"/>
      <c r="B100" s="753"/>
      <c r="C100" s="345"/>
      <c r="D100" s="342" t="s">
        <v>155</v>
      </c>
      <c r="E100" s="342"/>
      <c r="F100" s="342"/>
      <c r="G100" s="342"/>
      <c r="H100" s="342" t="s">
        <v>156</v>
      </c>
      <c r="I100" s="342"/>
      <c r="J100" s="342"/>
      <c r="K100" s="342"/>
      <c r="L100" s="342"/>
      <c r="M100" s="342"/>
      <c r="N100" s="342"/>
      <c r="O100" s="344"/>
      <c r="P100" s="342"/>
      <c r="Q100" s="342"/>
      <c r="R100" s="342"/>
      <c r="S100" s="505">
        <v>3</v>
      </c>
      <c r="T100" s="545">
        <f>Geometry!D28</f>
        <v>0</v>
      </c>
      <c r="U100" s="497"/>
      <c r="V100" s="497"/>
      <c r="W100" s="536">
        <f>IF(T100&gt;=Q106,0,T100/Q106)</f>
        <v>0</v>
      </c>
      <c r="X100" s="537">
        <f t="shared" si="0"/>
        <v>0</v>
      </c>
      <c r="Y100" s="342"/>
      <c r="Z100" s="502"/>
      <c r="AA100" s="346" t="s">
        <v>157</v>
      </c>
      <c r="AB100" s="342" t="e">
        <f>IF(AB99*10&gt;5,5,AB99*10)</f>
        <v>#DIV/0!</v>
      </c>
      <c r="AC100" s="342"/>
    </row>
    <row r="101" spans="1:29" ht="12.95" customHeight="1" x14ac:dyDescent="0.2">
      <c r="A101" s="751"/>
      <c r="B101" s="753"/>
      <c r="C101" s="345"/>
      <c r="D101" s="345"/>
      <c r="E101" s="345"/>
      <c r="F101" s="345"/>
      <c r="G101" s="345"/>
      <c r="H101" s="345"/>
      <c r="I101" s="345"/>
      <c r="J101" s="345"/>
      <c r="K101" s="342"/>
      <c r="L101" s="342"/>
      <c r="M101" s="342"/>
      <c r="N101" s="342"/>
      <c r="O101" s="344"/>
      <c r="P101" s="342"/>
      <c r="Q101" s="342"/>
      <c r="R101" s="342"/>
      <c r="S101" s="505">
        <v>4</v>
      </c>
      <c r="T101" s="545">
        <f>Geometry!D29</f>
        <v>0</v>
      </c>
      <c r="U101" s="497"/>
      <c r="V101" s="497"/>
      <c r="W101" s="536">
        <f>IF(T101&gt;=Q106,0,T101/Q106)</f>
        <v>0</v>
      </c>
      <c r="X101" s="537">
        <f t="shared" si="0"/>
        <v>0</v>
      </c>
      <c r="Y101" s="342"/>
      <c r="Z101" s="342"/>
      <c r="AA101" s="346" t="s">
        <v>158</v>
      </c>
      <c r="AB101" s="506" t="e">
        <f>ROUNDUP(AB100,0)</f>
        <v>#DIV/0!</v>
      </c>
      <c r="AC101" s="342"/>
    </row>
    <row r="102" spans="1:29" ht="12.95" customHeight="1" x14ac:dyDescent="0.2">
      <c r="A102" s="751"/>
      <c r="B102" s="753"/>
      <c r="C102" s="554"/>
      <c r="D102" s="559" t="s">
        <v>57</v>
      </c>
      <c r="E102" s="553" t="s">
        <v>154</v>
      </c>
      <c r="F102" s="559"/>
      <c r="G102" s="348"/>
      <c r="H102" s="342"/>
      <c r="I102" s="342"/>
      <c r="J102" s="342"/>
      <c r="K102" s="342"/>
      <c r="L102" s="342"/>
      <c r="M102" s="342"/>
      <c r="N102" s="342"/>
      <c r="O102" s="344"/>
      <c r="P102" s="342"/>
      <c r="Q102" s="342"/>
      <c r="R102" s="342"/>
      <c r="S102" s="505">
        <v>5</v>
      </c>
      <c r="T102" s="545">
        <f>Geometry!D30</f>
        <v>0</v>
      </c>
      <c r="U102" s="497"/>
      <c r="V102" s="497"/>
      <c r="W102" s="536">
        <f>IF(T102&gt;=Q106,0,T102/Q106)</f>
        <v>0</v>
      </c>
      <c r="X102" s="537">
        <f t="shared" si="0"/>
        <v>0</v>
      </c>
      <c r="Y102" s="342"/>
      <c r="Z102" s="342"/>
      <c r="AA102" s="342"/>
      <c r="AB102" s="342"/>
      <c r="AC102" s="342"/>
    </row>
    <row r="103" spans="1:29" ht="12.95" customHeight="1" x14ac:dyDescent="0.2">
      <c r="A103" s="751"/>
      <c r="B103" s="753"/>
      <c r="C103" s="554"/>
      <c r="D103" s="559"/>
      <c r="E103" s="553"/>
      <c r="F103" s="559"/>
      <c r="G103" s="348"/>
      <c r="H103" s="342"/>
      <c r="I103" s="342"/>
      <c r="J103" s="342"/>
      <c r="K103" s="342"/>
      <c r="L103" s="342"/>
      <c r="M103" s="342"/>
      <c r="N103" s="342"/>
      <c r="O103" s="344"/>
      <c r="P103" s="342"/>
      <c r="Q103" s="342"/>
      <c r="R103" s="342"/>
      <c r="S103" s="505">
        <v>6</v>
      </c>
      <c r="T103" s="545">
        <f>Geometry!D31</f>
        <v>0</v>
      </c>
      <c r="U103" s="497"/>
      <c r="V103" s="497"/>
      <c r="W103" s="536">
        <f>IF(T103&gt;=Q106,0,T103/Q106)</f>
        <v>0</v>
      </c>
      <c r="X103" s="537">
        <f t="shared" si="0"/>
        <v>0</v>
      </c>
      <c r="Y103" s="342"/>
      <c r="Z103" s="342"/>
      <c r="AA103" s="342"/>
      <c r="AB103" s="342"/>
      <c r="AC103" s="342"/>
    </row>
    <row r="104" spans="1:29" ht="12.95" customHeight="1" x14ac:dyDescent="0.2">
      <c r="A104" s="751"/>
      <c r="B104" s="753"/>
      <c r="C104" s="554"/>
      <c r="D104" s="555">
        <v>1</v>
      </c>
      <c r="E104" s="555" t="s">
        <v>360</v>
      </c>
      <c r="F104" s="555"/>
      <c r="G104" s="507"/>
      <c r="H104" s="342"/>
      <c r="I104" s="342"/>
      <c r="J104" s="342"/>
      <c r="K104" s="342"/>
      <c r="L104" s="342"/>
      <c r="M104" s="342"/>
      <c r="N104" s="342"/>
      <c r="O104" s="342"/>
      <c r="P104" s="342"/>
      <c r="Q104" s="342"/>
      <c r="R104" s="342"/>
      <c r="S104" s="505">
        <v>7</v>
      </c>
      <c r="T104" s="545">
        <f>Geometry!D32</f>
        <v>0</v>
      </c>
      <c r="U104" s="498"/>
      <c r="V104" s="342"/>
      <c r="W104" s="536">
        <f>IF(T104&gt;=Q106,0,T104/Q106)</f>
        <v>0</v>
      </c>
      <c r="X104" s="537">
        <f t="shared" si="0"/>
        <v>0</v>
      </c>
      <c r="Y104" s="342"/>
      <c r="Z104" s="342"/>
      <c r="AA104" s="342"/>
      <c r="AB104" s="342"/>
      <c r="AC104" s="342"/>
    </row>
    <row r="105" spans="1:29" ht="12.95" customHeight="1" x14ac:dyDescent="0.2">
      <c r="A105" s="751"/>
      <c r="B105" s="753"/>
      <c r="C105" s="554"/>
      <c r="D105" s="555">
        <v>2</v>
      </c>
      <c r="E105" s="555" t="s">
        <v>361</v>
      </c>
      <c r="F105" s="555"/>
      <c r="G105" s="507"/>
      <c r="H105" s="342"/>
      <c r="I105" s="342"/>
      <c r="J105" s="342"/>
      <c r="K105" s="342"/>
      <c r="L105" s="342"/>
      <c r="M105" s="342"/>
      <c r="N105" s="342"/>
      <c r="O105" s="342"/>
      <c r="P105" s="342"/>
      <c r="Q105" s="342"/>
      <c r="R105" s="342"/>
      <c r="S105" s="505">
        <v>8</v>
      </c>
      <c r="T105" s="545">
        <f>Geometry!D33</f>
        <v>0</v>
      </c>
      <c r="U105" s="342"/>
      <c r="V105" s="342"/>
      <c r="W105" s="536">
        <f>IF(T105&gt;=Q106,0,T105/Q106)</f>
        <v>0</v>
      </c>
      <c r="X105" s="537">
        <f t="shared" si="0"/>
        <v>0</v>
      </c>
      <c r="Y105" s="342"/>
      <c r="Z105" s="342"/>
      <c r="AA105" s="342"/>
      <c r="AB105" s="342"/>
      <c r="AC105" s="342"/>
    </row>
    <row r="106" spans="1:29" ht="12.95" customHeight="1" x14ac:dyDescent="0.2">
      <c r="A106" s="751"/>
      <c r="B106" s="753"/>
      <c r="C106" s="554"/>
      <c r="D106" s="555">
        <v>3</v>
      </c>
      <c r="E106" s="555" t="s">
        <v>362</v>
      </c>
      <c r="F106" s="555"/>
      <c r="G106" s="507"/>
      <c r="H106" s="342"/>
      <c r="I106" s="342"/>
      <c r="J106" s="345"/>
      <c r="K106" s="345"/>
      <c r="L106" s="345"/>
      <c r="M106" s="342"/>
      <c r="N106" s="342"/>
      <c r="O106" s="342"/>
      <c r="P106" s="346" t="s">
        <v>159</v>
      </c>
      <c r="Q106" s="503">
        <f>O109</f>
        <v>20</v>
      </c>
      <c r="R106" s="342"/>
      <c r="S106" s="505">
        <v>9</v>
      </c>
      <c r="T106" s="545">
        <f>Geometry!D34</f>
        <v>0</v>
      </c>
      <c r="U106" s="342"/>
      <c r="V106" s="342"/>
      <c r="W106" s="536">
        <f>IF(T106&gt;=Q106,0,T106/Q106)</f>
        <v>0</v>
      </c>
      <c r="X106" s="537">
        <f t="shared" si="0"/>
        <v>0</v>
      </c>
      <c r="Y106" s="342"/>
      <c r="Z106" s="342"/>
      <c r="AA106" s="342"/>
      <c r="AB106" s="342"/>
      <c r="AC106" s="342"/>
    </row>
    <row r="107" spans="1:29" ht="12.95" customHeight="1" thickBot="1" x14ac:dyDescent="0.25">
      <c r="A107" s="751"/>
      <c r="B107" s="753"/>
      <c r="C107" s="554"/>
      <c r="D107" s="555">
        <v>4</v>
      </c>
      <c r="E107" s="555" t="s">
        <v>363</v>
      </c>
      <c r="F107" s="555"/>
      <c r="G107" s="507"/>
      <c r="H107" s="342"/>
      <c r="I107" s="342"/>
      <c r="J107" s="342"/>
      <c r="K107" s="342"/>
      <c r="L107" s="342"/>
      <c r="M107" s="342"/>
      <c r="N107" s="342"/>
      <c r="O107" s="342"/>
      <c r="P107" s="342"/>
      <c r="Q107" s="342"/>
      <c r="R107" s="342"/>
      <c r="S107" s="505">
        <v>10</v>
      </c>
      <c r="T107" s="545">
        <f>Geometry!D35</f>
        <v>0</v>
      </c>
      <c r="U107" s="342"/>
      <c r="V107" s="342"/>
      <c r="W107" s="536">
        <f>IF(T107&gt;=Q106,0,T107/Q106)</f>
        <v>0</v>
      </c>
      <c r="X107" s="537">
        <f t="shared" si="0"/>
        <v>0</v>
      </c>
      <c r="Y107" s="342"/>
      <c r="Z107" s="342"/>
      <c r="AA107" s="342"/>
      <c r="AB107" s="342"/>
      <c r="AC107" s="342"/>
    </row>
    <row r="108" spans="1:29" ht="12.95" customHeight="1" x14ac:dyDescent="0.2">
      <c r="A108" s="751"/>
      <c r="B108" s="753"/>
      <c r="C108" s="554"/>
      <c r="D108" s="555">
        <v>5</v>
      </c>
      <c r="E108" s="555" t="s">
        <v>364</v>
      </c>
      <c r="F108" s="555"/>
      <c r="G108" s="507"/>
      <c r="H108" s="342" t="s">
        <v>161</v>
      </c>
      <c r="I108" s="342"/>
      <c r="J108" s="342"/>
      <c r="K108" s="342"/>
      <c r="L108" s="342"/>
      <c r="M108" s="342"/>
      <c r="N108" s="342"/>
      <c r="O108" s="540" t="s">
        <v>160</v>
      </c>
      <c r="P108" s="541"/>
      <c r="Q108" s="542"/>
      <c r="R108" s="342"/>
      <c r="S108" s="505">
        <v>11</v>
      </c>
      <c r="T108" s="545">
        <f>Geometry!D36</f>
        <v>0</v>
      </c>
      <c r="U108" s="342"/>
      <c r="V108" s="342"/>
      <c r="W108" s="536">
        <f>IF(T108&gt;=Q106,0,T108/Q106)</f>
        <v>0</v>
      </c>
      <c r="X108" s="537">
        <f t="shared" si="0"/>
        <v>0</v>
      </c>
      <c r="Y108" s="342"/>
      <c r="Z108" s="342"/>
      <c r="AA108" s="342"/>
      <c r="AB108" s="342"/>
      <c r="AC108" s="342"/>
    </row>
    <row r="109" spans="1:29" ht="12.95" customHeight="1" thickBot="1" x14ac:dyDescent="0.25">
      <c r="A109" s="751"/>
      <c r="B109" s="753"/>
      <c r="C109" s="345"/>
      <c r="D109" s="345"/>
      <c r="E109" s="345"/>
      <c r="F109" s="345"/>
      <c r="G109" s="345"/>
      <c r="H109" s="342"/>
      <c r="I109" s="342"/>
      <c r="J109" s="342"/>
      <c r="K109" s="342"/>
      <c r="L109" s="342"/>
      <c r="M109" s="342"/>
      <c r="N109" s="342"/>
      <c r="O109" s="532">
        <f>IF(O97&lt;&gt;0,P109,O110)</f>
        <v>20</v>
      </c>
      <c r="P109" s="543">
        <f>IF('Traffic &amp; Accidents'!F22&lt;400,30,Q109)</f>
        <v>30</v>
      </c>
      <c r="Q109" s="533">
        <f>IF('Traffic &amp; Accidents'!F22&lt;2001,40,50)</f>
        <v>40</v>
      </c>
      <c r="R109" s="342"/>
      <c r="S109" s="505">
        <v>12</v>
      </c>
      <c r="T109" s="545">
        <f>Geometry!D37</f>
        <v>0</v>
      </c>
      <c r="U109" s="342"/>
      <c r="V109" s="342"/>
      <c r="W109" s="536">
        <f>IF(T109&gt;=Q106,0,T109/Q106)</f>
        <v>0</v>
      </c>
      <c r="X109" s="537">
        <f t="shared" si="0"/>
        <v>0</v>
      </c>
      <c r="Y109" s="335"/>
      <c r="Z109" s="335"/>
      <c r="AA109" s="335"/>
      <c r="AB109" s="335"/>
      <c r="AC109" s="335"/>
    </row>
    <row r="110" spans="1:29" ht="12.95" customHeight="1" thickBot="1" x14ac:dyDescent="0.25">
      <c r="A110" s="751"/>
      <c r="B110" s="753"/>
      <c r="C110" s="345"/>
      <c r="D110" s="345"/>
      <c r="E110" s="345"/>
      <c r="F110" s="345"/>
      <c r="G110" s="345"/>
      <c r="H110" s="508"/>
      <c r="I110" s="342"/>
      <c r="J110" s="342"/>
      <c r="K110" s="684" t="s">
        <v>162</v>
      </c>
      <c r="L110" s="552">
        <f>IF(OR(SUM(Geometry!F16:F18)="",AB96=0),0,AB101)</f>
        <v>0</v>
      </c>
      <c r="M110" s="342"/>
      <c r="N110" s="342"/>
      <c r="O110" s="532">
        <f>IF(O98&lt;&gt;0,P110,O111)</f>
        <v>20</v>
      </c>
      <c r="P110" s="543">
        <f>IF('Traffic &amp; Accidents'!F22&lt;400,20,Q110)</f>
        <v>20</v>
      </c>
      <c r="Q110" s="533">
        <f>IF('Traffic &amp; Accidents'!F22&lt;2001,30,40)</f>
        <v>30</v>
      </c>
      <c r="R110" s="342"/>
      <c r="S110" s="505">
        <v>13</v>
      </c>
      <c r="T110" s="545">
        <f>Geometry!D38</f>
        <v>0</v>
      </c>
      <c r="U110" s="342"/>
      <c r="V110" s="342"/>
      <c r="W110" s="536">
        <f>IF(T110&gt;=Q106,0,T110/Q106)</f>
        <v>0</v>
      </c>
      <c r="X110" s="537">
        <f t="shared" si="0"/>
        <v>0</v>
      </c>
      <c r="Y110" s="335"/>
      <c r="Z110" s="335"/>
      <c r="AA110" s="335"/>
      <c r="AB110" s="335"/>
      <c r="AC110" s="335"/>
    </row>
    <row r="111" spans="1:29" ht="12.95" customHeight="1" thickBot="1" x14ac:dyDescent="0.25">
      <c r="A111" s="751"/>
      <c r="B111" s="753"/>
      <c r="C111" s="342"/>
      <c r="D111" s="342"/>
      <c r="E111" s="342"/>
      <c r="F111" s="342"/>
      <c r="G111" s="342"/>
      <c r="H111" s="342"/>
      <c r="I111" s="342"/>
      <c r="J111" s="465"/>
      <c r="K111" s="342"/>
      <c r="L111" s="342"/>
      <c r="M111" s="342"/>
      <c r="N111" s="342"/>
      <c r="O111" s="538">
        <f>P111</f>
        <v>20</v>
      </c>
      <c r="P111" s="544">
        <f>IF('Traffic &amp; Accidents'!F22&lt;400,20,Q111)</f>
        <v>20</v>
      </c>
      <c r="Q111" s="539">
        <f>IF('Traffic &amp; Accidents'!F22&lt;2001,30,40)</f>
        <v>30</v>
      </c>
      <c r="R111" s="342"/>
      <c r="S111" s="505">
        <v>14</v>
      </c>
      <c r="T111" s="545">
        <f>Geometry!D39</f>
        <v>0</v>
      </c>
      <c r="U111" s="342"/>
      <c r="V111" s="342"/>
      <c r="W111" s="536">
        <f>IF(T111&gt;=Q106,0,T111/Q106)</f>
        <v>0</v>
      </c>
      <c r="X111" s="537">
        <f t="shared" si="0"/>
        <v>0</v>
      </c>
      <c r="Y111" s="335"/>
      <c r="Z111" s="335"/>
      <c r="AA111" s="335"/>
      <c r="AB111" s="335"/>
      <c r="AC111" s="335"/>
    </row>
    <row r="112" spans="1:29" ht="12.95" customHeight="1" thickBot="1" x14ac:dyDescent="0.25">
      <c r="A112" s="751"/>
      <c r="B112" s="509"/>
      <c r="C112" s="342"/>
      <c r="D112" s="342"/>
      <c r="E112" s="342"/>
      <c r="F112" s="342"/>
      <c r="G112" s="342"/>
      <c r="H112" s="342"/>
      <c r="I112" s="342"/>
      <c r="J112" s="342"/>
      <c r="K112" s="342"/>
      <c r="L112" s="342"/>
      <c r="M112" s="345"/>
      <c r="N112" s="342"/>
      <c r="O112" s="342"/>
      <c r="P112" s="510" t="s">
        <v>413</v>
      </c>
      <c r="Q112" s="342"/>
      <c r="R112" s="342"/>
      <c r="S112" s="342"/>
      <c r="T112" s="342"/>
      <c r="U112" s="342"/>
      <c r="V112" s="342"/>
      <c r="W112" s="538"/>
      <c r="X112" s="539"/>
      <c r="Y112" s="335"/>
      <c r="Z112" s="335"/>
      <c r="AA112" s="335"/>
      <c r="AB112" s="335"/>
      <c r="AC112" s="335"/>
    </row>
    <row r="113" spans="1:29" ht="12.95" customHeight="1" x14ac:dyDescent="0.2">
      <c r="A113" s="751"/>
      <c r="B113" s="753"/>
      <c r="C113" s="390" t="s">
        <v>365</v>
      </c>
      <c r="D113" s="342"/>
      <c r="E113" s="342"/>
      <c r="F113" s="342"/>
      <c r="G113" s="342"/>
      <c r="H113" s="342"/>
      <c r="I113" s="342"/>
      <c r="J113" s="342"/>
      <c r="K113" s="342"/>
      <c r="L113" s="342"/>
      <c r="M113" s="345"/>
      <c r="N113" s="342"/>
      <c r="O113" s="342"/>
      <c r="P113" s="342"/>
      <c r="Q113" s="342"/>
      <c r="R113" s="342"/>
      <c r="S113" s="342"/>
      <c r="T113" s="342"/>
      <c r="U113" s="342"/>
      <c r="V113" s="342"/>
      <c r="W113" s="346" t="s">
        <v>144</v>
      </c>
      <c r="X113" s="511">
        <f>SUM(X98:X112)</f>
        <v>0</v>
      </c>
      <c r="Y113" s="335"/>
      <c r="Z113" s="335"/>
      <c r="AA113" s="335"/>
      <c r="AB113" s="335"/>
      <c r="AC113" s="335"/>
    </row>
    <row r="114" spans="1:29" ht="12.95" customHeight="1" x14ac:dyDescent="0.2">
      <c r="A114" s="751"/>
      <c r="B114" s="753"/>
      <c r="C114" s="345"/>
      <c r="D114" s="342"/>
      <c r="E114" s="342"/>
      <c r="F114" s="342"/>
      <c r="G114" s="342"/>
      <c r="H114" s="342"/>
      <c r="I114" s="342"/>
      <c r="J114" s="342"/>
      <c r="K114" s="342"/>
      <c r="L114" s="342"/>
      <c r="M114" s="342"/>
      <c r="N114" s="342"/>
      <c r="O114" s="342"/>
      <c r="P114" s="342"/>
      <c r="Q114" s="342"/>
      <c r="R114" s="342"/>
      <c r="S114" s="342"/>
      <c r="T114" s="342"/>
      <c r="U114" s="342"/>
      <c r="V114" s="342"/>
      <c r="W114" s="342"/>
      <c r="X114" s="456"/>
      <c r="Y114" s="335"/>
      <c r="Z114" s="335"/>
      <c r="AA114" s="335"/>
      <c r="AB114" s="335"/>
      <c r="AC114" s="335"/>
    </row>
    <row r="115" spans="1:29" ht="12.95" customHeight="1" x14ac:dyDescent="0.2">
      <c r="A115" s="751"/>
      <c r="B115" s="753"/>
      <c r="C115" s="357">
        <v>1</v>
      </c>
      <c r="D115" s="342" t="s">
        <v>165</v>
      </c>
      <c r="E115" s="342"/>
      <c r="F115" s="342"/>
      <c r="G115" s="342"/>
      <c r="H115" s="342"/>
      <c r="I115" s="342"/>
      <c r="J115" s="342"/>
      <c r="K115" s="342"/>
      <c r="L115" s="342"/>
      <c r="M115" s="342"/>
      <c r="N115" s="342"/>
      <c r="O115" s="342"/>
      <c r="P115" s="342"/>
      <c r="Q115" s="342"/>
      <c r="R115" s="342"/>
      <c r="S115" s="342"/>
      <c r="T115" s="342"/>
      <c r="U115" s="342"/>
      <c r="V115" s="342"/>
      <c r="W115" s="342"/>
      <c r="X115" s="456"/>
      <c r="Y115" s="335"/>
      <c r="Z115" s="335"/>
      <c r="AA115" s="335"/>
      <c r="AB115" s="335"/>
      <c r="AC115" s="335"/>
    </row>
    <row r="116" spans="1:29" ht="12.95" customHeight="1" x14ac:dyDescent="0.2">
      <c r="A116" s="751"/>
      <c r="B116" s="753"/>
      <c r="C116" s="342"/>
      <c r="D116" s="342"/>
      <c r="E116" s="342"/>
      <c r="F116" s="342"/>
      <c r="G116" s="342"/>
      <c r="H116" s="342"/>
      <c r="I116" s="342"/>
      <c r="J116" s="342"/>
      <c r="K116" s="342"/>
      <c r="L116" s="342"/>
      <c r="M116" s="342"/>
      <c r="N116" s="342"/>
      <c r="O116" s="342"/>
      <c r="P116" s="342"/>
      <c r="Q116" s="342"/>
      <c r="R116" s="342"/>
      <c r="S116" s="342"/>
      <c r="T116" s="342"/>
      <c r="U116" s="342"/>
      <c r="V116" s="342"/>
      <c r="W116" s="342"/>
      <c r="X116" s="456"/>
      <c r="Y116" s="335"/>
      <c r="Z116" s="335"/>
      <c r="AA116" s="335"/>
      <c r="AB116" s="335"/>
      <c r="AC116" s="335"/>
    </row>
    <row r="117" spans="1:29" ht="12.95" customHeight="1" x14ac:dyDescent="0.2">
      <c r="A117" s="751"/>
      <c r="B117" s="753"/>
      <c r="C117" s="342"/>
      <c r="D117" s="345"/>
      <c r="E117" s="342"/>
      <c r="F117" s="345"/>
      <c r="G117" s="344" t="s">
        <v>166</v>
      </c>
      <c r="H117" s="342"/>
      <c r="I117" s="510" t="s">
        <v>413</v>
      </c>
      <c r="J117" s="342"/>
      <c r="K117" s="342"/>
      <c r="L117" s="342"/>
      <c r="M117" s="342"/>
      <c r="N117" s="470" t="s">
        <v>163</v>
      </c>
      <c r="O117" s="472"/>
      <c r="P117" s="472"/>
      <c r="Q117" s="472"/>
      <c r="R117" s="472"/>
      <c r="S117" s="472"/>
      <c r="T117" s="472"/>
      <c r="U117" s="472"/>
      <c r="V117" s="472"/>
      <c r="W117" s="472"/>
      <c r="X117" s="512"/>
      <c r="Y117" s="335"/>
      <c r="Z117" s="335"/>
      <c r="AA117" s="335"/>
      <c r="AB117" s="335"/>
      <c r="AC117" s="335"/>
    </row>
    <row r="118" spans="1:29" ht="12.95" customHeight="1" x14ac:dyDescent="0.2">
      <c r="A118" s="751"/>
      <c r="B118" s="753"/>
      <c r="C118" s="342"/>
      <c r="D118" s="342"/>
      <c r="E118" s="543"/>
      <c r="F118" s="543"/>
      <c r="G118" s="543"/>
      <c r="H118" s="543"/>
      <c r="I118" s="543"/>
      <c r="J118" s="342"/>
      <c r="K118" s="342"/>
      <c r="L118" s="342"/>
      <c r="M118" s="342"/>
      <c r="N118" s="513" t="s">
        <v>72</v>
      </c>
      <c r="O118" s="342" t="s">
        <v>164</v>
      </c>
      <c r="P118" s="342"/>
      <c r="Q118" s="342"/>
      <c r="R118" s="342"/>
      <c r="S118" s="342"/>
      <c r="T118" s="342"/>
      <c r="U118" s="342"/>
      <c r="V118" s="342"/>
      <c r="W118" s="342"/>
      <c r="X118" s="456"/>
      <c r="Y118" s="335"/>
      <c r="Z118" s="335"/>
      <c r="AA118" s="335"/>
      <c r="AB118" s="335"/>
      <c r="AC118" s="335"/>
    </row>
    <row r="119" spans="1:29" ht="12.95" customHeight="1" x14ac:dyDescent="0.2">
      <c r="A119" s="751"/>
      <c r="B119" s="753"/>
      <c r="C119" s="342"/>
      <c r="D119" s="345"/>
      <c r="E119" s="560" t="s">
        <v>174</v>
      </c>
      <c r="F119" s="561" t="s">
        <v>175</v>
      </c>
      <c r="G119" s="562" t="s">
        <v>121</v>
      </c>
      <c r="H119" s="562" t="s">
        <v>122</v>
      </c>
      <c r="I119" s="563" t="s">
        <v>123</v>
      </c>
      <c r="J119" s="342"/>
      <c r="K119" s="342"/>
      <c r="L119" s="342"/>
      <c r="M119" s="342"/>
      <c r="N119" s="513"/>
      <c r="O119" s="342"/>
      <c r="P119" s="342"/>
      <c r="Q119" s="342"/>
      <c r="R119" s="342"/>
      <c r="S119" s="342"/>
      <c r="T119" s="342"/>
      <c r="U119" s="342"/>
      <c r="V119" s="342"/>
      <c r="W119" s="342"/>
      <c r="X119" s="456"/>
      <c r="Y119" s="335"/>
      <c r="Z119" s="335"/>
      <c r="AA119" s="335"/>
      <c r="AB119" s="335"/>
      <c r="AC119" s="335"/>
    </row>
    <row r="120" spans="1:29" ht="12.95" customHeight="1" x14ac:dyDescent="0.2">
      <c r="A120" s="751"/>
      <c r="B120" s="753"/>
      <c r="C120" s="342"/>
      <c r="D120" s="345"/>
      <c r="E120" s="564"/>
      <c r="F120" s="554"/>
      <c r="G120" s="549"/>
      <c r="H120" s="549"/>
      <c r="I120" s="565"/>
      <c r="J120" s="342"/>
      <c r="K120" s="342"/>
      <c r="L120" s="342"/>
      <c r="M120" s="342"/>
      <c r="N120" s="513"/>
      <c r="O120" s="497"/>
      <c r="P120" s="497"/>
      <c r="Q120" s="342"/>
      <c r="R120" s="344"/>
      <c r="S120" s="342"/>
      <c r="T120" s="342"/>
      <c r="U120" s="342"/>
      <c r="V120" s="342"/>
      <c r="W120" s="342"/>
      <c r="X120" s="456"/>
      <c r="Y120" s="335"/>
      <c r="Z120" s="335"/>
      <c r="AA120" s="335"/>
      <c r="AB120" s="335"/>
      <c r="AC120" s="335"/>
    </row>
    <row r="121" spans="1:29" ht="12.95" customHeight="1" x14ac:dyDescent="0.2">
      <c r="A121" s="751"/>
      <c r="B121" s="753"/>
      <c r="C121" s="342"/>
      <c r="D121" s="345"/>
      <c r="E121" s="564" t="s">
        <v>180</v>
      </c>
      <c r="F121" s="554"/>
      <c r="G121" s="566">
        <v>30</v>
      </c>
      <c r="H121" s="566">
        <v>40</v>
      </c>
      <c r="I121" s="567">
        <v>50</v>
      </c>
      <c r="J121" s="342"/>
      <c r="K121" s="342"/>
      <c r="L121" s="342"/>
      <c r="M121" s="342"/>
      <c r="N121" s="513"/>
      <c r="O121" s="498"/>
      <c r="P121" s="344"/>
      <c r="Q121" s="344" t="s">
        <v>167</v>
      </c>
      <c r="R121" s="344" t="s">
        <v>168</v>
      </c>
      <c r="S121" s="344" t="s">
        <v>169</v>
      </c>
      <c r="T121" s="344"/>
      <c r="U121" s="344" t="s">
        <v>170</v>
      </c>
      <c r="V121" s="342"/>
      <c r="W121" s="342"/>
      <c r="X121" s="456"/>
      <c r="Y121" s="335"/>
      <c r="Z121" s="335"/>
      <c r="AA121" s="335"/>
      <c r="AB121" s="335"/>
      <c r="AC121" s="335"/>
    </row>
    <row r="122" spans="1:29" ht="12.95" customHeight="1" x14ac:dyDescent="0.2">
      <c r="A122" s="751"/>
      <c r="B122" s="753"/>
      <c r="C122" s="342"/>
      <c r="D122" s="345"/>
      <c r="E122" s="564" t="s">
        <v>181</v>
      </c>
      <c r="F122" s="554"/>
      <c r="G122" s="566">
        <v>20</v>
      </c>
      <c r="H122" s="566">
        <v>30</v>
      </c>
      <c r="I122" s="567">
        <v>40</v>
      </c>
      <c r="J122" s="342"/>
      <c r="K122" s="342"/>
      <c r="L122" s="342"/>
      <c r="M122" s="342"/>
      <c r="N122" s="513"/>
      <c r="O122" s="342"/>
      <c r="P122" s="342"/>
      <c r="Q122" s="344" t="s">
        <v>171</v>
      </c>
      <c r="R122" s="344" t="s">
        <v>172</v>
      </c>
      <c r="S122" s="344" t="s">
        <v>172</v>
      </c>
      <c r="T122" s="344"/>
      <c r="U122" s="344" t="s">
        <v>173</v>
      </c>
      <c r="V122" s="342"/>
      <c r="W122" s="342"/>
      <c r="X122" s="456"/>
      <c r="Y122" s="335"/>
      <c r="Z122" s="335"/>
      <c r="AA122" s="335"/>
      <c r="AB122" s="335"/>
      <c r="AC122" s="335"/>
    </row>
    <row r="123" spans="1:29" ht="12.95" customHeight="1" x14ac:dyDescent="0.2">
      <c r="A123" s="751"/>
      <c r="B123" s="753"/>
      <c r="C123" s="342"/>
      <c r="D123" s="345"/>
      <c r="E123" s="568" t="s">
        <v>182</v>
      </c>
      <c r="F123" s="569"/>
      <c r="G123" s="570">
        <v>20</v>
      </c>
      <c r="H123" s="570">
        <v>30</v>
      </c>
      <c r="I123" s="571">
        <v>40</v>
      </c>
      <c r="J123" s="342"/>
      <c r="K123" s="342"/>
      <c r="L123" s="342"/>
      <c r="M123" s="342"/>
      <c r="N123" s="513"/>
      <c r="O123" s="342"/>
      <c r="P123" s="500" t="s">
        <v>141</v>
      </c>
      <c r="Q123" s="504" t="s">
        <v>176</v>
      </c>
      <c r="R123" s="504" t="s">
        <v>177</v>
      </c>
      <c r="S123" s="504" t="s">
        <v>178</v>
      </c>
      <c r="T123" s="504" t="s">
        <v>179</v>
      </c>
      <c r="U123" s="504" t="s">
        <v>144</v>
      </c>
      <c r="V123" s="342"/>
      <c r="W123" s="342"/>
      <c r="X123" s="456"/>
      <c r="Y123" s="335"/>
      <c r="Z123" s="335"/>
      <c r="AA123" s="335"/>
      <c r="AB123" s="335"/>
      <c r="AC123" s="335"/>
    </row>
    <row r="124" spans="1:29" ht="12.95" customHeight="1" x14ac:dyDescent="0.2">
      <c r="A124" s="751"/>
      <c r="B124" s="753"/>
      <c r="C124" s="342"/>
      <c r="D124" s="342"/>
      <c r="E124" s="342"/>
      <c r="F124" s="342"/>
      <c r="G124" s="342"/>
      <c r="H124" s="342"/>
      <c r="I124" s="342"/>
      <c r="J124" s="342"/>
      <c r="K124" s="342"/>
      <c r="L124" s="342"/>
      <c r="M124" s="342"/>
      <c r="N124" s="513"/>
      <c r="O124" s="342"/>
      <c r="P124" s="344">
        <v>1</v>
      </c>
      <c r="Q124" s="503">
        <f>Geometry!J26</f>
        <v>0</v>
      </c>
      <c r="R124" s="516" t="str">
        <f t="shared" ref="R124:R137" si="1">IF(Q124&gt;0,ROUND(N149,0),"")</f>
        <v/>
      </c>
      <c r="S124" s="344">
        <f>O109</f>
        <v>20</v>
      </c>
      <c r="T124" s="344">
        <f t="shared" ref="T124:T137" si="2">IF(R124&lt;S124,R124/S124,0)</f>
        <v>0</v>
      </c>
      <c r="U124" s="344">
        <f t="shared" ref="U124:U137" si="3">IF(T124&lt;&gt;0,1-T124,0)</f>
        <v>0</v>
      </c>
      <c r="V124" s="342"/>
      <c r="W124" s="342"/>
      <c r="X124" s="456"/>
      <c r="Y124" s="335"/>
      <c r="Z124" s="335"/>
      <c r="AA124" s="335"/>
      <c r="AB124" s="335"/>
      <c r="AC124" s="335"/>
    </row>
    <row r="125" spans="1:29" ht="12.95" customHeight="1" x14ac:dyDescent="0.2">
      <c r="A125" s="751"/>
      <c r="B125" s="753"/>
      <c r="C125" s="357">
        <v>2</v>
      </c>
      <c r="D125" s="342" t="s">
        <v>183</v>
      </c>
      <c r="E125" s="342"/>
      <c r="F125" s="342"/>
      <c r="G125" s="342"/>
      <c r="H125" s="342"/>
      <c r="I125" s="342"/>
      <c r="J125" s="342"/>
      <c r="K125" s="342"/>
      <c r="L125" s="342"/>
      <c r="M125" s="342"/>
      <c r="N125" s="513"/>
      <c r="O125" s="342"/>
      <c r="P125" s="344">
        <v>2</v>
      </c>
      <c r="Q125" s="503">
        <f>Geometry!J27</f>
        <v>0</v>
      </c>
      <c r="R125" s="517" t="str">
        <f t="shared" si="1"/>
        <v/>
      </c>
      <c r="S125" s="344">
        <f>O109</f>
        <v>20</v>
      </c>
      <c r="T125" s="344">
        <f t="shared" si="2"/>
        <v>0</v>
      </c>
      <c r="U125" s="344">
        <f t="shared" si="3"/>
        <v>0</v>
      </c>
      <c r="V125" s="342"/>
      <c r="W125" s="342"/>
      <c r="X125" s="456"/>
      <c r="Y125" s="335"/>
      <c r="Z125" s="335"/>
      <c r="AA125" s="335"/>
      <c r="AB125" s="335"/>
      <c r="AC125" s="335"/>
    </row>
    <row r="126" spans="1:29" ht="12.95" customHeight="1" x14ac:dyDescent="0.2">
      <c r="A126" s="751"/>
      <c r="B126" s="753"/>
      <c r="C126" s="342"/>
      <c r="D126" s="342"/>
      <c r="E126" s="342"/>
      <c r="F126" s="342"/>
      <c r="G126" s="342"/>
      <c r="H126" s="342"/>
      <c r="I126" s="342"/>
      <c r="J126" s="342"/>
      <c r="K126" s="342"/>
      <c r="L126" s="342"/>
      <c r="M126" s="342"/>
      <c r="N126" s="513"/>
      <c r="O126" s="342"/>
      <c r="P126" s="344">
        <v>3</v>
      </c>
      <c r="Q126" s="503">
        <f>Geometry!J28</f>
        <v>0</v>
      </c>
      <c r="R126" s="517" t="str">
        <f t="shared" si="1"/>
        <v/>
      </c>
      <c r="S126" s="344">
        <f>O109</f>
        <v>20</v>
      </c>
      <c r="T126" s="344">
        <f t="shared" si="2"/>
        <v>0</v>
      </c>
      <c r="U126" s="344">
        <f t="shared" si="3"/>
        <v>0</v>
      </c>
      <c r="V126" s="342"/>
      <c r="W126" s="342"/>
      <c r="X126" s="456"/>
      <c r="Y126" s="335"/>
      <c r="Z126" s="335"/>
      <c r="AA126" s="335"/>
      <c r="AB126" s="335"/>
      <c r="AC126" s="335"/>
    </row>
    <row r="127" spans="1:29" ht="12.95" customHeight="1" x14ac:dyDescent="0.2">
      <c r="A127" s="751"/>
      <c r="B127" s="753"/>
      <c r="C127" s="342"/>
      <c r="D127" s="344" t="s">
        <v>184</v>
      </c>
      <c r="E127" s="342" t="s">
        <v>185</v>
      </c>
      <c r="F127" s="342"/>
      <c r="G127" s="342"/>
      <c r="H127" s="342"/>
      <c r="I127" s="342"/>
      <c r="J127" s="342"/>
      <c r="K127" s="342"/>
      <c r="L127" s="342"/>
      <c r="M127" s="342"/>
      <c r="N127" s="513"/>
      <c r="O127" s="342"/>
      <c r="P127" s="344">
        <v>4</v>
      </c>
      <c r="Q127" s="503">
        <f>Geometry!J29</f>
        <v>0</v>
      </c>
      <c r="R127" s="516" t="str">
        <f t="shared" si="1"/>
        <v/>
      </c>
      <c r="S127" s="344">
        <f>O109</f>
        <v>20</v>
      </c>
      <c r="T127" s="344">
        <f t="shared" si="2"/>
        <v>0</v>
      </c>
      <c r="U127" s="344">
        <f t="shared" si="3"/>
        <v>0</v>
      </c>
      <c r="V127" s="342"/>
      <c r="W127" s="342"/>
      <c r="X127" s="456"/>
      <c r="Y127" s="335"/>
      <c r="Z127" s="335"/>
      <c r="AA127" s="335"/>
      <c r="AB127" s="335"/>
      <c r="AC127" s="335"/>
    </row>
    <row r="128" spans="1:29" ht="12.95" customHeight="1" x14ac:dyDescent="0.2">
      <c r="A128" s="751"/>
      <c r="B128" s="753"/>
      <c r="C128" s="345"/>
      <c r="D128" s="345"/>
      <c r="E128" s="342" t="s">
        <v>186</v>
      </c>
      <c r="F128" s="342"/>
      <c r="G128" s="342"/>
      <c r="H128" s="342"/>
      <c r="I128" s="342"/>
      <c r="J128" s="342"/>
      <c r="K128" s="342"/>
      <c r="L128" s="342"/>
      <c r="M128" s="342"/>
      <c r="N128" s="513"/>
      <c r="O128" s="342"/>
      <c r="P128" s="344">
        <v>5</v>
      </c>
      <c r="Q128" s="503">
        <f>Geometry!J30</f>
        <v>0</v>
      </c>
      <c r="R128" s="517" t="str">
        <f t="shared" si="1"/>
        <v/>
      </c>
      <c r="S128" s="344">
        <f>O109</f>
        <v>20</v>
      </c>
      <c r="T128" s="344">
        <f t="shared" si="2"/>
        <v>0</v>
      </c>
      <c r="U128" s="344">
        <f t="shared" si="3"/>
        <v>0</v>
      </c>
      <c r="V128" s="342"/>
      <c r="W128" s="342"/>
      <c r="X128" s="456"/>
      <c r="Y128" s="335"/>
      <c r="Z128" s="335"/>
      <c r="AA128" s="335"/>
      <c r="AB128" s="335"/>
      <c r="AC128" s="335"/>
    </row>
    <row r="129" spans="1:29" ht="12.95" customHeight="1" x14ac:dyDescent="0.2">
      <c r="A129" s="751"/>
      <c r="B129" s="753"/>
      <c r="C129" s="345"/>
      <c r="D129" s="345"/>
      <c r="E129" s="342" t="s">
        <v>187</v>
      </c>
      <c r="F129" s="342"/>
      <c r="G129" s="342"/>
      <c r="H129" s="342"/>
      <c r="I129" s="342"/>
      <c r="J129" s="342"/>
      <c r="K129" s="342"/>
      <c r="L129" s="342"/>
      <c r="M129" s="342"/>
      <c r="N129" s="513"/>
      <c r="O129" s="342"/>
      <c r="P129" s="344">
        <v>6</v>
      </c>
      <c r="Q129" s="503">
        <f>Geometry!J31</f>
        <v>0</v>
      </c>
      <c r="R129" s="517" t="str">
        <f t="shared" si="1"/>
        <v/>
      </c>
      <c r="S129" s="344">
        <f>O109</f>
        <v>20</v>
      </c>
      <c r="T129" s="344">
        <f t="shared" si="2"/>
        <v>0</v>
      </c>
      <c r="U129" s="344">
        <f t="shared" si="3"/>
        <v>0</v>
      </c>
      <c r="V129" s="342"/>
      <c r="W129" s="342"/>
      <c r="X129" s="456"/>
      <c r="Y129" s="335"/>
      <c r="Z129" s="335"/>
      <c r="AA129" s="335"/>
      <c r="AB129" s="335"/>
      <c r="AC129" s="335"/>
    </row>
    <row r="130" spans="1:29" ht="12.95" customHeight="1" x14ac:dyDescent="0.2">
      <c r="A130" s="751"/>
      <c r="B130" s="753"/>
      <c r="C130" s="345"/>
      <c r="D130" s="342"/>
      <c r="E130" s="345"/>
      <c r="F130" s="342"/>
      <c r="G130" s="342"/>
      <c r="H130" s="342"/>
      <c r="I130" s="342"/>
      <c r="J130" s="342"/>
      <c r="K130" s="342"/>
      <c r="L130" s="342"/>
      <c r="M130" s="342"/>
      <c r="N130" s="513"/>
      <c r="O130" s="342"/>
      <c r="P130" s="344">
        <v>7</v>
      </c>
      <c r="Q130" s="503">
        <f>Geometry!J32</f>
        <v>0</v>
      </c>
      <c r="R130" s="516" t="str">
        <f t="shared" si="1"/>
        <v/>
      </c>
      <c r="S130" s="344">
        <f>O109</f>
        <v>20</v>
      </c>
      <c r="T130" s="344">
        <f t="shared" si="2"/>
        <v>0</v>
      </c>
      <c r="U130" s="344">
        <f t="shared" si="3"/>
        <v>0</v>
      </c>
      <c r="V130" s="342"/>
      <c r="W130" s="342"/>
      <c r="X130" s="456"/>
      <c r="Y130" s="335"/>
      <c r="Z130" s="335"/>
      <c r="AA130" s="335"/>
      <c r="AB130" s="335"/>
      <c r="AC130" s="335"/>
    </row>
    <row r="131" spans="1:29" ht="12.95" customHeight="1" x14ac:dyDescent="0.2">
      <c r="A131" s="751"/>
      <c r="B131" s="753"/>
      <c r="C131" s="342"/>
      <c r="D131" s="342"/>
      <c r="E131" s="342" t="s">
        <v>188</v>
      </c>
      <c r="F131" s="342"/>
      <c r="G131" s="342"/>
      <c r="H131" s="342"/>
      <c r="I131" s="342"/>
      <c r="J131" s="342"/>
      <c r="K131" s="342"/>
      <c r="L131" s="342"/>
      <c r="M131" s="342"/>
      <c r="N131" s="513"/>
      <c r="O131" s="342"/>
      <c r="P131" s="344">
        <v>8</v>
      </c>
      <c r="Q131" s="503">
        <f>Geometry!J33</f>
        <v>0</v>
      </c>
      <c r="R131" s="517" t="str">
        <f t="shared" si="1"/>
        <v/>
      </c>
      <c r="S131" s="344">
        <f>O109</f>
        <v>20</v>
      </c>
      <c r="T131" s="344">
        <f t="shared" si="2"/>
        <v>0</v>
      </c>
      <c r="U131" s="344">
        <f t="shared" si="3"/>
        <v>0</v>
      </c>
      <c r="V131" s="342"/>
      <c r="W131" s="342"/>
      <c r="X131" s="456"/>
      <c r="Y131" s="335"/>
      <c r="Z131" s="335"/>
      <c r="AA131" s="335"/>
      <c r="AB131" s="335"/>
      <c r="AC131" s="335"/>
    </row>
    <row r="132" spans="1:29" ht="12.95" customHeight="1" x14ac:dyDescent="0.2">
      <c r="A132" s="751"/>
      <c r="B132" s="753"/>
      <c r="C132" s="345"/>
      <c r="D132" s="342"/>
      <c r="E132" s="342" t="s">
        <v>189</v>
      </c>
      <c r="F132" s="342"/>
      <c r="G132" s="342"/>
      <c r="H132" s="342"/>
      <c r="I132" s="342"/>
      <c r="J132" s="342"/>
      <c r="K132" s="342"/>
      <c r="L132" s="342"/>
      <c r="M132" s="342"/>
      <c r="N132" s="513"/>
      <c r="O132" s="342"/>
      <c r="P132" s="344">
        <v>9</v>
      </c>
      <c r="Q132" s="503">
        <f>Geometry!J34</f>
        <v>0</v>
      </c>
      <c r="R132" s="517" t="str">
        <f t="shared" si="1"/>
        <v/>
      </c>
      <c r="S132" s="344">
        <f>O109</f>
        <v>20</v>
      </c>
      <c r="T132" s="344">
        <f t="shared" si="2"/>
        <v>0</v>
      </c>
      <c r="U132" s="344">
        <f t="shared" si="3"/>
        <v>0</v>
      </c>
      <c r="V132" s="342"/>
      <c r="W132" s="342"/>
      <c r="X132" s="456"/>
      <c r="Y132" s="335"/>
      <c r="Z132" s="335"/>
      <c r="AA132" s="335"/>
      <c r="AB132" s="335"/>
      <c r="AC132" s="335"/>
    </row>
    <row r="133" spans="1:29" ht="12.95" customHeight="1" x14ac:dyDescent="0.2">
      <c r="A133" s="751"/>
      <c r="B133" s="753"/>
      <c r="C133" s="342"/>
      <c r="D133" s="342"/>
      <c r="E133" s="342"/>
      <c r="F133" s="342"/>
      <c r="G133" s="342"/>
      <c r="H133" s="342"/>
      <c r="I133" s="342"/>
      <c r="J133" s="342"/>
      <c r="K133" s="342"/>
      <c r="L133" s="342"/>
      <c r="M133" s="342"/>
      <c r="N133" s="513"/>
      <c r="O133" s="342"/>
      <c r="P133" s="344">
        <v>10</v>
      </c>
      <c r="Q133" s="503">
        <f>Geometry!J35</f>
        <v>0</v>
      </c>
      <c r="R133" s="516" t="str">
        <f t="shared" si="1"/>
        <v/>
      </c>
      <c r="S133" s="344">
        <f>O109</f>
        <v>20</v>
      </c>
      <c r="T133" s="344">
        <f t="shared" si="2"/>
        <v>0</v>
      </c>
      <c r="U133" s="344">
        <f t="shared" si="3"/>
        <v>0</v>
      </c>
      <c r="V133" s="342"/>
      <c r="W133" s="342"/>
      <c r="X133" s="456"/>
      <c r="Y133" s="335"/>
      <c r="Z133" s="335"/>
      <c r="AA133" s="335"/>
      <c r="AB133" s="335"/>
      <c r="AC133" s="335"/>
    </row>
    <row r="134" spans="1:29" ht="12.95" customHeight="1" x14ac:dyDescent="0.2">
      <c r="A134" s="751"/>
      <c r="B134" s="753"/>
      <c r="C134" s="342"/>
      <c r="D134" s="342"/>
      <c r="E134" s="342" t="s">
        <v>190</v>
      </c>
      <c r="F134" s="342"/>
      <c r="G134" s="342"/>
      <c r="H134" s="342"/>
      <c r="I134" s="342"/>
      <c r="J134" s="342"/>
      <c r="K134" s="342"/>
      <c r="L134" s="342"/>
      <c r="M134" s="342"/>
      <c r="N134" s="513"/>
      <c r="O134" s="342"/>
      <c r="P134" s="344">
        <v>11</v>
      </c>
      <c r="Q134" s="503">
        <f>Geometry!J36</f>
        <v>0</v>
      </c>
      <c r="R134" s="517" t="str">
        <f t="shared" si="1"/>
        <v/>
      </c>
      <c r="S134" s="344">
        <f>O109</f>
        <v>20</v>
      </c>
      <c r="T134" s="344">
        <f t="shared" si="2"/>
        <v>0</v>
      </c>
      <c r="U134" s="344">
        <f t="shared" si="3"/>
        <v>0</v>
      </c>
      <c r="V134" s="342"/>
      <c r="W134" s="342"/>
      <c r="X134" s="456"/>
      <c r="Y134" s="335"/>
      <c r="Z134" s="335"/>
      <c r="AA134" s="335"/>
      <c r="AB134" s="335"/>
      <c r="AC134" s="335"/>
    </row>
    <row r="135" spans="1:29" ht="12.95" customHeight="1" x14ac:dyDescent="0.2">
      <c r="A135" s="751"/>
      <c r="B135" s="753"/>
      <c r="C135" s="345"/>
      <c r="D135" s="342"/>
      <c r="E135" s="342" t="s">
        <v>192</v>
      </c>
      <c r="F135" s="342"/>
      <c r="G135" s="342"/>
      <c r="H135" s="342"/>
      <c r="I135" s="342"/>
      <c r="J135" s="342"/>
      <c r="K135" s="342"/>
      <c r="L135" s="342"/>
      <c r="M135" s="342"/>
      <c r="N135" s="513"/>
      <c r="O135" s="342"/>
      <c r="P135" s="344">
        <v>12</v>
      </c>
      <c r="Q135" s="503">
        <f>Geometry!J37</f>
        <v>0</v>
      </c>
      <c r="R135" s="517" t="str">
        <f t="shared" si="1"/>
        <v/>
      </c>
      <c r="S135" s="344">
        <f>O109</f>
        <v>20</v>
      </c>
      <c r="T135" s="344">
        <f t="shared" si="2"/>
        <v>0</v>
      </c>
      <c r="U135" s="344">
        <f t="shared" si="3"/>
        <v>0</v>
      </c>
      <c r="V135" s="342"/>
      <c r="W135" s="342"/>
      <c r="X135" s="456"/>
      <c r="Y135" s="335"/>
      <c r="Z135" s="335"/>
      <c r="AA135" s="335"/>
      <c r="AB135" s="335"/>
      <c r="AC135" s="335"/>
    </row>
    <row r="136" spans="1:29" ht="12.95" customHeight="1" x14ac:dyDescent="0.2">
      <c r="A136" s="751"/>
      <c r="B136" s="753"/>
      <c r="C136" s="342"/>
      <c r="D136" s="342"/>
      <c r="E136" s="342"/>
      <c r="F136" s="342"/>
      <c r="G136" s="342"/>
      <c r="H136" s="342"/>
      <c r="I136" s="342"/>
      <c r="J136" s="342"/>
      <c r="K136" s="342"/>
      <c r="L136" s="342"/>
      <c r="M136" s="342"/>
      <c r="N136" s="513"/>
      <c r="O136" s="342"/>
      <c r="P136" s="344">
        <v>13</v>
      </c>
      <c r="Q136" s="503">
        <f>Geometry!J38</f>
        <v>0</v>
      </c>
      <c r="R136" s="516" t="str">
        <f t="shared" si="1"/>
        <v/>
      </c>
      <c r="S136" s="344">
        <f>O109</f>
        <v>20</v>
      </c>
      <c r="T136" s="344">
        <f t="shared" si="2"/>
        <v>0</v>
      </c>
      <c r="U136" s="344">
        <f t="shared" si="3"/>
        <v>0</v>
      </c>
      <c r="V136" s="342"/>
      <c r="W136" s="344"/>
      <c r="X136" s="511"/>
      <c r="Y136" s="335"/>
      <c r="Z136" s="335"/>
      <c r="AA136" s="335"/>
      <c r="AB136" s="335"/>
      <c r="AC136" s="335"/>
    </row>
    <row r="137" spans="1:29" ht="12.95" customHeight="1" x14ac:dyDescent="0.2">
      <c r="A137" s="751"/>
      <c r="B137" s="753"/>
      <c r="C137" s="342"/>
      <c r="D137" s="345"/>
      <c r="E137" s="557" t="s">
        <v>193</v>
      </c>
      <c r="F137" s="556" t="s">
        <v>194</v>
      </c>
      <c r="G137" s="556"/>
      <c r="H137" s="557" t="s">
        <v>193</v>
      </c>
      <c r="I137" s="556" t="s">
        <v>194</v>
      </c>
      <c r="J137" s="342"/>
      <c r="K137" s="342"/>
      <c r="L137" s="342"/>
      <c r="M137" s="342"/>
      <c r="N137" s="513"/>
      <c r="O137" s="342"/>
      <c r="P137" s="344">
        <v>14</v>
      </c>
      <c r="Q137" s="503">
        <f>Geometry!J39</f>
        <v>0</v>
      </c>
      <c r="R137" s="517" t="str">
        <f t="shared" si="1"/>
        <v/>
      </c>
      <c r="S137" s="344">
        <f>O109</f>
        <v>20</v>
      </c>
      <c r="T137" s="344">
        <f t="shared" si="2"/>
        <v>0</v>
      </c>
      <c r="U137" s="344">
        <f t="shared" si="3"/>
        <v>0</v>
      </c>
      <c r="V137" s="342"/>
      <c r="W137" s="344"/>
      <c r="X137" s="511"/>
      <c r="Y137" s="335"/>
      <c r="Z137" s="335"/>
      <c r="AA137" s="335"/>
      <c r="AB137" s="335"/>
      <c r="AC137" s="335"/>
    </row>
    <row r="138" spans="1:29" ht="12.95" customHeight="1" x14ac:dyDescent="0.2">
      <c r="A138" s="751"/>
      <c r="B138" s="753"/>
      <c r="C138" s="342"/>
      <c r="D138" s="345"/>
      <c r="E138" s="553" t="s">
        <v>195</v>
      </c>
      <c r="F138" s="553" t="s">
        <v>196</v>
      </c>
      <c r="G138" s="549"/>
      <c r="H138" s="553" t="s">
        <v>195</v>
      </c>
      <c r="I138" s="553" t="s">
        <v>196</v>
      </c>
      <c r="J138" s="342"/>
      <c r="K138" s="518" t="s">
        <v>197</v>
      </c>
      <c r="L138" s="518"/>
      <c r="M138" s="519"/>
      <c r="N138" s="513"/>
      <c r="O138" s="342"/>
      <c r="P138" s="342"/>
      <c r="Q138" s="342"/>
      <c r="R138" s="342"/>
      <c r="S138" s="342"/>
      <c r="T138" s="342"/>
      <c r="U138" s="344">
        <f>ROUND(SUM(U124:U137),2)</f>
        <v>0</v>
      </c>
      <c r="V138" s="346"/>
      <c r="W138" s="342" t="s">
        <v>144</v>
      </c>
      <c r="X138" s="511"/>
      <c r="Y138" s="335"/>
      <c r="Z138" s="335"/>
      <c r="AA138" s="335"/>
      <c r="AB138" s="335"/>
      <c r="AC138" s="335"/>
    </row>
    <row r="139" spans="1:29" ht="12.95" customHeight="1" x14ac:dyDescent="0.2">
      <c r="A139" s="751"/>
      <c r="B139" s="509"/>
      <c r="C139" s="342"/>
      <c r="D139" s="345"/>
      <c r="E139" s="549">
        <v>10</v>
      </c>
      <c r="F139" s="558" t="s">
        <v>198</v>
      </c>
      <c r="G139" s="549"/>
      <c r="H139" s="549">
        <v>35</v>
      </c>
      <c r="I139" s="558">
        <v>250</v>
      </c>
      <c r="J139" s="342"/>
      <c r="K139" s="518" t="s">
        <v>199</v>
      </c>
      <c r="L139" s="518"/>
      <c r="M139" s="519"/>
      <c r="N139" s="513"/>
      <c r="O139" s="342"/>
      <c r="P139" s="342"/>
      <c r="Q139" s="342" t="s">
        <v>144</v>
      </c>
      <c r="R139" s="344">
        <f>SUM(U124:U137)</f>
        <v>0</v>
      </c>
      <c r="S139" s="342"/>
      <c r="T139" s="342"/>
      <c r="U139" s="342"/>
      <c r="V139" s="342"/>
      <c r="W139" s="344"/>
      <c r="X139" s="511"/>
      <c r="Y139" s="335"/>
      <c r="Z139" s="335"/>
      <c r="AA139" s="335"/>
      <c r="AB139" s="335"/>
      <c r="AC139" s="335"/>
    </row>
    <row r="140" spans="1:29" ht="12.95" customHeight="1" x14ac:dyDescent="0.2">
      <c r="A140" s="751"/>
      <c r="B140" s="509"/>
      <c r="C140" s="342"/>
      <c r="D140" s="345"/>
      <c r="E140" s="549">
        <v>15</v>
      </c>
      <c r="F140" s="558">
        <v>80</v>
      </c>
      <c r="G140" s="549"/>
      <c r="H140" s="549">
        <v>40</v>
      </c>
      <c r="I140" s="558">
        <v>305</v>
      </c>
      <c r="J140" s="342"/>
      <c r="K140" s="518" t="s">
        <v>200</v>
      </c>
      <c r="L140" s="518"/>
      <c r="M140" s="519"/>
      <c r="N140" s="513"/>
      <c r="O140" s="342"/>
      <c r="P140" s="342"/>
      <c r="Q140" s="346" t="s">
        <v>43</v>
      </c>
      <c r="R140" s="344">
        <f>'Traffic &amp; Accidents'!E46</f>
        <v>0</v>
      </c>
      <c r="S140" s="342" t="s">
        <v>221</v>
      </c>
      <c r="T140" s="342"/>
      <c r="U140" s="342"/>
      <c r="V140" s="342"/>
      <c r="W140" s="344"/>
      <c r="X140" s="511"/>
      <c r="Y140" s="335"/>
      <c r="Z140" s="335"/>
      <c r="AA140" s="335"/>
      <c r="AB140" s="335"/>
      <c r="AC140" s="335"/>
    </row>
    <row r="141" spans="1:29" ht="12.95" customHeight="1" x14ac:dyDescent="0.2">
      <c r="A141" s="751"/>
      <c r="B141" s="509"/>
      <c r="C141" s="342"/>
      <c r="D141" s="345"/>
      <c r="E141" s="549">
        <v>20</v>
      </c>
      <c r="F141" s="558">
        <v>115</v>
      </c>
      <c r="G141" s="549"/>
      <c r="H141" s="549">
        <v>45</v>
      </c>
      <c r="I141" s="558">
        <v>360</v>
      </c>
      <c r="J141" s="342"/>
      <c r="K141" s="520"/>
      <c r="L141" s="521" t="s">
        <v>202</v>
      </c>
      <c r="M141" s="342"/>
      <c r="N141" s="513"/>
      <c r="O141" s="342"/>
      <c r="P141" s="342"/>
      <c r="Q141" s="342"/>
      <c r="R141" s="522" t="e">
        <f>R139/(3*R140)</f>
        <v>#DIV/0!</v>
      </c>
      <c r="S141" s="342"/>
      <c r="T141" s="342"/>
      <c r="U141" s="342"/>
      <c r="V141" s="342"/>
      <c r="W141" s="342"/>
      <c r="X141" s="456"/>
      <c r="Y141" s="335"/>
      <c r="Z141" s="335"/>
      <c r="AA141" s="335"/>
      <c r="AB141" s="335"/>
      <c r="AC141" s="335"/>
    </row>
    <row r="142" spans="1:29" ht="12.95" customHeight="1" x14ac:dyDescent="0.2">
      <c r="A142" s="751"/>
      <c r="B142" s="509"/>
      <c r="C142" s="342"/>
      <c r="D142" s="345"/>
      <c r="E142" s="549">
        <v>25</v>
      </c>
      <c r="F142" s="558">
        <v>155</v>
      </c>
      <c r="G142" s="549"/>
      <c r="H142" s="549">
        <v>50</v>
      </c>
      <c r="I142" s="558">
        <v>425</v>
      </c>
      <c r="J142" s="342"/>
      <c r="K142" s="520"/>
      <c r="L142" s="521" t="s">
        <v>203</v>
      </c>
      <c r="M142" s="342"/>
      <c r="N142" s="513"/>
      <c r="O142" s="342"/>
      <c r="P142" s="342"/>
      <c r="Q142" s="342" t="s">
        <v>191</v>
      </c>
      <c r="R142" s="344" t="e">
        <f>ROUND(R141,3)</f>
        <v>#DIV/0!</v>
      </c>
      <c r="S142" s="342"/>
      <c r="T142" s="342"/>
      <c r="U142" s="344">
        <f>ROUND(U141,3)</f>
        <v>0</v>
      </c>
      <c r="V142" s="342"/>
      <c r="W142" s="342"/>
      <c r="X142" s="456"/>
      <c r="Y142" s="335"/>
      <c r="Z142" s="335"/>
      <c r="AA142" s="335"/>
      <c r="AB142" s="335"/>
      <c r="AC142" s="335"/>
    </row>
    <row r="143" spans="1:29" ht="12.95" customHeight="1" x14ac:dyDescent="0.2">
      <c r="A143" s="751"/>
      <c r="B143" s="509"/>
      <c r="C143" s="342"/>
      <c r="D143" s="345"/>
      <c r="E143" s="549">
        <v>30</v>
      </c>
      <c r="F143" s="558">
        <v>200</v>
      </c>
      <c r="G143" s="549"/>
      <c r="H143" s="549">
        <v>55</v>
      </c>
      <c r="I143" s="558">
        <v>495</v>
      </c>
      <c r="J143" s="342"/>
      <c r="K143" s="520"/>
      <c r="L143" s="521" t="s">
        <v>204</v>
      </c>
      <c r="M143" s="342"/>
      <c r="N143" s="513"/>
      <c r="O143" s="342"/>
      <c r="P143" s="342"/>
      <c r="Q143" s="346" t="s">
        <v>157</v>
      </c>
      <c r="R143" s="523" t="e">
        <f>IF(R142*7.142857&gt;5,5,R142*7.142857)</f>
        <v>#DIV/0!</v>
      </c>
      <c r="S143" s="342"/>
      <c r="T143" s="342"/>
      <c r="U143" s="342"/>
      <c r="V143" s="342"/>
      <c r="W143" s="342"/>
      <c r="X143" s="456"/>
      <c r="Y143" s="335"/>
      <c r="Z143" s="335"/>
      <c r="AA143" s="335"/>
      <c r="AB143" s="335"/>
      <c r="AC143" s="335"/>
    </row>
    <row r="144" spans="1:29" ht="12.95" customHeight="1" x14ac:dyDescent="0.2">
      <c r="A144" s="751"/>
      <c r="B144" s="509"/>
      <c r="C144" s="342"/>
      <c r="D144" s="342"/>
      <c r="E144" s="543"/>
      <c r="F144" s="543"/>
      <c r="G144" s="543"/>
      <c r="H144" s="549">
        <v>60</v>
      </c>
      <c r="I144" s="558">
        <v>570</v>
      </c>
      <c r="J144" s="342"/>
      <c r="K144" s="520"/>
      <c r="L144" s="521" t="s">
        <v>226</v>
      </c>
      <c r="M144" s="342"/>
      <c r="N144" s="513"/>
      <c r="O144" s="342"/>
      <c r="P144" s="342"/>
      <c r="Q144" s="346" t="s">
        <v>158</v>
      </c>
      <c r="R144" s="524" t="e">
        <f>ROUNDUP(R143,0)</f>
        <v>#DIV/0!</v>
      </c>
      <c r="S144" s="342"/>
      <c r="T144" s="342"/>
      <c r="U144" s="342"/>
      <c r="V144" s="342"/>
      <c r="W144" s="342"/>
      <c r="X144" s="456"/>
      <c r="Y144" s="335"/>
      <c r="Z144" s="335"/>
      <c r="AA144" s="335"/>
      <c r="AB144" s="335"/>
      <c r="AC144" s="335"/>
    </row>
    <row r="145" spans="1:29" ht="12.95" customHeight="1" x14ac:dyDescent="0.2">
      <c r="A145" s="751"/>
      <c r="B145" s="509"/>
      <c r="C145" s="342"/>
      <c r="D145" s="342"/>
      <c r="E145" s="520" t="s">
        <v>205</v>
      </c>
      <c r="F145" s="520"/>
      <c r="G145" s="520"/>
      <c r="H145" s="520"/>
      <c r="I145" s="520"/>
      <c r="J145" s="520"/>
      <c r="K145" s="342"/>
      <c r="L145" s="342"/>
      <c r="M145" s="342"/>
      <c r="N145" s="513"/>
      <c r="O145" s="342"/>
      <c r="P145" s="342"/>
      <c r="Q145" s="342"/>
      <c r="R145" s="342"/>
      <c r="S145" s="342"/>
      <c r="T145" s="342"/>
      <c r="U145" s="342"/>
      <c r="V145" s="342"/>
      <c r="W145" s="342"/>
      <c r="X145" s="456"/>
      <c r="Y145" s="335"/>
      <c r="Z145" s="335"/>
      <c r="AA145" s="335"/>
      <c r="AB145" s="335"/>
      <c r="AC145" s="335"/>
    </row>
    <row r="146" spans="1:29" ht="12.95" customHeight="1" x14ac:dyDescent="0.2">
      <c r="A146" s="751"/>
      <c r="B146" s="509"/>
      <c r="C146" s="342"/>
      <c r="D146" s="342" t="s">
        <v>206</v>
      </c>
      <c r="E146" s="342"/>
      <c r="F146" s="342"/>
      <c r="G146" s="342"/>
      <c r="H146" s="342"/>
      <c r="I146" s="342"/>
      <c r="J146" s="342"/>
      <c r="K146" s="342"/>
      <c r="L146" s="342"/>
      <c r="M146" s="342"/>
      <c r="N146" s="513"/>
      <c r="O146" s="342"/>
      <c r="P146" s="342"/>
      <c r="Q146" s="342"/>
      <c r="R146" s="342"/>
      <c r="S146" s="342"/>
      <c r="T146" s="342"/>
      <c r="U146" s="342"/>
      <c r="V146" s="342"/>
      <c r="W146" s="342"/>
      <c r="X146" s="456"/>
      <c r="Y146" s="335"/>
      <c r="Z146" s="335"/>
      <c r="AA146" s="335"/>
      <c r="AB146" s="335"/>
      <c r="AC146" s="335"/>
    </row>
    <row r="147" spans="1:29" ht="12.95" customHeight="1" x14ac:dyDescent="0.2">
      <c r="A147" s="751"/>
      <c r="B147" s="509"/>
      <c r="C147" s="342"/>
      <c r="D147" s="342"/>
      <c r="E147" s="342" t="s">
        <v>207</v>
      </c>
      <c r="F147" s="342"/>
      <c r="G147" s="342"/>
      <c r="H147" s="342"/>
      <c r="I147" s="342"/>
      <c r="J147" s="342"/>
      <c r="K147" s="342"/>
      <c r="L147" s="342"/>
      <c r="M147" s="342"/>
      <c r="N147" s="513"/>
      <c r="O147" s="342"/>
      <c r="P147" s="342"/>
      <c r="Q147" s="342"/>
      <c r="R147" s="342"/>
      <c r="S147" s="342"/>
      <c r="T147" s="342"/>
      <c r="U147" s="342"/>
      <c r="V147" s="342"/>
      <c r="W147" s="342"/>
      <c r="X147" s="456"/>
      <c r="Y147" s="335"/>
      <c r="Z147" s="335"/>
      <c r="AA147" s="335"/>
      <c r="AB147" s="335"/>
      <c r="AC147" s="335"/>
    </row>
    <row r="148" spans="1:29" ht="12.95" customHeight="1" x14ac:dyDescent="0.2">
      <c r="A148" s="751"/>
      <c r="B148" s="509"/>
      <c r="C148" s="342"/>
      <c r="D148" s="344" t="s">
        <v>208</v>
      </c>
      <c r="E148" s="342" t="s">
        <v>209</v>
      </c>
      <c r="F148" s="342"/>
      <c r="G148" s="342"/>
      <c r="H148" s="342"/>
      <c r="I148" s="342"/>
      <c r="J148" s="342"/>
      <c r="K148" s="342"/>
      <c r="L148" s="342"/>
      <c r="M148" s="342"/>
      <c r="N148" s="547" t="s">
        <v>201</v>
      </c>
      <c r="O148" s="547"/>
      <c r="P148" s="547"/>
      <c r="Q148" s="547"/>
      <c r="R148" s="543"/>
      <c r="S148" s="543"/>
      <c r="T148" s="543"/>
      <c r="U148" s="543"/>
      <c r="V148" s="543"/>
      <c r="W148" s="543"/>
      <c r="X148" s="548"/>
      <c r="Y148" s="335"/>
      <c r="Z148" s="335"/>
      <c r="AA148" s="335"/>
      <c r="AB148" s="335"/>
      <c r="AC148" s="335"/>
    </row>
    <row r="149" spans="1:29" ht="12.95" customHeight="1" x14ac:dyDescent="0.2">
      <c r="A149" s="751"/>
      <c r="B149" s="509"/>
      <c r="C149" s="345"/>
      <c r="D149" s="344"/>
      <c r="E149" s="342" t="s">
        <v>210</v>
      </c>
      <c r="F149" s="342"/>
      <c r="G149" s="342"/>
      <c r="H149" s="342"/>
      <c r="I149" s="342"/>
      <c r="J149" s="342"/>
      <c r="K149" s="342"/>
      <c r="L149" s="342"/>
      <c r="M149" s="342"/>
      <c r="N149" s="549">
        <f t="shared" ref="N149:N162" si="4">IF(AND(Q124&gt;=0,Q124&lt;=80),10+((Q124-0)/80)*5,O149)</f>
        <v>10</v>
      </c>
      <c r="O149" s="549">
        <f t="shared" ref="O149:O162" si="5">IF(AND(Q124&gt;80,Q124&lt;=115),15+((Q124-80)/35)*5,P149)</f>
        <v>0</v>
      </c>
      <c r="P149" s="549">
        <f t="shared" ref="P149:P162" si="6">IF(AND(Q124&gt;115,Q124&lt;=155),20+((Q124-115)/40)*5,Q149)</f>
        <v>0</v>
      </c>
      <c r="Q149" s="549">
        <f t="shared" ref="Q149:Q162" si="7">IF(AND(Q124&gt;155,Q124&lt;=200),25+((Q124-155)/45)*5,R149)</f>
        <v>0</v>
      </c>
      <c r="R149" s="549">
        <f t="shared" ref="R149:R162" si="8">IF(AND(Q124&gt;200,Q124&lt;=250),30+((Q124-200)/50)*5,S149)</f>
        <v>0</v>
      </c>
      <c r="S149" s="549">
        <f t="shared" ref="S149:S162" si="9">IF(AND(Q124&gt;250,Q124&lt;=305),35+((Q124-250)/55)*5,T149)</f>
        <v>0</v>
      </c>
      <c r="T149" s="549">
        <f t="shared" ref="T149:T162" si="10">IF(AND(Q124&gt;305,Q124&lt;=360),40+((Q124-305)/55)*5,U149)</f>
        <v>0</v>
      </c>
      <c r="U149" s="549">
        <f t="shared" ref="U149:U162" si="11">IF(AND(Q124&gt;360,Q124&lt;=425),45+((Q124-360)/65)*5,V149)</f>
        <v>0</v>
      </c>
      <c r="V149" s="549">
        <f t="shared" ref="V149:V162" si="12">IF(AND(Q124&gt;425,Q124&lt;=495),50+((Q124-425)/70)*5,W149)</f>
        <v>0</v>
      </c>
      <c r="W149" s="549">
        <f t="shared" ref="W149:W162" si="13">IF(AND(Q124&gt;495,Q124&lt;=570),55+((Q124-495)/75)*5,X149)</f>
        <v>0</v>
      </c>
      <c r="X149" s="550">
        <f t="shared" ref="X149:X162" si="14">IF(Q124&gt;570,60,0)</f>
        <v>0</v>
      </c>
      <c r="Y149" s="335"/>
      <c r="Z149" s="335"/>
      <c r="AA149" s="335"/>
      <c r="AB149" s="335"/>
      <c r="AC149" s="335"/>
    </row>
    <row r="150" spans="1:29" ht="12.95" customHeight="1" x14ac:dyDescent="0.2">
      <c r="B150" s="509"/>
      <c r="C150" s="342" t="s">
        <v>73</v>
      </c>
      <c r="D150" s="344"/>
      <c r="E150" s="342"/>
      <c r="F150" s="342"/>
      <c r="G150" s="342"/>
      <c r="H150" s="342"/>
      <c r="I150" s="342"/>
      <c r="J150" s="342"/>
      <c r="K150" s="342"/>
      <c r="L150" s="342"/>
      <c r="M150" s="342"/>
      <c r="N150" s="549">
        <f t="shared" si="4"/>
        <v>10</v>
      </c>
      <c r="O150" s="549">
        <f t="shared" si="5"/>
        <v>0</v>
      </c>
      <c r="P150" s="549">
        <f t="shared" si="6"/>
        <v>0</v>
      </c>
      <c r="Q150" s="549">
        <f t="shared" si="7"/>
        <v>0</v>
      </c>
      <c r="R150" s="549">
        <f t="shared" si="8"/>
        <v>0</v>
      </c>
      <c r="S150" s="549">
        <f t="shared" si="9"/>
        <v>0</v>
      </c>
      <c r="T150" s="549">
        <f t="shared" si="10"/>
        <v>0</v>
      </c>
      <c r="U150" s="549">
        <f t="shared" si="11"/>
        <v>0</v>
      </c>
      <c r="V150" s="549">
        <f t="shared" si="12"/>
        <v>0</v>
      </c>
      <c r="W150" s="549">
        <f t="shared" si="13"/>
        <v>0</v>
      </c>
      <c r="X150" s="550">
        <f t="shared" si="14"/>
        <v>0</v>
      </c>
      <c r="Y150" s="335"/>
      <c r="Z150" s="335"/>
      <c r="AA150" s="335"/>
      <c r="AB150" s="335"/>
      <c r="AC150" s="335"/>
    </row>
    <row r="151" spans="1:29" ht="12.95" customHeight="1" x14ac:dyDescent="0.2">
      <c r="B151" s="509"/>
      <c r="C151" s="342"/>
      <c r="D151" s="344" t="s">
        <v>211</v>
      </c>
      <c r="E151" s="342" t="s">
        <v>212</v>
      </c>
      <c r="F151" s="342"/>
      <c r="G151" s="342"/>
      <c r="H151" s="342"/>
      <c r="I151" s="342"/>
      <c r="J151" s="342"/>
      <c r="K151" s="342"/>
      <c r="L151" s="342"/>
      <c r="M151" s="342"/>
      <c r="N151" s="549">
        <f t="shared" si="4"/>
        <v>10</v>
      </c>
      <c r="O151" s="549">
        <f t="shared" si="5"/>
        <v>0</v>
      </c>
      <c r="P151" s="549">
        <f t="shared" si="6"/>
        <v>0</v>
      </c>
      <c r="Q151" s="549">
        <f t="shared" si="7"/>
        <v>0</v>
      </c>
      <c r="R151" s="549">
        <f t="shared" si="8"/>
        <v>0</v>
      </c>
      <c r="S151" s="549">
        <f t="shared" si="9"/>
        <v>0</v>
      </c>
      <c r="T151" s="549">
        <f t="shared" si="10"/>
        <v>0</v>
      </c>
      <c r="U151" s="549">
        <f t="shared" si="11"/>
        <v>0</v>
      </c>
      <c r="V151" s="549">
        <f t="shared" si="12"/>
        <v>0</v>
      </c>
      <c r="W151" s="549">
        <f t="shared" si="13"/>
        <v>0</v>
      </c>
      <c r="X151" s="550">
        <f t="shared" si="14"/>
        <v>0</v>
      </c>
      <c r="Y151" s="335"/>
      <c r="Z151" s="335"/>
      <c r="AA151" s="335"/>
      <c r="AB151" s="335"/>
      <c r="AC151" s="335"/>
    </row>
    <row r="152" spans="1:29" ht="12.95" customHeight="1" x14ac:dyDescent="0.2">
      <c r="B152" s="509"/>
      <c r="C152" s="342"/>
      <c r="D152" s="342"/>
      <c r="E152" s="342"/>
      <c r="F152" s="342" t="s">
        <v>213</v>
      </c>
      <c r="G152" s="342"/>
      <c r="H152" s="342"/>
      <c r="I152" s="342"/>
      <c r="J152" s="342"/>
      <c r="K152" s="342"/>
      <c r="L152" s="342"/>
      <c r="M152" s="342"/>
      <c r="N152" s="549">
        <f t="shared" si="4"/>
        <v>10</v>
      </c>
      <c r="O152" s="549">
        <f t="shared" si="5"/>
        <v>0</v>
      </c>
      <c r="P152" s="549">
        <f t="shared" si="6"/>
        <v>0</v>
      </c>
      <c r="Q152" s="549">
        <f t="shared" si="7"/>
        <v>0</v>
      </c>
      <c r="R152" s="549">
        <f t="shared" si="8"/>
        <v>0</v>
      </c>
      <c r="S152" s="549">
        <f t="shared" si="9"/>
        <v>0</v>
      </c>
      <c r="T152" s="549">
        <f t="shared" si="10"/>
        <v>0</v>
      </c>
      <c r="U152" s="549">
        <f t="shared" si="11"/>
        <v>0</v>
      </c>
      <c r="V152" s="549">
        <f t="shared" si="12"/>
        <v>0</v>
      </c>
      <c r="W152" s="549">
        <f t="shared" si="13"/>
        <v>0</v>
      </c>
      <c r="X152" s="550">
        <f t="shared" si="14"/>
        <v>0</v>
      </c>
      <c r="Y152" s="335"/>
      <c r="Z152" s="335"/>
      <c r="AA152" s="335"/>
      <c r="AB152" s="335"/>
      <c r="AC152" s="335"/>
    </row>
    <row r="153" spans="1:29" ht="12.95" customHeight="1" x14ac:dyDescent="0.2">
      <c r="B153" s="509"/>
      <c r="C153" s="342"/>
      <c r="D153" s="342"/>
      <c r="E153" s="342"/>
      <c r="F153" s="342"/>
      <c r="G153" s="342"/>
      <c r="H153" s="342"/>
      <c r="I153" s="342"/>
      <c r="J153" s="342"/>
      <c r="K153" s="342"/>
      <c r="L153" s="342"/>
      <c r="M153" s="342"/>
      <c r="N153" s="549">
        <f t="shared" si="4"/>
        <v>10</v>
      </c>
      <c r="O153" s="549">
        <f t="shared" si="5"/>
        <v>0</v>
      </c>
      <c r="P153" s="549">
        <f t="shared" si="6"/>
        <v>0</v>
      </c>
      <c r="Q153" s="549">
        <f t="shared" si="7"/>
        <v>0</v>
      </c>
      <c r="R153" s="549">
        <f t="shared" si="8"/>
        <v>0</v>
      </c>
      <c r="S153" s="549">
        <f t="shared" si="9"/>
        <v>0</v>
      </c>
      <c r="T153" s="549">
        <f t="shared" si="10"/>
        <v>0</v>
      </c>
      <c r="U153" s="549">
        <f t="shared" si="11"/>
        <v>0</v>
      </c>
      <c r="V153" s="549">
        <f t="shared" si="12"/>
        <v>0</v>
      </c>
      <c r="W153" s="549">
        <f t="shared" si="13"/>
        <v>0</v>
      </c>
      <c r="X153" s="550">
        <f t="shared" si="14"/>
        <v>0</v>
      </c>
      <c r="Y153" s="335"/>
      <c r="Z153" s="335"/>
      <c r="AA153" s="335"/>
      <c r="AB153" s="335"/>
      <c r="AC153" s="335"/>
    </row>
    <row r="154" spans="1:29" ht="12.95" customHeight="1" x14ac:dyDescent="0.2">
      <c r="B154" s="509"/>
      <c r="C154" s="357">
        <v>3</v>
      </c>
      <c r="D154" s="342" t="s">
        <v>214</v>
      </c>
      <c r="E154" s="342"/>
      <c r="F154" s="342"/>
      <c r="G154" s="342" t="s">
        <v>215</v>
      </c>
      <c r="H154" s="342"/>
      <c r="I154" s="342"/>
      <c r="J154" s="342"/>
      <c r="K154" s="342"/>
      <c r="L154" s="342"/>
      <c r="M154" s="342"/>
      <c r="N154" s="549">
        <f t="shared" si="4"/>
        <v>10</v>
      </c>
      <c r="O154" s="549">
        <f t="shared" si="5"/>
        <v>0</v>
      </c>
      <c r="P154" s="549">
        <f t="shared" si="6"/>
        <v>0</v>
      </c>
      <c r="Q154" s="549">
        <f t="shared" si="7"/>
        <v>0</v>
      </c>
      <c r="R154" s="549">
        <f t="shared" si="8"/>
        <v>0</v>
      </c>
      <c r="S154" s="549">
        <f t="shared" si="9"/>
        <v>0</v>
      </c>
      <c r="T154" s="549">
        <f t="shared" si="10"/>
        <v>0</v>
      </c>
      <c r="U154" s="549">
        <f t="shared" si="11"/>
        <v>0</v>
      </c>
      <c r="V154" s="549">
        <f t="shared" si="12"/>
        <v>0</v>
      </c>
      <c r="W154" s="549">
        <f t="shared" si="13"/>
        <v>0</v>
      </c>
      <c r="X154" s="550">
        <f t="shared" si="14"/>
        <v>0</v>
      </c>
      <c r="Y154" s="335"/>
      <c r="Z154" s="335"/>
      <c r="AA154" s="335"/>
      <c r="AB154" s="335"/>
      <c r="AC154" s="335"/>
    </row>
    <row r="155" spans="1:29" ht="12.95" customHeight="1" x14ac:dyDescent="0.2">
      <c r="B155" s="509"/>
      <c r="C155" s="342" t="s">
        <v>73</v>
      </c>
      <c r="D155" s="342"/>
      <c r="E155" s="342"/>
      <c r="F155" s="342"/>
      <c r="G155" s="342"/>
      <c r="H155" s="342"/>
      <c r="I155" s="342"/>
      <c r="J155" s="342"/>
      <c r="K155" s="342"/>
      <c r="L155" s="342"/>
      <c r="M155" s="342"/>
      <c r="N155" s="549">
        <f t="shared" si="4"/>
        <v>10</v>
      </c>
      <c r="O155" s="549">
        <f t="shared" si="5"/>
        <v>0</v>
      </c>
      <c r="P155" s="549">
        <f t="shared" si="6"/>
        <v>0</v>
      </c>
      <c r="Q155" s="549">
        <f t="shared" si="7"/>
        <v>0</v>
      </c>
      <c r="R155" s="549">
        <f t="shared" si="8"/>
        <v>0</v>
      </c>
      <c r="S155" s="549">
        <f t="shared" si="9"/>
        <v>0</v>
      </c>
      <c r="T155" s="549">
        <f t="shared" si="10"/>
        <v>0</v>
      </c>
      <c r="U155" s="549">
        <f t="shared" si="11"/>
        <v>0</v>
      </c>
      <c r="V155" s="549">
        <f t="shared" si="12"/>
        <v>0</v>
      </c>
      <c r="W155" s="549">
        <f t="shared" si="13"/>
        <v>0</v>
      </c>
      <c r="X155" s="550">
        <f t="shared" si="14"/>
        <v>0</v>
      </c>
      <c r="Y155" s="335"/>
      <c r="Z155" s="335"/>
      <c r="AA155" s="335"/>
      <c r="AB155" s="335"/>
      <c r="AC155" s="335"/>
    </row>
    <row r="156" spans="1:29" ht="12.95" customHeight="1" x14ac:dyDescent="0.2">
      <c r="B156" s="509"/>
      <c r="C156" s="345"/>
      <c r="D156" s="345"/>
      <c r="E156" s="553" t="s">
        <v>216</v>
      </c>
      <c r="F156" s="553" t="s">
        <v>191</v>
      </c>
      <c r="G156" s="554"/>
      <c r="H156" s="348"/>
      <c r="I156" s="348"/>
      <c r="J156" s="342"/>
      <c r="K156" s="342"/>
      <c r="L156" s="342"/>
      <c r="M156" s="342"/>
      <c r="N156" s="549">
        <f t="shared" si="4"/>
        <v>10</v>
      </c>
      <c r="O156" s="549">
        <f t="shared" si="5"/>
        <v>0</v>
      </c>
      <c r="P156" s="549">
        <f t="shared" si="6"/>
        <v>0</v>
      </c>
      <c r="Q156" s="549">
        <f t="shared" si="7"/>
        <v>0</v>
      </c>
      <c r="R156" s="549">
        <f t="shared" si="8"/>
        <v>0</v>
      </c>
      <c r="S156" s="549">
        <f t="shared" si="9"/>
        <v>0</v>
      </c>
      <c r="T156" s="549">
        <f t="shared" si="10"/>
        <v>0</v>
      </c>
      <c r="U156" s="549">
        <f t="shared" si="11"/>
        <v>0</v>
      </c>
      <c r="V156" s="549">
        <f t="shared" si="12"/>
        <v>0</v>
      </c>
      <c r="W156" s="549">
        <f t="shared" si="13"/>
        <v>0</v>
      </c>
      <c r="X156" s="550">
        <f t="shared" si="14"/>
        <v>0</v>
      </c>
      <c r="Y156" s="335"/>
      <c r="Z156" s="335"/>
      <c r="AA156" s="335"/>
      <c r="AB156" s="335"/>
      <c r="AC156" s="335"/>
    </row>
    <row r="157" spans="1:29" ht="12.95" customHeight="1" x14ac:dyDescent="0.2">
      <c r="B157" s="509"/>
      <c r="C157" s="345"/>
      <c r="D157" s="345"/>
      <c r="E157" s="555">
        <v>1</v>
      </c>
      <c r="F157" s="556" t="s">
        <v>366</v>
      </c>
      <c r="G157" s="556"/>
      <c r="H157" s="507"/>
      <c r="I157" s="520"/>
      <c r="J157" s="520"/>
      <c r="K157" s="342"/>
      <c r="L157" s="342"/>
      <c r="M157" s="342"/>
      <c r="N157" s="549">
        <f t="shared" si="4"/>
        <v>10</v>
      </c>
      <c r="O157" s="549">
        <f t="shared" si="5"/>
        <v>0</v>
      </c>
      <c r="P157" s="549">
        <f t="shared" si="6"/>
        <v>0</v>
      </c>
      <c r="Q157" s="549">
        <f t="shared" si="7"/>
        <v>0</v>
      </c>
      <c r="R157" s="549">
        <f t="shared" si="8"/>
        <v>0</v>
      </c>
      <c r="S157" s="549">
        <f t="shared" si="9"/>
        <v>0</v>
      </c>
      <c r="T157" s="549">
        <f t="shared" si="10"/>
        <v>0</v>
      </c>
      <c r="U157" s="549">
        <f t="shared" si="11"/>
        <v>0</v>
      </c>
      <c r="V157" s="549">
        <f t="shared" si="12"/>
        <v>0</v>
      </c>
      <c r="W157" s="549">
        <f t="shared" si="13"/>
        <v>0</v>
      </c>
      <c r="X157" s="550">
        <f t="shared" si="14"/>
        <v>0</v>
      </c>
      <c r="Y157" s="335"/>
      <c r="Z157" s="335"/>
      <c r="AA157" s="335"/>
      <c r="AB157" s="335"/>
      <c r="AC157" s="335"/>
    </row>
    <row r="158" spans="1:29" ht="12.95" customHeight="1" x14ac:dyDescent="0.2">
      <c r="B158" s="509"/>
      <c r="C158" s="345"/>
      <c r="D158" s="345"/>
      <c r="E158" s="555">
        <v>2</v>
      </c>
      <c r="F158" s="556" t="s">
        <v>367</v>
      </c>
      <c r="G158" s="556"/>
      <c r="H158" s="507"/>
      <c r="I158" s="520"/>
      <c r="J158" s="520"/>
      <c r="K158" s="342"/>
      <c r="L158" s="342"/>
      <c r="M158" s="342"/>
      <c r="N158" s="549">
        <f t="shared" si="4"/>
        <v>10</v>
      </c>
      <c r="O158" s="549">
        <f t="shared" si="5"/>
        <v>0</v>
      </c>
      <c r="P158" s="549">
        <f t="shared" si="6"/>
        <v>0</v>
      </c>
      <c r="Q158" s="549">
        <f t="shared" si="7"/>
        <v>0</v>
      </c>
      <c r="R158" s="549">
        <f t="shared" si="8"/>
        <v>0</v>
      </c>
      <c r="S158" s="549">
        <f t="shared" si="9"/>
        <v>0</v>
      </c>
      <c r="T158" s="549">
        <f t="shared" si="10"/>
        <v>0</v>
      </c>
      <c r="U158" s="549">
        <f t="shared" si="11"/>
        <v>0</v>
      </c>
      <c r="V158" s="549">
        <f t="shared" si="12"/>
        <v>0</v>
      </c>
      <c r="W158" s="549">
        <f t="shared" si="13"/>
        <v>0</v>
      </c>
      <c r="X158" s="550">
        <f t="shared" si="14"/>
        <v>0</v>
      </c>
      <c r="Y158" s="335"/>
      <c r="Z158" s="335"/>
      <c r="AA158" s="335"/>
      <c r="AB158" s="335"/>
      <c r="AC158" s="335"/>
    </row>
    <row r="159" spans="1:29" ht="12.95" customHeight="1" x14ac:dyDescent="0.2">
      <c r="B159" s="509"/>
      <c r="C159" s="345"/>
      <c r="D159" s="345"/>
      <c r="E159" s="555">
        <v>3</v>
      </c>
      <c r="F159" s="556" t="s">
        <v>368</v>
      </c>
      <c r="G159" s="556"/>
      <c r="H159" s="507"/>
      <c r="I159" s="520"/>
      <c r="J159" s="520"/>
      <c r="K159" s="342"/>
      <c r="L159" s="342"/>
      <c r="M159" s="342"/>
      <c r="N159" s="549">
        <f t="shared" si="4"/>
        <v>10</v>
      </c>
      <c r="O159" s="549">
        <f t="shared" si="5"/>
        <v>0</v>
      </c>
      <c r="P159" s="549">
        <f t="shared" si="6"/>
        <v>0</v>
      </c>
      <c r="Q159" s="549">
        <f t="shared" si="7"/>
        <v>0</v>
      </c>
      <c r="R159" s="549">
        <f t="shared" si="8"/>
        <v>0</v>
      </c>
      <c r="S159" s="549">
        <f t="shared" si="9"/>
        <v>0</v>
      </c>
      <c r="T159" s="549">
        <f t="shared" si="10"/>
        <v>0</v>
      </c>
      <c r="U159" s="549">
        <f t="shared" si="11"/>
        <v>0</v>
      </c>
      <c r="V159" s="549">
        <f t="shared" si="12"/>
        <v>0</v>
      </c>
      <c r="W159" s="549">
        <f t="shared" si="13"/>
        <v>0</v>
      </c>
      <c r="X159" s="550">
        <f t="shared" si="14"/>
        <v>0</v>
      </c>
      <c r="Y159" s="335"/>
      <c r="Z159" s="335"/>
      <c r="AA159" s="335"/>
      <c r="AB159" s="335"/>
      <c r="AC159" s="335"/>
    </row>
    <row r="160" spans="1:29" ht="12.95" customHeight="1" x14ac:dyDescent="0.2">
      <c r="B160" s="509"/>
      <c r="C160" s="345"/>
      <c r="D160" s="345"/>
      <c r="E160" s="555">
        <v>4</v>
      </c>
      <c r="F160" s="556" t="s">
        <v>217</v>
      </c>
      <c r="G160" s="556"/>
      <c r="H160" s="507"/>
      <c r="I160" s="520"/>
      <c r="J160" s="520"/>
      <c r="K160" s="342"/>
      <c r="L160" s="342"/>
      <c r="M160" s="342"/>
      <c r="N160" s="549">
        <f t="shared" si="4"/>
        <v>10</v>
      </c>
      <c r="O160" s="549">
        <f t="shared" si="5"/>
        <v>0</v>
      </c>
      <c r="P160" s="549">
        <f t="shared" si="6"/>
        <v>0</v>
      </c>
      <c r="Q160" s="549">
        <f t="shared" si="7"/>
        <v>0</v>
      </c>
      <c r="R160" s="549">
        <f t="shared" si="8"/>
        <v>0</v>
      </c>
      <c r="S160" s="549">
        <f t="shared" si="9"/>
        <v>0</v>
      </c>
      <c r="T160" s="549">
        <f t="shared" si="10"/>
        <v>0</v>
      </c>
      <c r="U160" s="549">
        <f t="shared" si="11"/>
        <v>0</v>
      </c>
      <c r="V160" s="549">
        <f t="shared" si="12"/>
        <v>0</v>
      </c>
      <c r="W160" s="549">
        <f t="shared" si="13"/>
        <v>0</v>
      </c>
      <c r="X160" s="550">
        <f t="shared" si="14"/>
        <v>0</v>
      </c>
      <c r="Y160" s="335"/>
      <c r="Z160" s="335"/>
      <c r="AA160" s="335"/>
      <c r="AB160" s="335"/>
      <c r="AC160" s="335"/>
    </row>
    <row r="161" spans="2:29" ht="12.95" customHeight="1" x14ac:dyDescent="0.2">
      <c r="B161" s="509"/>
      <c r="C161" s="345"/>
      <c r="D161" s="345"/>
      <c r="E161" s="555">
        <v>5</v>
      </c>
      <c r="F161" s="556" t="s">
        <v>218</v>
      </c>
      <c r="G161" s="556"/>
      <c r="H161" s="507"/>
      <c r="I161" s="520"/>
      <c r="J161" s="520"/>
      <c r="K161" s="342"/>
      <c r="L161" s="342"/>
      <c r="M161" s="342"/>
      <c r="N161" s="549">
        <f t="shared" si="4"/>
        <v>10</v>
      </c>
      <c r="O161" s="549">
        <f t="shared" si="5"/>
        <v>0</v>
      </c>
      <c r="P161" s="549">
        <f t="shared" si="6"/>
        <v>0</v>
      </c>
      <c r="Q161" s="549">
        <f t="shared" si="7"/>
        <v>0</v>
      </c>
      <c r="R161" s="549">
        <f t="shared" si="8"/>
        <v>0</v>
      </c>
      <c r="S161" s="549">
        <f t="shared" si="9"/>
        <v>0</v>
      </c>
      <c r="T161" s="549">
        <f t="shared" si="10"/>
        <v>0</v>
      </c>
      <c r="U161" s="549">
        <f t="shared" si="11"/>
        <v>0</v>
      </c>
      <c r="V161" s="549">
        <f t="shared" si="12"/>
        <v>0</v>
      </c>
      <c r="W161" s="549">
        <f t="shared" si="13"/>
        <v>0</v>
      </c>
      <c r="X161" s="550">
        <f t="shared" si="14"/>
        <v>0</v>
      </c>
      <c r="Y161" s="335"/>
      <c r="Z161" s="335"/>
      <c r="AA161" s="335"/>
      <c r="AB161" s="335"/>
      <c r="AC161" s="335"/>
    </row>
    <row r="162" spans="2:29" ht="12.95" customHeight="1" thickBot="1" x14ac:dyDescent="0.25">
      <c r="B162" s="509"/>
      <c r="C162" s="342"/>
      <c r="D162" s="342"/>
      <c r="E162" s="543"/>
      <c r="F162" s="543"/>
      <c r="G162" s="543"/>
      <c r="H162" s="342"/>
      <c r="I162" s="342"/>
      <c r="J162" s="342"/>
      <c r="K162" s="342"/>
      <c r="L162" s="342"/>
      <c r="M162" s="342"/>
      <c r="N162" s="549">
        <f t="shared" si="4"/>
        <v>10</v>
      </c>
      <c r="O162" s="549">
        <f t="shared" si="5"/>
        <v>0</v>
      </c>
      <c r="P162" s="549">
        <f t="shared" si="6"/>
        <v>0</v>
      </c>
      <c r="Q162" s="549">
        <f t="shared" si="7"/>
        <v>0</v>
      </c>
      <c r="R162" s="549">
        <f t="shared" si="8"/>
        <v>0</v>
      </c>
      <c r="S162" s="549">
        <f t="shared" si="9"/>
        <v>0</v>
      </c>
      <c r="T162" s="549">
        <f t="shared" si="10"/>
        <v>0</v>
      </c>
      <c r="U162" s="549">
        <f t="shared" si="11"/>
        <v>0</v>
      </c>
      <c r="V162" s="549">
        <f t="shared" si="12"/>
        <v>0</v>
      </c>
      <c r="W162" s="549">
        <f t="shared" si="13"/>
        <v>0</v>
      </c>
      <c r="X162" s="550">
        <f t="shared" si="14"/>
        <v>0</v>
      </c>
      <c r="Y162" s="335"/>
      <c r="Z162" s="335"/>
      <c r="AA162" s="335"/>
      <c r="AB162" s="335"/>
      <c r="AC162" s="335"/>
    </row>
    <row r="163" spans="2:29" ht="12.95" customHeight="1" thickBot="1" x14ac:dyDescent="0.25">
      <c r="B163" s="509"/>
      <c r="C163" s="345"/>
      <c r="D163" s="342"/>
      <c r="E163" s="345"/>
      <c r="F163" s="342"/>
      <c r="G163" s="342"/>
      <c r="H163" s="342"/>
      <c r="I163" s="342"/>
      <c r="J163" s="346" t="s">
        <v>219</v>
      </c>
      <c r="K163" s="551" t="e">
        <f>IF(SUM(Geometry!F16:F18)="",0,R144)</f>
        <v>#DIV/0!</v>
      </c>
      <c r="L163" s="342"/>
      <c r="M163" s="342"/>
      <c r="N163" s="513"/>
      <c r="O163" s="342"/>
      <c r="P163" s="342"/>
      <c r="Q163" s="342"/>
      <c r="R163" s="342"/>
      <c r="S163" s="342"/>
      <c r="T163" s="342"/>
      <c r="U163" s="344"/>
      <c r="V163" s="344"/>
      <c r="W163" s="342"/>
      <c r="X163" s="456"/>
      <c r="Y163" s="335"/>
      <c r="Z163" s="335"/>
      <c r="AA163" s="335"/>
      <c r="AB163" s="335"/>
      <c r="AC163" s="335"/>
    </row>
    <row r="164" spans="2:29" ht="12.95" customHeight="1" x14ac:dyDescent="0.2">
      <c r="B164" s="509"/>
      <c r="C164" s="342" t="s">
        <v>73</v>
      </c>
      <c r="D164" s="342"/>
      <c r="E164" s="342"/>
      <c r="F164" s="342"/>
      <c r="G164" s="342"/>
      <c r="H164" s="342"/>
      <c r="I164" s="342"/>
      <c r="J164" s="342"/>
      <c r="K164" s="342"/>
      <c r="L164" s="342"/>
      <c r="M164" s="342"/>
      <c r="N164" s="514"/>
      <c r="O164" s="515"/>
      <c r="P164" s="515"/>
      <c r="Q164" s="515"/>
      <c r="R164" s="515"/>
      <c r="S164" s="515"/>
      <c r="T164" s="515"/>
      <c r="U164" s="515"/>
      <c r="V164" s="515"/>
      <c r="W164" s="515"/>
      <c r="X164" s="525"/>
      <c r="Y164" s="335"/>
      <c r="Z164" s="335"/>
      <c r="AA164" s="335"/>
      <c r="AB164" s="335"/>
      <c r="AC164" s="335"/>
    </row>
    <row r="165" spans="2:29" ht="12.95" customHeight="1" x14ac:dyDescent="0.2">
      <c r="B165" s="509"/>
      <c r="C165" s="342" t="s">
        <v>220</v>
      </c>
      <c r="D165" s="342"/>
      <c r="E165" s="342"/>
      <c r="F165" s="342"/>
      <c r="G165" s="342"/>
      <c r="H165" s="342"/>
      <c r="I165" s="526" t="e">
        <f>IF(K163+L110&gt;5,5,K163+L110)</f>
        <v>#DIV/0!</v>
      </c>
      <c r="J165" s="342"/>
      <c r="K165" s="342"/>
      <c r="L165" s="342"/>
      <c r="M165" s="342"/>
      <c r="N165" s="342"/>
      <c r="O165" s="342"/>
      <c r="P165" s="342"/>
      <c r="Q165" s="342"/>
      <c r="R165" s="527"/>
      <c r="S165" s="342"/>
      <c r="T165" s="342"/>
      <c r="U165" s="342"/>
      <c r="V165" s="342"/>
      <c r="W165" s="342"/>
      <c r="X165" s="456"/>
      <c r="Y165" s="335"/>
      <c r="Z165" s="335"/>
      <c r="AA165" s="335"/>
      <c r="AB165" s="335"/>
      <c r="AC165" s="335"/>
    </row>
    <row r="166" spans="2:29" ht="12.95" customHeight="1" x14ac:dyDescent="0.2">
      <c r="B166" s="509"/>
      <c r="C166" s="342"/>
      <c r="D166" s="342"/>
      <c r="E166" s="342"/>
      <c r="F166" s="342"/>
      <c r="G166" s="342"/>
      <c r="H166" s="342"/>
      <c r="I166" s="342"/>
      <c r="J166" s="342"/>
      <c r="K166" s="342"/>
      <c r="L166" s="342"/>
      <c r="M166" s="342"/>
      <c r="N166" s="342"/>
      <c r="O166" s="342"/>
      <c r="P166" s="342"/>
      <c r="Q166" s="342"/>
      <c r="R166" s="527"/>
      <c r="S166" s="342"/>
      <c r="T166" s="342"/>
      <c r="U166" s="342"/>
      <c r="V166" s="342"/>
      <c r="W166" s="342"/>
      <c r="X166" s="456"/>
      <c r="Y166" s="335"/>
      <c r="Z166" s="335"/>
      <c r="AA166" s="335"/>
      <c r="AB166" s="335"/>
      <c r="AC166" s="335"/>
    </row>
    <row r="167" spans="2:29" ht="12.95" customHeight="1" thickBot="1" x14ac:dyDescent="0.25">
      <c r="B167" s="528"/>
      <c r="C167" s="492"/>
      <c r="D167" s="492"/>
      <c r="E167" s="492"/>
      <c r="F167" s="492"/>
      <c r="G167" s="492"/>
      <c r="H167" s="492"/>
      <c r="I167" s="492"/>
      <c r="J167" s="492"/>
      <c r="K167" s="492"/>
      <c r="L167" s="492"/>
      <c r="M167" s="492"/>
      <c r="N167" s="492"/>
      <c r="O167" s="492"/>
      <c r="P167" s="492"/>
      <c r="Q167" s="492"/>
      <c r="R167" s="529"/>
      <c r="S167" s="492"/>
      <c r="T167" s="492"/>
      <c r="U167" s="492"/>
      <c r="V167" s="492"/>
      <c r="W167" s="492"/>
      <c r="X167" s="495"/>
      <c r="Y167" s="335"/>
      <c r="Z167" s="335"/>
      <c r="AA167" s="335"/>
      <c r="AB167" s="335"/>
      <c r="AC167" s="335"/>
    </row>
    <row r="168" spans="2:29" ht="12.95" customHeight="1" thickTop="1" x14ac:dyDescent="0.2"/>
  </sheetData>
  <sheetProtection algorithmName="SHA-512" hashValue="8gmbIQfEhHsG+rpdA9i9aHBSV/S/NN4JnY737Jh5sAiFRupMi7zZjlmBrfaON++8sf7B3SXXnDO/WRYSSNPSNQ==" saltValue="/suS5qKna7m/QoHxPlqTNw==" spinCount="100000" sheet="1" selectLockedCells="1"/>
  <mergeCells count="18">
    <mergeCell ref="A112:A149"/>
    <mergeCell ref="A90:A111"/>
    <mergeCell ref="A49:A85"/>
    <mergeCell ref="H70:J70"/>
    <mergeCell ref="C70:F70"/>
    <mergeCell ref="B113:B138"/>
    <mergeCell ref="B91:B111"/>
    <mergeCell ref="C23:C25"/>
    <mergeCell ref="H23:H25"/>
    <mergeCell ref="J8:K8"/>
    <mergeCell ref="D23:E23"/>
    <mergeCell ref="K23:L23"/>
    <mergeCell ref="D22:E22"/>
    <mergeCell ref="E42:K43"/>
    <mergeCell ref="E20:K20"/>
    <mergeCell ref="D7:F7"/>
    <mergeCell ref="H7:J7"/>
    <mergeCell ref="K15:L16"/>
  </mergeCells>
  <conditionalFormatting sqref="D41:F41 J41:K41">
    <cfRule type="expression" dxfId="6" priority="1" stopIfTrue="1">
      <formula>ISERROR($AE$63)</formula>
    </cfRule>
  </conditionalFormatting>
  <conditionalFormatting sqref="F26:F39">
    <cfRule type="expression" dxfId="5" priority="2" stopIfTrue="1">
      <formula>ISERROR($AI$51)</formula>
    </cfRule>
  </conditionalFormatting>
  <conditionalFormatting sqref="J40">
    <cfRule type="expression" dxfId="4" priority="3" stopIfTrue="1">
      <formula>ISERROR($AH$62)</formula>
    </cfRule>
  </conditionalFormatting>
  <conditionalFormatting sqref="D40">
    <cfRule type="expression" dxfId="3" priority="4" stopIfTrue="1">
      <formula>ISERROR($Y$62)</formula>
    </cfRule>
  </conditionalFormatting>
  <conditionalFormatting sqref="F40">
    <cfRule type="expression" dxfId="2" priority="5" stopIfTrue="1">
      <formula>ISERROR($AC$107)</formula>
    </cfRule>
  </conditionalFormatting>
  <conditionalFormatting sqref="M40">
    <cfRule type="expression" dxfId="1" priority="6" stopIfTrue="1">
      <formula>ISERROR($AJ$63)</formula>
    </cfRule>
  </conditionalFormatting>
  <hyperlinks>
    <hyperlink ref="D23:E23" location="Geometry!A86" display="See Below" xr:uid="{00000000-0004-0000-0500-000000000000}"/>
    <hyperlink ref="K23:L23" location="Geometry!A108" display="See Below" xr:uid="{00000000-0004-0000-0500-000001000000}"/>
    <hyperlink ref="J8:K8" location="Geometry!A50" display="See Below" xr:uid="{00000000-0004-0000-0500-000002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AA58"/>
  <sheetViews>
    <sheetView workbookViewId="0">
      <selection activeCell="K9" sqref="K9"/>
    </sheetView>
  </sheetViews>
  <sheetFormatPr defaultColWidth="7.7109375" defaultRowHeight="12.75" x14ac:dyDescent="0.2"/>
  <cols>
    <col min="1" max="16384" width="7.7109375" style="149"/>
  </cols>
  <sheetData>
    <row r="3" spans="2:27" x14ac:dyDescent="0.2"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2:27" ht="13.5" thickBot="1" x14ac:dyDescent="0.25">
      <c r="B4" s="222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35"/>
      <c r="Q4" s="303"/>
      <c r="R4" s="148"/>
      <c r="S4" s="148"/>
      <c r="T4" s="148"/>
      <c r="U4" s="148"/>
      <c r="V4" s="148"/>
      <c r="W4" s="148"/>
      <c r="X4" s="148"/>
      <c r="Y4" s="148"/>
      <c r="Z4" s="148"/>
    </row>
    <row r="5" spans="2:27" x14ac:dyDescent="0.2">
      <c r="B5" s="224"/>
      <c r="C5" s="225"/>
      <c r="D5" s="83"/>
      <c r="E5" s="83"/>
      <c r="F5" s="83"/>
      <c r="G5" s="83"/>
      <c r="H5" s="83"/>
      <c r="I5" s="83"/>
      <c r="J5" s="83"/>
      <c r="K5" s="54"/>
      <c r="L5" s="54"/>
      <c r="M5" s="54"/>
      <c r="N5" s="234"/>
      <c r="Q5" s="303"/>
      <c r="R5" s="307"/>
      <c r="S5" s="308"/>
      <c r="T5" s="308"/>
      <c r="U5" s="308"/>
      <c r="V5" s="308"/>
      <c r="W5" s="308"/>
      <c r="X5" s="308"/>
      <c r="Y5" s="308"/>
      <c r="Z5" s="308"/>
      <c r="AA5" s="309"/>
    </row>
    <row r="6" spans="2:27" x14ac:dyDescent="0.2">
      <c r="B6" s="226" t="s">
        <v>314</v>
      </c>
      <c r="C6" s="104"/>
      <c r="D6" s="8"/>
      <c r="E6" s="8"/>
      <c r="F6" s="104" t="s">
        <v>326</v>
      </c>
      <c r="G6" s="8"/>
      <c r="H6" s="8"/>
      <c r="I6" s="84" t="s">
        <v>4</v>
      </c>
      <c r="J6" s="84" t="s">
        <v>4</v>
      </c>
      <c r="K6" s="227" t="s">
        <v>327</v>
      </c>
      <c r="L6" s="8"/>
      <c r="M6" s="8"/>
      <c r="N6" s="234"/>
      <c r="Q6" s="303"/>
      <c r="R6" s="310"/>
      <c r="S6" s="311"/>
      <c r="T6" s="312"/>
      <c r="U6" s="304" t="s">
        <v>295</v>
      </c>
      <c r="V6" s="312"/>
      <c r="W6" s="312"/>
      <c r="X6" s="312"/>
      <c r="Y6" s="312"/>
      <c r="Z6" s="312"/>
      <c r="AA6" s="313"/>
    </row>
    <row r="7" spans="2:27" x14ac:dyDescent="0.2">
      <c r="B7" s="226"/>
      <c r="C7" s="661" t="s">
        <v>463</v>
      </c>
      <c r="D7" s="8"/>
      <c r="E7" s="8"/>
      <c r="F7" s="435"/>
      <c r="G7" s="8"/>
      <c r="H7" s="8"/>
      <c r="I7" s="84"/>
      <c r="J7" s="84"/>
      <c r="K7" s="227"/>
      <c r="L7" s="8"/>
      <c r="M7" s="8"/>
      <c r="N7" s="234"/>
      <c r="Q7" s="303"/>
      <c r="R7" s="310"/>
      <c r="S7" s="311"/>
      <c r="T7" s="311"/>
      <c r="U7" s="311"/>
      <c r="V7" s="312"/>
      <c r="W7" s="312"/>
      <c r="X7" s="312"/>
      <c r="Y7" s="312"/>
      <c r="Z7" s="312"/>
      <c r="AA7" s="313"/>
    </row>
    <row r="8" spans="2:27" x14ac:dyDescent="0.2">
      <c r="B8" s="226"/>
      <c r="C8" s="104"/>
      <c r="D8" s="8"/>
      <c r="E8" s="8"/>
      <c r="F8" s="104"/>
      <c r="G8" s="8"/>
      <c r="H8" s="8"/>
      <c r="I8" s="84"/>
      <c r="J8" s="84"/>
      <c r="K8" s="227"/>
      <c r="L8" s="8"/>
      <c r="M8" s="8"/>
      <c r="N8" s="234"/>
      <c r="Q8" s="303"/>
      <c r="R8" s="310" t="s">
        <v>296</v>
      </c>
      <c r="S8" s="311"/>
      <c r="T8" s="311"/>
      <c r="U8" s="311"/>
      <c r="V8" s="311"/>
      <c r="W8" s="311"/>
      <c r="X8" s="311"/>
      <c r="Y8" s="311"/>
      <c r="Z8" s="311"/>
      <c r="AA8" s="313"/>
    </row>
    <row r="9" spans="2:27" x14ac:dyDescent="0.2">
      <c r="B9" s="26">
        <v>1</v>
      </c>
      <c r="C9" s="104" t="s">
        <v>328</v>
      </c>
      <c r="D9" s="8"/>
      <c r="E9" s="435"/>
      <c r="F9" s="228" t="s">
        <v>329</v>
      </c>
      <c r="G9" s="8"/>
      <c r="H9" s="8"/>
      <c r="I9" s="46">
        <v>5</v>
      </c>
      <c r="J9" s="42">
        <f>IF(K9&lt;&gt;0,5,0)</f>
        <v>0</v>
      </c>
      <c r="K9" s="12"/>
      <c r="L9" s="8" t="s">
        <v>330</v>
      </c>
      <c r="M9" s="8"/>
      <c r="N9" s="234"/>
      <c r="Q9" s="303"/>
      <c r="R9" s="314" t="s">
        <v>297</v>
      </c>
      <c r="S9" s="312"/>
      <c r="T9" s="312"/>
      <c r="U9" s="312"/>
      <c r="V9" s="311"/>
      <c r="W9" s="311"/>
      <c r="X9" s="311"/>
      <c r="Y9" s="311"/>
      <c r="Z9" s="311"/>
      <c r="AA9" s="313"/>
    </row>
    <row r="10" spans="2:27" x14ac:dyDescent="0.2">
      <c r="B10" s="26"/>
      <c r="C10" s="104" t="s">
        <v>331</v>
      </c>
      <c r="D10" s="8"/>
      <c r="E10" s="104"/>
      <c r="F10" s="104"/>
      <c r="G10" s="8"/>
      <c r="H10" s="8"/>
      <c r="I10" s="46"/>
      <c r="J10" s="21"/>
      <c r="K10" s="21"/>
      <c r="L10" s="8"/>
      <c r="M10" s="8"/>
      <c r="N10" s="234"/>
      <c r="Q10" s="305"/>
      <c r="R10" s="314" t="s">
        <v>298</v>
      </c>
      <c r="S10" s="312"/>
      <c r="T10" s="312"/>
      <c r="U10" s="312"/>
      <c r="V10" s="311"/>
      <c r="W10" s="311"/>
      <c r="X10" s="311"/>
      <c r="Y10" s="311"/>
      <c r="Z10" s="311"/>
      <c r="AA10" s="313"/>
    </row>
    <row r="11" spans="2:27" x14ac:dyDescent="0.2">
      <c r="B11" s="26"/>
      <c r="C11" s="8"/>
      <c r="D11" s="8"/>
      <c r="E11" s="104"/>
      <c r="F11" s="104"/>
      <c r="G11" s="8"/>
      <c r="H11" s="8"/>
      <c r="I11" s="46"/>
      <c r="J11" s="19"/>
      <c r="K11" s="19"/>
      <c r="L11" s="8"/>
      <c r="M11" s="8"/>
      <c r="N11" s="234"/>
      <c r="Q11" s="305"/>
      <c r="R11" s="310"/>
      <c r="S11" s="311"/>
      <c r="T11" s="311"/>
      <c r="U11" s="758" t="s">
        <v>299</v>
      </c>
      <c r="V11" s="759"/>
      <c r="W11" s="759"/>
      <c r="X11" s="311"/>
      <c r="Y11" s="311"/>
      <c r="Z11" s="311"/>
      <c r="AA11" s="313"/>
    </row>
    <row r="12" spans="2:27" x14ac:dyDescent="0.2">
      <c r="B12" s="26"/>
      <c r="C12" s="104"/>
      <c r="D12" s="8"/>
      <c r="E12" s="104"/>
      <c r="F12" s="104"/>
      <c r="G12" s="8"/>
      <c r="H12" s="8"/>
      <c r="I12" s="46"/>
      <c r="J12" s="19"/>
      <c r="K12" s="19"/>
      <c r="L12" s="8"/>
      <c r="M12" s="8"/>
      <c r="N12" s="234"/>
      <c r="Q12" s="305"/>
      <c r="R12" s="315" t="s">
        <v>300</v>
      </c>
      <c r="S12" s="311"/>
      <c r="T12" s="311"/>
      <c r="U12" s="759"/>
      <c r="V12" s="759"/>
      <c r="W12" s="759"/>
      <c r="X12" s="316" t="s">
        <v>301</v>
      </c>
      <c r="Y12" s="311"/>
      <c r="Z12" s="311"/>
      <c r="AA12" s="313"/>
    </row>
    <row r="13" spans="2:27" x14ac:dyDescent="0.2">
      <c r="B13" s="26"/>
      <c r="C13" s="104"/>
      <c r="D13" s="8"/>
      <c r="E13" s="104"/>
      <c r="F13" s="104"/>
      <c r="G13" s="8"/>
      <c r="H13" s="8"/>
      <c r="I13" s="46"/>
      <c r="J13" s="43"/>
      <c r="K13" s="43"/>
      <c r="L13" s="8"/>
      <c r="M13" s="8"/>
      <c r="N13" s="234"/>
      <c r="Q13" s="305"/>
      <c r="R13" s="310"/>
      <c r="S13" s="311"/>
      <c r="T13" s="311"/>
      <c r="U13" s="311"/>
      <c r="V13" s="311"/>
      <c r="W13" s="311"/>
      <c r="X13" s="317"/>
      <c r="Y13" s="311"/>
      <c r="Z13" s="311"/>
      <c r="AA13" s="313"/>
    </row>
    <row r="14" spans="2:27" x14ac:dyDescent="0.2">
      <c r="B14" s="26">
        <v>2</v>
      </c>
      <c r="C14" s="104" t="s">
        <v>445</v>
      </c>
      <c r="D14" s="107"/>
      <c r="E14" s="104"/>
      <c r="F14" s="104"/>
      <c r="G14" s="8"/>
      <c r="H14" s="8"/>
      <c r="I14" s="46">
        <v>10</v>
      </c>
      <c r="J14" s="42" t="e">
        <f>IF(K14&gt;'Traffic &amp; Accidents'!C8,10,ROUND((K14/'Traffic &amp; Accidents'!C8)*10,2))</f>
        <v>#DIV/0!</v>
      </c>
      <c r="K14" s="12"/>
      <c r="L14" s="8" t="s">
        <v>332</v>
      </c>
      <c r="M14" s="8"/>
      <c r="N14" s="234"/>
      <c r="Q14" s="305"/>
      <c r="R14" s="318" t="s">
        <v>302</v>
      </c>
      <c r="S14" s="311"/>
      <c r="T14" s="311"/>
      <c r="U14" s="311"/>
      <c r="V14" s="312"/>
      <c r="W14" s="311"/>
      <c r="X14" s="312"/>
      <c r="Y14" s="311"/>
      <c r="Z14" s="311"/>
      <c r="AA14" s="313"/>
    </row>
    <row r="15" spans="2:27" x14ac:dyDescent="0.2">
      <c r="B15" s="90"/>
      <c r="C15" s="11"/>
      <c r="D15" s="11"/>
      <c r="E15" s="755" t="s">
        <v>446</v>
      </c>
      <c r="F15" s="755"/>
      <c r="G15" s="755"/>
      <c r="H15" s="755"/>
      <c r="I15" s="46"/>
      <c r="J15" s="21"/>
      <c r="K15" s="21"/>
      <c r="L15" s="8" t="s">
        <v>333</v>
      </c>
      <c r="M15" s="8"/>
      <c r="N15" s="234"/>
      <c r="Q15" s="305"/>
      <c r="R15" s="760" t="s">
        <v>369</v>
      </c>
      <c r="S15" s="757"/>
      <c r="T15" s="757"/>
      <c r="U15" s="312"/>
      <c r="V15" s="319">
        <v>5</v>
      </c>
      <c r="W15" s="311"/>
      <c r="X15" s="317">
        <v>5</v>
      </c>
      <c r="Y15" s="311"/>
      <c r="Z15" s="311"/>
      <c r="AA15" s="313"/>
    </row>
    <row r="16" spans="2:27" x14ac:dyDescent="0.2">
      <c r="B16" s="90"/>
      <c r="C16" s="11"/>
      <c r="D16" s="11"/>
      <c r="E16" s="755"/>
      <c r="F16" s="755"/>
      <c r="G16" s="755"/>
      <c r="H16" s="755"/>
      <c r="I16" s="46"/>
      <c r="J16" s="19"/>
      <c r="K16" s="19"/>
      <c r="L16" s="229" t="s">
        <v>334</v>
      </c>
      <c r="M16" s="8"/>
      <c r="N16" s="234"/>
      <c r="Q16" s="305"/>
      <c r="R16" s="756"/>
      <c r="S16" s="757"/>
      <c r="T16" s="757"/>
      <c r="U16" s="312"/>
      <c r="V16" s="319"/>
      <c r="W16" s="311"/>
      <c r="X16" s="317"/>
      <c r="Y16" s="311"/>
      <c r="Z16" s="311"/>
      <c r="AA16" s="313"/>
    </row>
    <row r="17" spans="2:27" x14ac:dyDescent="0.2">
      <c r="B17" s="90"/>
      <c r="C17" s="11" t="s">
        <v>335</v>
      </c>
      <c r="D17" s="11"/>
      <c r="E17" s="82"/>
      <c r="F17" s="82"/>
      <c r="G17" s="8"/>
      <c r="H17" s="8"/>
      <c r="I17" s="46"/>
      <c r="J17" s="19"/>
      <c r="K17" s="19"/>
      <c r="L17" s="8"/>
      <c r="M17" s="8"/>
      <c r="N17" s="234"/>
      <c r="Q17" s="305"/>
      <c r="R17" s="756"/>
      <c r="S17" s="757"/>
      <c r="T17" s="757"/>
      <c r="U17" s="312"/>
      <c r="V17" s="319"/>
      <c r="W17" s="311"/>
      <c r="X17" s="317"/>
      <c r="Y17" s="311"/>
      <c r="Z17" s="311"/>
      <c r="AA17" s="313"/>
    </row>
    <row r="18" spans="2:27" x14ac:dyDescent="0.2">
      <c r="B18" s="90"/>
      <c r="C18" s="11"/>
      <c r="D18" s="11"/>
      <c r="E18" s="82"/>
      <c r="F18" s="82"/>
      <c r="G18" s="8"/>
      <c r="H18" s="8"/>
      <c r="I18" s="46"/>
      <c r="J18" s="19"/>
      <c r="K18" s="19"/>
      <c r="L18" s="8"/>
      <c r="M18" s="8"/>
      <c r="N18" s="234"/>
      <c r="Q18" s="305"/>
      <c r="R18" s="756"/>
      <c r="S18" s="757"/>
      <c r="T18" s="757"/>
      <c r="U18" s="312"/>
      <c r="V18" s="319"/>
      <c r="W18" s="311"/>
      <c r="X18" s="317"/>
      <c r="Y18" s="311"/>
      <c r="Z18" s="311"/>
      <c r="AA18" s="313"/>
    </row>
    <row r="19" spans="2:27" x14ac:dyDescent="0.2">
      <c r="B19" s="90"/>
      <c r="C19" s="11"/>
      <c r="D19" s="11"/>
      <c r="E19" s="82"/>
      <c r="F19" s="82"/>
      <c r="G19" s="8"/>
      <c r="H19" s="8"/>
      <c r="I19" s="46"/>
      <c r="J19" s="19"/>
      <c r="K19" s="19"/>
      <c r="L19" s="8"/>
      <c r="M19" s="8"/>
      <c r="N19" s="234"/>
      <c r="Q19" s="305"/>
      <c r="R19" s="310"/>
      <c r="S19" s="311"/>
      <c r="T19" s="311"/>
      <c r="U19" s="311"/>
      <c r="V19" s="319"/>
      <c r="W19" s="311"/>
      <c r="X19" s="317"/>
      <c r="Y19" s="311"/>
      <c r="Z19" s="311"/>
      <c r="AA19" s="313"/>
    </row>
    <row r="20" spans="2:27" x14ac:dyDescent="0.2">
      <c r="B20" s="26"/>
      <c r="C20" s="104"/>
      <c r="D20" s="107"/>
      <c r="E20" s="104"/>
      <c r="F20" s="104"/>
      <c r="G20" s="8"/>
      <c r="H20" s="8"/>
      <c r="I20" s="46"/>
      <c r="J20" s="43"/>
      <c r="K20" s="19"/>
      <c r="L20" s="8"/>
      <c r="M20" s="8"/>
      <c r="N20" s="234"/>
      <c r="Q20" s="305"/>
      <c r="R20" s="318" t="s">
        <v>447</v>
      </c>
      <c r="S20" s="311"/>
      <c r="T20" s="311"/>
      <c r="U20" s="311"/>
      <c r="V20" s="312"/>
      <c r="W20" s="311"/>
      <c r="X20" s="312"/>
      <c r="Y20" s="311"/>
      <c r="Z20" s="311"/>
      <c r="AA20" s="313"/>
    </row>
    <row r="21" spans="2:27" x14ac:dyDescent="0.2">
      <c r="B21" s="26">
        <v>3</v>
      </c>
      <c r="C21" s="104" t="s">
        <v>318</v>
      </c>
      <c r="D21" s="108"/>
      <c r="E21" s="109"/>
      <c r="F21" s="109"/>
      <c r="G21" s="8"/>
      <c r="H21" s="8"/>
      <c r="I21" s="46">
        <v>10</v>
      </c>
      <c r="J21" s="42" t="e">
        <f>IF(K21/2&gt;'Traffic &amp; Accidents'!C8,10,ROUND((K21)/('Traffic &amp; Accidents'!C8*2)*10,2))</f>
        <v>#DIV/0!</v>
      </c>
      <c r="K21" s="12"/>
      <c r="L21" s="8" t="s">
        <v>336</v>
      </c>
      <c r="M21" s="8"/>
      <c r="N21" s="234"/>
      <c r="Q21" s="305"/>
      <c r="R21" s="756" t="s">
        <v>303</v>
      </c>
      <c r="S21" s="757"/>
      <c r="T21" s="757"/>
      <c r="U21" s="312"/>
      <c r="V21" s="319">
        <v>10</v>
      </c>
      <c r="W21" s="311"/>
      <c r="X21" s="317">
        <v>10</v>
      </c>
      <c r="Y21" s="311"/>
      <c r="Z21" s="311"/>
      <c r="AA21" s="313"/>
    </row>
    <row r="22" spans="2:27" ht="14.25" x14ac:dyDescent="0.2">
      <c r="B22" s="26"/>
      <c r="C22" s="45" t="s">
        <v>374</v>
      </c>
      <c r="D22" s="108"/>
      <c r="E22" s="109"/>
      <c r="F22" s="109"/>
      <c r="G22" s="8"/>
      <c r="H22" s="8"/>
      <c r="I22" s="46"/>
      <c r="J22" s="21"/>
      <c r="K22" s="21"/>
      <c r="L22" s="8" t="s">
        <v>337</v>
      </c>
      <c r="M22" s="8"/>
      <c r="N22" s="234"/>
      <c r="Q22" s="305"/>
      <c r="R22" s="756"/>
      <c r="S22" s="757"/>
      <c r="T22" s="757"/>
      <c r="U22" s="312"/>
      <c r="V22" s="319"/>
      <c r="W22" s="311"/>
      <c r="X22" s="317"/>
      <c r="Y22" s="311"/>
      <c r="Z22" s="311"/>
      <c r="AA22" s="313"/>
    </row>
    <row r="23" spans="2:27" x14ac:dyDescent="0.2">
      <c r="B23" s="26"/>
      <c r="C23" s="8"/>
      <c r="D23" s="8"/>
      <c r="E23" s="230"/>
      <c r="F23" s="109"/>
      <c r="G23" s="8"/>
      <c r="H23" s="8"/>
      <c r="I23" s="46"/>
      <c r="J23" s="19"/>
      <c r="K23" s="19"/>
      <c r="L23" s="8" t="s">
        <v>338</v>
      </c>
      <c r="M23" s="8"/>
      <c r="N23" s="234"/>
      <c r="Q23" s="305"/>
      <c r="R23" s="756"/>
      <c r="S23" s="757"/>
      <c r="T23" s="757"/>
      <c r="U23" s="312"/>
      <c r="V23" s="311" t="s">
        <v>304</v>
      </c>
      <c r="W23" s="311"/>
      <c r="X23" s="317"/>
      <c r="Y23" s="311"/>
      <c r="Z23" s="311"/>
      <c r="AA23" s="313"/>
    </row>
    <row r="24" spans="2:27" x14ac:dyDescent="0.2">
      <c r="B24" s="26"/>
      <c r="C24" s="8"/>
      <c r="D24" s="228" t="s">
        <v>339</v>
      </c>
      <c r="E24" s="8"/>
      <c r="F24" s="109"/>
      <c r="G24" s="8"/>
      <c r="H24" s="8"/>
      <c r="I24" s="46"/>
      <c r="J24" s="19"/>
      <c r="K24" s="19"/>
      <c r="L24" s="8" t="s">
        <v>340</v>
      </c>
      <c r="M24" s="8"/>
      <c r="N24" s="234"/>
      <c r="Q24" s="305"/>
      <c r="R24" s="756"/>
      <c r="S24" s="757"/>
      <c r="T24" s="757"/>
      <c r="U24" s="312"/>
      <c r="V24" s="320" t="s">
        <v>305</v>
      </c>
      <c r="W24" s="311"/>
      <c r="X24" s="317"/>
      <c r="Y24" s="311"/>
      <c r="Z24" s="311"/>
      <c r="AA24" s="313"/>
    </row>
    <row r="25" spans="2:27" x14ac:dyDescent="0.2">
      <c r="B25" s="26"/>
      <c r="C25" s="104"/>
      <c r="D25" s="228" t="s">
        <v>341</v>
      </c>
      <c r="E25" s="8"/>
      <c r="F25" s="109"/>
      <c r="G25" s="8"/>
      <c r="H25" s="8"/>
      <c r="I25" s="46"/>
      <c r="J25" s="19"/>
      <c r="K25" s="19"/>
      <c r="L25" s="8"/>
      <c r="M25" s="8"/>
      <c r="N25" s="234"/>
      <c r="Q25" s="305"/>
      <c r="R25" s="756"/>
      <c r="S25" s="757"/>
      <c r="T25" s="757"/>
      <c r="U25" s="312"/>
      <c r="V25" s="320" t="s">
        <v>306</v>
      </c>
      <c r="W25" s="311"/>
      <c r="X25" s="317"/>
      <c r="Y25" s="311"/>
      <c r="Z25" s="311"/>
      <c r="AA25" s="313"/>
    </row>
    <row r="26" spans="2:27" x14ac:dyDescent="0.2">
      <c r="B26" s="26"/>
      <c r="C26" s="104"/>
      <c r="D26" s="19"/>
      <c r="E26" s="8"/>
      <c r="F26" s="109"/>
      <c r="G26" s="8"/>
      <c r="H26" s="8"/>
      <c r="I26" s="46"/>
      <c r="J26" s="19"/>
      <c r="K26" s="19"/>
      <c r="L26" s="8"/>
      <c r="M26" s="8"/>
      <c r="N26" s="234"/>
      <c r="Q26" s="305"/>
      <c r="R26" s="756"/>
      <c r="S26" s="757"/>
      <c r="T26" s="757"/>
      <c r="U26" s="312"/>
      <c r="V26" s="319"/>
      <c r="W26" s="311"/>
      <c r="X26" s="317"/>
      <c r="Y26" s="311"/>
      <c r="Z26" s="311"/>
      <c r="AA26" s="313"/>
    </row>
    <row r="27" spans="2:27" x14ac:dyDescent="0.2">
      <c r="B27" s="26"/>
      <c r="C27" s="104"/>
      <c r="D27" s="19"/>
      <c r="E27" s="8"/>
      <c r="F27" s="109"/>
      <c r="G27" s="8"/>
      <c r="H27" s="8"/>
      <c r="I27" s="46"/>
      <c r="J27" s="19"/>
      <c r="K27" s="19"/>
      <c r="L27" s="8"/>
      <c r="M27" s="8"/>
      <c r="N27" s="234"/>
      <c r="Q27" s="305"/>
      <c r="R27" s="756"/>
      <c r="S27" s="757"/>
      <c r="T27" s="757"/>
      <c r="U27" s="312"/>
      <c r="V27" s="312"/>
      <c r="W27" s="312"/>
      <c r="X27" s="312"/>
      <c r="Y27" s="311"/>
      <c r="Z27" s="311"/>
      <c r="AA27" s="313"/>
    </row>
    <row r="28" spans="2:27" x14ac:dyDescent="0.2">
      <c r="B28" s="26"/>
      <c r="C28" s="104"/>
      <c r="D28" s="108"/>
      <c r="E28" s="104"/>
      <c r="F28" s="109"/>
      <c r="G28" s="8"/>
      <c r="H28" s="8"/>
      <c r="I28" s="46"/>
      <c r="J28" s="19"/>
      <c r="K28" s="19"/>
      <c r="L28" s="8"/>
      <c r="M28" s="8"/>
      <c r="N28" s="234"/>
      <c r="Q28" s="305"/>
      <c r="R28" s="314"/>
      <c r="S28" s="312"/>
      <c r="T28" s="312"/>
      <c r="U28" s="312"/>
      <c r="V28" s="312"/>
      <c r="W28" s="312"/>
      <c r="X28" s="312"/>
      <c r="Y28" s="312"/>
      <c r="Z28" s="311"/>
      <c r="AA28" s="313"/>
    </row>
    <row r="29" spans="2:27" x14ac:dyDescent="0.2">
      <c r="B29" s="26">
        <v>4</v>
      </c>
      <c r="C29" s="104" t="s">
        <v>375</v>
      </c>
      <c r="D29" s="8"/>
      <c r="E29" s="104"/>
      <c r="F29" s="104"/>
      <c r="G29" s="8"/>
      <c r="H29" s="8"/>
      <c r="I29" s="8"/>
      <c r="J29" s="85"/>
      <c r="K29" s="8"/>
      <c r="L29" s="8"/>
      <c r="M29" s="8"/>
      <c r="N29" s="234"/>
      <c r="Q29" s="305"/>
      <c r="R29" s="318" t="s">
        <v>307</v>
      </c>
      <c r="S29" s="311"/>
      <c r="T29" s="311"/>
      <c r="U29" s="311"/>
      <c r="V29" s="311"/>
      <c r="W29" s="311"/>
      <c r="X29" s="312"/>
      <c r="Y29" s="311"/>
      <c r="Z29" s="311"/>
      <c r="AA29" s="313"/>
    </row>
    <row r="30" spans="2:27" x14ac:dyDescent="0.2">
      <c r="B30" s="26"/>
      <c r="C30" s="104"/>
      <c r="D30" s="8" t="s">
        <v>342</v>
      </c>
      <c r="E30" s="104"/>
      <c r="F30" s="104"/>
      <c r="G30" s="8"/>
      <c r="H30" s="8"/>
      <c r="I30" s="8"/>
      <c r="J30" s="42">
        <f>IF(K30&lt;&gt;0,5,0)</f>
        <v>0</v>
      </c>
      <c r="K30" s="12"/>
      <c r="L30" s="8" t="s">
        <v>343</v>
      </c>
      <c r="M30" s="8"/>
      <c r="N30" s="234"/>
      <c r="Q30" s="305"/>
      <c r="R30" s="756" t="s">
        <v>370</v>
      </c>
      <c r="S30" s="757"/>
      <c r="T30" s="757"/>
      <c r="U30" s="312"/>
      <c r="V30" s="319">
        <v>10</v>
      </c>
      <c r="W30" s="311"/>
      <c r="X30" s="317">
        <v>10</v>
      </c>
      <c r="Y30" s="311"/>
      <c r="Z30" s="311"/>
      <c r="AA30" s="313"/>
    </row>
    <row r="31" spans="2:27" x14ac:dyDescent="0.2">
      <c r="B31" s="26"/>
      <c r="C31" s="104"/>
      <c r="D31" s="8"/>
      <c r="E31" s="104"/>
      <c r="F31" s="104"/>
      <c r="G31" s="8"/>
      <c r="H31" s="8"/>
      <c r="I31" s="46">
        <v>5</v>
      </c>
      <c r="J31" s="8"/>
      <c r="K31" s="19"/>
      <c r="L31" s="8"/>
      <c r="M31" s="8"/>
      <c r="N31" s="234"/>
      <c r="Q31" s="305"/>
      <c r="R31" s="756"/>
      <c r="S31" s="757"/>
      <c r="T31" s="757"/>
      <c r="U31" s="312"/>
      <c r="V31" s="319"/>
      <c r="W31" s="311"/>
      <c r="X31" s="317"/>
      <c r="Y31" s="311"/>
      <c r="Z31" s="311"/>
      <c r="AA31" s="313"/>
    </row>
    <row r="32" spans="2:27" x14ac:dyDescent="0.2">
      <c r="B32" s="26"/>
      <c r="C32" s="104"/>
      <c r="D32" s="8"/>
      <c r="E32" s="104"/>
      <c r="F32" s="104"/>
      <c r="G32" s="8"/>
      <c r="H32" s="8"/>
      <c r="I32" s="46"/>
      <c r="J32" s="19"/>
      <c r="K32" s="19"/>
      <c r="L32" s="8"/>
      <c r="M32" s="8"/>
      <c r="N32" s="234"/>
      <c r="Q32" s="305"/>
      <c r="R32" s="756"/>
      <c r="S32" s="757"/>
      <c r="T32" s="757"/>
      <c r="U32" s="312"/>
      <c r="V32" s="319"/>
      <c r="W32" s="311"/>
      <c r="X32" s="317"/>
      <c r="Y32" s="311"/>
      <c r="Z32" s="311"/>
      <c r="AA32" s="313"/>
    </row>
    <row r="33" spans="2:27" x14ac:dyDescent="0.2">
      <c r="B33" s="26"/>
      <c r="C33" s="104"/>
      <c r="D33" s="8"/>
      <c r="E33" s="104"/>
      <c r="F33" s="104"/>
      <c r="G33" s="8"/>
      <c r="H33" s="8"/>
      <c r="I33" s="46"/>
      <c r="J33" s="19"/>
      <c r="K33" s="19"/>
      <c r="L33" s="8"/>
      <c r="M33" s="8"/>
      <c r="N33" s="234"/>
      <c r="Q33" s="305"/>
      <c r="R33" s="756"/>
      <c r="S33" s="757"/>
      <c r="T33" s="757"/>
      <c r="U33" s="312"/>
      <c r="V33" s="319"/>
      <c r="W33" s="311"/>
      <c r="X33" s="317"/>
      <c r="Y33" s="311"/>
      <c r="Z33" s="311"/>
      <c r="AA33" s="313"/>
    </row>
    <row r="34" spans="2:27" x14ac:dyDescent="0.2">
      <c r="B34" s="26"/>
      <c r="C34" s="104"/>
      <c r="D34" s="8"/>
      <c r="E34" s="104"/>
      <c r="F34" s="104"/>
      <c r="G34" s="8"/>
      <c r="H34" s="8"/>
      <c r="I34" s="46"/>
      <c r="J34" s="43"/>
      <c r="K34" s="43"/>
      <c r="L34" s="8"/>
      <c r="M34" s="8"/>
      <c r="N34" s="234"/>
      <c r="Q34" s="305"/>
      <c r="R34" s="756"/>
      <c r="S34" s="757"/>
      <c r="T34" s="757"/>
      <c r="U34" s="312"/>
      <c r="V34" s="312"/>
      <c r="W34" s="312"/>
      <c r="X34" s="312"/>
      <c r="Y34" s="311"/>
      <c r="Z34" s="311"/>
      <c r="AA34" s="313"/>
    </row>
    <row r="35" spans="2:27" x14ac:dyDescent="0.2">
      <c r="B35" s="26">
        <v>5</v>
      </c>
      <c r="C35" s="104" t="s">
        <v>320</v>
      </c>
      <c r="D35" s="8"/>
      <c r="E35" s="104"/>
      <c r="F35" s="104"/>
      <c r="G35" s="8"/>
      <c r="H35" s="8"/>
      <c r="I35" s="46">
        <v>5</v>
      </c>
      <c r="J35" s="44">
        <f>IF(K35&lt;&gt;0,5,0)</f>
        <v>0</v>
      </c>
      <c r="K35" s="12"/>
      <c r="L35" s="8" t="s">
        <v>344</v>
      </c>
      <c r="M35" s="8"/>
      <c r="N35" s="234"/>
      <c r="Q35" s="305"/>
      <c r="R35" s="314"/>
      <c r="S35" s="312"/>
      <c r="T35" s="312"/>
      <c r="U35" s="312"/>
      <c r="V35" s="312"/>
      <c r="W35" s="312"/>
      <c r="X35" s="312"/>
      <c r="Y35" s="312"/>
      <c r="Z35" s="311"/>
      <c r="AA35" s="313"/>
    </row>
    <row r="36" spans="2:27" x14ac:dyDescent="0.2">
      <c r="B36" s="26"/>
      <c r="C36" s="104"/>
      <c r="D36" s="8"/>
      <c r="E36" s="228" t="s">
        <v>329</v>
      </c>
      <c r="F36" s="104"/>
      <c r="G36" s="8"/>
      <c r="H36" s="8"/>
      <c r="I36" s="46"/>
      <c r="J36" s="21"/>
      <c r="K36" s="21"/>
      <c r="L36" s="8" t="s">
        <v>345</v>
      </c>
      <c r="M36" s="8"/>
      <c r="N36" s="234"/>
      <c r="Q36" s="305"/>
      <c r="R36" s="318" t="s">
        <v>312</v>
      </c>
      <c r="S36" s="311"/>
      <c r="T36" s="311"/>
      <c r="U36" s="311"/>
      <c r="V36" s="312"/>
      <c r="W36" s="311"/>
      <c r="X36" s="312"/>
      <c r="Y36" s="311"/>
      <c r="Z36" s="311"/>
      <c r="AA36" s="313"/>
    </row>
    <row r="37" spans="2:27" x14ac:dyDescent="0.2">
      <c r="B37" s="26"/>
      <c r="C37" s="104"/>
      <c r="D37" s="8"/>
      <c r="E37" s="228" t="s">
        <v>346</v>
      </c>
      <c r="F37" s="104"/>
      <c r="G37" s="8"/>
      <c r="H37" s="8"/>
      <c r="I37" s="46"/>
      <c r="J37" s="19"/>
      <c r="K37" s="19"/>
      <c r="L37" s="8"/>
      <c r="M37" s="8"/>
      <c r="N37" s="234"/>
      <c r="Q37" s="305"/>
      <c r="R37" s="756" t="s">
        <v>371</v>
      </c>
      <c r="S37" s="757"/>
      <c r="T37" s="757"/>
      <c r="U37" s="312"/>
      <c r="V37" s="319">
        <v>5</v>
      </c>
      <c r="W37" s="311"/>
      <c r="X37" s="317">
        <v>5</v>
      </c>
      <c r="Y37" s="311"/>
      <c r="Z37" s="311"/>
      <c r="AA37" s="313"/>
    </row>
    <row r="38" spans="2:27" x14ac:dyDescent="0.2">
      <c r="B38" s="26"/>
      <c r="C38" s="104"/>
      <c r="D38" s="8"/>
      <c r="E38" s="228"/>
      <c r="F38" s="104"/>
      <c r="G38" s="8"/>
      <c r="H38" s="8"/>
      <c r="I38" s="46"/>
      <c r="J38" s="19"/>
      <c r="K38" s="19"/>
      <c r="L38" s="8"/>
      <c r="M38" s="8"/>
      <c r="N38" s="234"/>
      <c r="Q38" s="305"/>
      <c r="R38" s="756"/>
      <c r="S38" s="757"/>
      <c r="T38" s="757"/>
      <c r="U38" s="311"/>
      <c r="V38" s="312"/>
      <c r="W38" s="311"/>
      <c r="X38" s="317"/>
      <c r="Y38" s="311"/>
      <c r="Z38" s="311"/>
      <c r="AA38" s="313"/>
    </row>
    <row r="39" spans="2:27" x14ac:dyDescent="0.2">
      <c r="B39" s="26"/>
      <c r="C39" s="104"/>
      <c r="D39" s="8"/>
      <c r="E39" s="228"/>
      <c r="F39" s="104"/>
      <c r="G39" s="8"/>
      <c r="H39" s="8"/>
      <c r="I39" s="46"/>
      <c r="J39" s="19"/>
      <c r="K39" s="19"/>
      <c r="L39" s="8"/>
      <c r="M39" s="8"/>
      <c r="N39" s="234"/>
      <c r="Q39" s="305"/>
      <c r="R39" s="314"/>
      <c r="S39" s="312"/>
      <c r="T39" s="312"/>
      <c r="U39" s="311"/>
      <c r="V39" s="312"/>
      <c r="W39" s="312"/>
      <c r="X39" s="312"/>
      <c r="Y39" s="312"/>
      <c r="Z39" s="311"/>
      <c r="AA39" s="313"/>
    </row>
    <row r="40" spans="2:27" x14ac:dyDescent="0.2">
      <c r="B40" s="26"/>
      <c r="C40" s="104"/>
      <c r="D40" s="8"/>
      <c r="E40" s="104"/>
      <c r="F40" s="104"/>
      <c r="G40" s="8"/>
      <c r="H40" s="8"/>
      <c r="I40" s="46"/>
      <c r="J40" s="43"/>
      <c r="K40" s="43"/>
      <c r="L40" s="8"/>
      <c r="M40" s="8"/>
      <c r="N40" s="234"/>
      <c r="Q40" s="305"/>
      <c r="R40" s="318" t="s">
        <v>315</v>
      </c>
      <c r="S40" s="311"/>
      <c r="T40" s="311"/>
      <c r="U40" s="311"/>
      <c r="V40" s="312"/>
      <c r="W40" s="311"/>
      <c r="X40" s="312"/>
      <c r="Y40" s="311"/>
      <c r="Z40" s="311"/>
      <c r="AA40" s="313"/>
    </row>
    <row r="41" spans="2:27" x14ac:dyDescent="0.2">
      <c r="B41" s="26">
        <v>6</v>
      </c>
      <c r="C41" s="104" t="s">
        <v>376</v>
      </c>
      <c r="D41" s="108"/>
      <c r="E41" s="109"/>
      <c r="F41" s="109"/>
      <c r="G41" s="8"/>
      <c r="H41" s="8"/>
      <c r="I41" s="34">
        <v>5</v>
      </c>
      <c r="J41" s="44">
        <f>IF(K41&lt;&gt;0,5,0)</f>
        <v>0</v>
      </c>
      <c r="K41" s="12"/>
      <c r="L41" s="8" t="s">
        <v>347</v>
      </c>
      <c r="M41" s="8"/>
      <c r="N41" s="234"/>
      <c r="Q41" s="305"/>
      <c r="R41" s="756" t="s">
        <v>372</v>
      </c>
      <c r="S41" s="757"/>
      <c r="T41" s="757"/>
      <c r="U41" s="312"/>
      <c r="V41" s="319">
        <v>5</v>
      </c>
      <c r="W41" s="311"/>
      <c r="X41" s="317">
        <v>5</v>
      </c>
      <c r="Y41" s="311"/>
      <c r="Z41" s="311"/>
      <c r="AA41" s="313"/>
    </row>
    <row r="42" spans="2:27" x14ac:dyDescent="0.2">
      <c r="B42" s="26"/>
      <c r="C42" s="104"/>
      <c r="D42" s="108"/>
      <c r="E42" s="109"/>
      <c r="F42" s="109"/>
      <c r="G42" s="8"/>
      <c r="H42" s="8"/>
      <c r="I42" s="46"/>
      <c r="J42" s="19"/>
      <c r="K42" s="19"/>
      <c r="L42" s="8"/>
      <c r="M42" s="8"/>
      <c r="N42" s="234"/>
      <c r="Q42" s="305"/>
      <c r="R42" s="756"/>
      <c r="S42" s="757"/>
      <c r="T42" s="757"/>
      <c r="U42" s="312"/>
      <c r="V42" s="319"/>
      <c r="W42" s="311"/>
      <c r="X42" s="312"/>
      <c r="Y42" s="311"/>
      <c r="Z42" s="311"/>
      <c r="AA42" s="313"/>
    </row>
    <row r="43" spans="2:27" x14ac:dyDescent="0.2">
      <c r="B43" s="26"/>
      <c r="C43" s="104"/>
      <c r="D43" s="108"/>
      <c r="E43" s="109"/>
      <c r="F43" s="109"/>
      <c r="G43" s="8"/>
      <c r="H43" s="8"/>
      <c r="I43" s="46"/>
      <c r="J43" s="19"/>
      <c r="K43" s="19"/>
      <c r="L43" s="8"/>
      <c r="M43" s="8"/>
      <c r="N43" s="234"/>
      <c r="Q43" s="305"/>
      <c r="R43" s="756"/>
      <c r="S43" s="757"/>
      <c r="T43" s="757"/>
      <c r="U43" s="312"/>
      <c r="V43" s="319"/>
      <c r="W43" s="311"/>
      <c r="X43" s="317"/>
      <c r="Y43" s="311"/>
      <c r="Z43" s="311"/>
      <c r="AA43" s="313"/>
    </row>
    <row r="44" spans="2:27" x14ac:dyDescent="0.2">
      <c r="B44" s="26"/>
      <c r="C44" s="110"/>
      <c r="D44" s="8"/>
      <c r="E44" s="110"/>
      <c r="F44" s="8"/>
      <c r="G44" s="93" t="s">
        <v>323</v>
      </c>
      <c r="H44" s="93"/>
      <c r="I44" s="94">
        <v>30</v>
      </c>
      <c r="J44" s="231" t="e">
        <f>IF(SUM(J9,J14,J21,J30,J35,J41)&gt;30,30,SUM(J9,J14,J21,J30,J35,J41))</f>
        <v>#DIV/0!</v>
      </c>
      <c r="K44" s="8"/>
      <c r="L44" s="8"/>
      <c r="M44" s="8"/>
      <c r="N44" s="234"/>
      <c r="Q44" s="305"/>
      <c r="R44" s="756"/>
      <c r="S44" s="757"/>
      <c r="T44" s="757"/>
      <c r="U44" s="312"/>
      <c r="V44" s="319"/>
      <c r="W44" s="311"/>
      <c r="X44" s="317"/>
      <c r="Y44" s="311"/>
      <c r="Z44" s="311"/>
      <c r="AA44" s="313"/>
    </row>
    <row r="45" spans="2:27" x14ac:dyDescent="0.2">
      <c r="B45" s="23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234"/>
      <c r="Q45" s="305"/>
      <c r="R45" s="310"/>
      <c r="S45" s="311"/>
      <c r="T45" s="311"/>
      <c r="U45" s="311"/>
      <c r="V45" s="319"/>
      <c r="W45" s="311"/>
      <c r="X45" s="317"/>
      <c r="Y45" s="311"/>
      <c r="Z45" s="311"/>
      <c r="AA45" s="313"/>
    </row>
    <row r="46" spans="2:27" x14ac:dyDescent="0.2">
      <c r="B46" s="232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6"/>
      <c r="Q46" s="305"/>
      <c r="R46" s="318" t="s">
        <v>322</v>
      </c>
      <c r="S46" s="321"/>
      <c r="T46" s="319"/>
      <c r="U46" s="311"/>
      <c r="V46" s="312"/>
      <c r="W46" s="311"/>
      <c r="X46" s="312"/>
      <c r="Y46" s="311"/>
      <c r="Z46" s="311"/>
      <c r="AA46" s="313"/>
    </row>
    <row r="47" spans="2:27" x14ac:dyDescent="0.2"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Q47" s="305"/>
      <c r="R47" s="756" t="s">
        <v>373</v>
      </c>
      <c r="S47" s="757"/>
      <c r="T47" s="757"/>
      <c r="U47" s="312"/>
      <c r="V47" s="319">
        <v>5</v>
      </c>
      <c r="W47" s="311"/>
      <c r="X47" s="317">
        <v>5</v>
      </c>
      <c r="Y47" s="311"/>
      <c r="Z47" s="311"/>
      <c r="AA47" s="313"/>
    </row>
    <row r="48" spans="2:27" x14ac:dyDescent="0.2"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Q48" s="303"/>
      <c r="R48" s="756"/>
      <c r="S48" s="757"/>
      <c r="T48" s="757"/>
      <c r="U48" s="312"/>
      <c r="V48" s="319"/>
      <c r="W48" s="311"/>
      <c r="X48" s="317"/>
      <c r="Y48" s="311"/>
      <c r="Z48" s="311"/>
      <c r="AA48" s="313"/>
    </row>
    <row r="49" spans="17:27" x14ac:dyDescent="0.2">
      <c r="Q49" s="303"/>
      <c r="R49" s="756"/>
      <c r="S49" s="757"/>
      <c r="T49" s="757"/>
      <c r="U49" s="312"/>
      <c r="V49" s="319"/>
      <c r="W49" s="311"/>
      <c r="X49" s="317"/>
      <c r="Y49" s="311"/>
      <c r="Z49" s="311"/>
      <c r="AA49" s="313"/>
    </row>
    <row r="50" spans="17:27" x14ac:dyDescent="0.2">
      <c r="Q50" s="148"/>
      <c r="R50" s="756"/>
      <c r="S50" s="757"/>
      <c r="T50" s="757"/>
      <c r="U50" s="312"/>
      <c r="V50" s="319"/>
      <c r="W50" s="311"/>
      <c r="X50" s="317"/>
      <c r="Y50" s="311"/>
      <c r="Z50" s="311"/>
      <c r="AA50" s="313"/>
    </row>
    <row r="51" spans="17:27" x14ac:dyDescent="0.2">
      <c r="Q51" s="148"/>
      <c r="R51" s="756"/>
      <c r="S51" s="757"/>
      <c r="T51" s="757"/>
      <c r="U51" s="312"/>
      <c r="V51" s="319"/>
      <c r="W51" s="311"/>
      <c r="X51" s="312"/>
      <c r="Y51" s="312"/>
      <c r="Z51" s="322"/>
      <c r="AA51" s="313"/>
    </row>
    <row r="52" spans="17:27" x14ac:dyDescent="0.2">
      <c r="Q52" s="148"/>
      <c r="R52" s="310"/>
      <c r="S52" s="321"/>
      <c r="T52" s="319"/>
      <c r="U52" s="311"/>
      <c r="V52" s="319"/>
      <c r="W52" s="311"/>
      <c r="X52" s="317">
        <f>SUM(X15:X47)</f>
        <v>40</v>
      </c>
      <c r="Y52" s="311" t="s">
        <v>324</v>
      </c>
      <c r="Z52" s="311"/>
      <c r="AA52" s="313"/>
    </row>
    <row r="53" spans="17:27" ht="13.5" thickBot="1" x14ac:dyDescent="0.25">
      <c r="Q53" s="148"/>
      <c r="R53" s="323"/>
      <c r="S53" s="324"/>
      <c r="T53" s="324"/>
      <c r="U53" s="324"/>
      <c r="V53" s="324"/>
      <c r="W53" s="324"/>
      <c r="X53" s="324"/>
      <c r="Y53" s="324"/>
      <c r="Z53" s="324"/>
      <c r="AA53" s="325"/>
    </row>
    <row r="54" spans="17:27" x14ac:dyDescent="0.2">
      <c r="Q54" s="148"/>
      <c r="R54" s="148"/>
      <c r="S54" s="148"/>
      <c r="T54" s="148"/>
      <c r="U54" s="148"/>
      <c r="V54" s="148"/>
      <c r="W54" s="148"/>
      <c r="X54" s="148"/>
      <c r="Y54" s="148"/>
      <c r="Z54" s="148"/>
    </row>
    <row r="55" spans="17:27" x14ac:dyDescent="0.2">
      <c r="Q55" s="148"/>
      <c r="R55" s="148"/>
      <c r="S55" s="148"/>
      <c r="T55" s="148"/>
      <c r="U55" s="148"/>
      <c r="V55" s="148"/>
      <c r="W55" s="148"/>
      <c r="X55" s="148"/>
      <c r="Y55" s="148"/>
      <c r="Z55" s="148"/>
    </row>
    <row r="56" spans="17:27" x14ac:dyDescent="0.2">
      <c r="Q56" s="148"/>
      <c r="R56" s="148"/>
      <c r="S56" s="148"/>
      <c r="T56" s="148"/>
      <c r="U56" s="148"/>
      <c r="V56" s="148"/>
      <c r="W56" s="148"/>
      <c r="X56" s="148"/>
      <c r="Y56" s="148"/>
      <c r="Z56" s="148"/>
    </row>
    <row r="57" spans="17:27" x14ac:dyDescent="0.2">
      <c r="Q57" s="148"/>
      <c r="R57" s="148"/>
      <c r="S57" s="148"/>
      <c r="T57" s="148"/>
      <c r="U57" s="148"/>
      <c r="V57" s="148"/>
      <c r="W57" s="148"/>
      <c r="X57" s="148"/>
      <c r="Y57" s="148"/>
      <c r="Z57" s="148"/>
    </row>
    <row r="58" spans="17:27" x14ac:dyDescent="0.2">
      <c r="Q58" s="148"/>
      <c r="R58" s="148"/>
      <c r="S58" s="148"/>
      <c r="T58" s="148"/>
      <c r="U58" s="148"/>
      <c r="V58" s="148"/>
      <c r="W58" s="148"/>
      <c r="X58" s="148"/>
      <c r="Y58" s="148"/>
      <c r="Z58" s="148"/>
    </row>
  </sheetData>
  <sheetProtection password="EC65" sheet="1" selectLockedCells="1"/>
  <mergeCells count="8">
    <mergeCell ref="E15:H16"/>
    <mergeCell ref="R47:T51"/>
    <mergeCell ref="U11:W12"/>
    <mergeCell ref="R15:T18"/>
    <mergeCell ref="R30:T34"/>
    <mergeCell ref="R37:T38"/>
    <mergeCell ref="R41:T44"/>
    <mergeCell ref="R21:T27"/>
  </mergeCells>
  <conditionalFormatting sqref="J44">
    <cfRule type="containsErrors" dxfId="0" priority="1" stopIfTrue="1">
      <formula>ISERROR(J44)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8"/>
  <sheetViews>
    <sheetView workbookViewId="0">
      <selection activeCell="N11" sqref="N11"/>
    </sheetView>
  </sheetViews>
  <sheetFormatPr defaultRowHeight="15" x14ac:dyDescent="0.2"/>
  <cols>
    <col min="1" max="1" width="3.28515625" style="3" customWidth="1"/>
    <col min="2" max="2" width="12" style="3" customWidth="1"/>
    <col min="3" max="3" width="3.7109375" style="3" customWidth="1"/>
    <col min="4" max="4" width="4.140625" style="3" customWidth="1"/>
    <col min="5" max="11" width="9.140625" style="3"/>
    <col min="12" max="12" width="3.28515625" style="3" customWidth="1"/>
    <col min="13" max="16384" width="9.140625" style="3"/>
  </cols>
  <sheetData>
    <row r="1" spans="1:12" ht="18.75" x14ac:dyDescent="0.3">
      <c r="A1" s="761" t="s">
        <v>251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  <c r="L1" s="763"/>
    </row>
    <row r="2" spans="1:12" ht="18.75" x14ac:dyDescent="0.3">
      <c r="A2" s="764" t="s">
        <v>252</v>
      </c>
      <c r="B2" s="765"/>
      <c r="C2" s="765"/>
      <c r="D2" s="765"/>
      <c r="E2" s="765"/>
      <c r="F2" s="765"/>
      <c r="G2" s="765"/>
      <c r="H2" s="765"/>
      <c r="I2" s="765"/>
      <c r="J2" s="765"/>
      <c r="K2" s="765"/>
      <c r="L2" s="766"/>
    </row>
    <row r="3" spans="1:12" ht="18.75" customHeight="1" x14ac:dyDescent="0.25">
      <c r="A3" s="767" t="s">
        <v>253</v>
      </c>
      <c r="B3" s="768"/>
      <c r="C3" s="768"/>
      <c r="D3" s="768"/>
      <c r="E3" s="768"/>
      <c r="F3" s="768"/>
      <c r="G3" s="768"/>
      <c r="H3" s="768"/>
      <c r="I3" s="768"/>
      <c r="J3" s="768"/>
      <c r="K3" s="768"/>
      <c r="L3" s="769"/>
    </row>
    <row r="4" spans="1:12" x14ac:dyDescent="0.2">
      <c r="A4" s="651"/>
      <c r="B4" s="652"/>
      <c r="C4" s="652"/>
      <c r="D4" s="652"/>
      <c r="E4" s="652"/>
      <c r="F4" s="652"/>
      <c r="G4" s="652"/>
      <c r="H4" s="652"/>
      <c r="I4" s="652"/>
      <c r="J4" s="652"/>
      <c r="K4" s="652"/>
      <c r="L4" s="653"/>
    </row>
    <row r="5" spans="1:12" x14ac:dyDescent="0.2">
      <c r="A5" s="651"/>
      <c r="B5" s="652"/>
      <c r="C5" s="652"/>
      <c r="D5" s="652"/>
      <c r="E5" s="652"/>
      <c r="F5" s="652"/>
      <c r="G5" s="652"/>
      <c r="H5" s="652"/>
      <c r="I5" s="652"/>
      <c r="J5" s="652"/>
      <c r="K5" s="652"/>
      <c r="L5" s="653"/>
    </row>
    <row r="6" spans="1:12" x14ac:dyDescent="0.2">
      <c r="A6" s="651"/>
      <c r="B6" s="652"/>
      <c r="C6" s="652"/>
      <c r="D6" s="652"/>
      <c r="E6" s="652"/>
      <c r="F6" s="652"/>
      <c r="G6" s="652"/>
      <c r="H6" s="652"/>
      <c r="I6" s="652"/>
      <c r="J6" s="652"/>
      <c r="K6" s="652"/>
      <c r="L6" s="653"/>
    </row>
    <row r="7" spans="1:12" x14ac:dyDescent="0.2">
      <c r="A7" s="651" t="s">
        <v>254</v>
      </c>
      <c r="B7" s="652"/>
      <c r="C7" s="652"/>
      <c r="D7" s="770"/>
      <c r="E7" s="770"/>
      <c r="F7" s="770"/>
      <c r="G7" s="652"/>
      <c r="H7" s="652"/>
      <c r="I7" s="652"/>
      <c r="J7" s="652"/>
      <c r="K7" s="652"/>
      <c r="L7" s="653"/>
    </row>
    <row r="8" spans="1:12" x14ac:dyDescent="0.2">
      <c r="A8" s="651" t="s">
        <v>255</v>
      </c>
      <c r="B8" s="652"/>
      <c r="C8" s="652"/>
      <c r="D8" s="770"/>
      <c r="E8" s="770"/>
      <c r="F8" s="770"/>
      <c r="G8" s="770"/>
      <c r="H8" s="770"/>
      <c r="I8" s="652"/>
      <c r="J8" s="652"/>
      <c r="K8" s="652"/>
      <c r="L8" s="653"/>
    </row>
    <row r="9" spans="1:12" x14ac:dyDescent="0.2">
      <c r="A9" s="651" t="s">
        <v>256</v>
      </c>
      <c r="B9" s="652"/>
      <c r="C9" s="652"/>
      <c r="D9" s="774"/>
      <c r="E9" s="774"/>
      <c r="F9" s="774"/>
      <c r="G9" s="652"/>
      <c r="H9" s="652"/>
      <c r="I9" s="652"/>
      <c r="J9" s="652"/>
      <c r="K9" s="652"/>
      <c r="L9" s="653"/>
    </row>
    <row r="10" spans="1:12" x14ac:dyDescent="0.2">
      <c r="A10" s="651"/>
      <c r="B10" s="652"/>
      <c r="C10" s="652"/>
      <c r="D10" s="652"/>
      <c r="E10" s="652"/>
      <c r="F10" s="652"/>
      <c r="G10" s="652"/>
      <c r="H10" s="652"/>
      <c r="I10" s="652"/>
      <c r="J10" s="652"/>
      <c r="K10" s="652"/>
      <c r="L10" s="653"/>
    </row>
    <row r="11" spans="1:12" x14ac:dyDescent="0.2">
      <c r="A11" s="651"/>
      <c r="B11" s="652"/>
      <c r="C11" s="652"/>
      <c r="D11" s="652"/>
      <c r="E11" s="652"/>
      <c r="F11" s="652"/>
      <c r="G11" s="652"/>
      <c r="H11" s="652"/>
      <c r="I11" s="652"/>
      <c r="J11" s="652"/>
      <c r="K11" s="652"/>
      <c r="L11" s="653"/>
    </row>
    <row r="12" spans="1:12" x14ac:dyDescent="0.2">
      <c r="A12" s="651"/>
      <c r="B12" s="652"/>
      <c r="C12" s="652"/>
      <c r="D12" s="652"/>
      <c r="E12" s="652"/>
      <c r="F12" s="652"/>
      <c r="G12" s="652"/>
      <c r="H12" s="652"/>
      <c r="I12" s="652"/>
      <c r="J12" s="652"/>
      <c r="K12" s="652"/>
      <c r="L12" s="653"/>
    </row>
    <row r="13" spans="1:12" x14ac:dyDescent="0.2">
      <c r="A13" s="651" t="s">
        <v>257</v>
      </c>
      <c r="B13" s="652"/>
      <c r="C13" s="652"/>
      <c r="D13" s="652"/>
      <c r="E13" s="652"/>
      <c r="F13" s="652"/>
      <c r="G13" s="652"/>
      <c r="H13" s="652"/>
      <c r="I13" s="652"/>
      <c r="J13" s="652"/>
      <c r="K13" s="652"/>
      <c r="L13" s="653"/>
    </row>
    <row r="14" spans="1:12" x14ac:dyDescent="0.2">
      <c r="A14" s="651" t="s">
        <v>258</v>
      </c>
      <c r="B14" s="652"/>
      <c r="C14" s="652"/>
      <c r="D14" s="652"/>
      <c r="E14" s="775"/>
      <c r="F14" s="776"/>
      <c r="G14" s="652" t="s">
        <v>259</v>
      </c>
      <c r="H14" s="652"/>
      <c r="I14" s="652"/>
      <c r="J14" s="652"/>
      <c r="K14" s="652"/>
      <c r="L14" s="653"/>
    </row>
    <row r="15" spans="1:12" x14ac:dyDescent="0.2">
      <c r="A15" s="651" t="s">
        <v>260</v>
      </c>
      <c r="B15" s="652"/>
      <c r="C15" s="652"/>
      <c r="D15" s="652"/>
      <c r="E15" s="652"/>
      <c r="F15" s="652"/>
      <c r="G15" s="652"/>
      <c r="H15" s="652"/>
      <c r="I15" s="652"/>
      <c r="J15" s="652"/>
      <c r="K15" s="652"/>
      <c r="L15" s="653"/>
    </row>
    <row r="16" spans="1:12" x14ac:dyDescent="0.2">
      <c r="A16" s="651"/>
      <c r="B16" s="652"/>
      <c r="C16" s="652"/>
      <c r="D16" s="652"/>
      <c r="E16" s="652"/>
      <c r="F16" s="652"/>
      <c r="G16" s="652"/>
      <c r="H16" s="652"/>
      <c r="I16" s="652"/>
      <c r="J16" s="652"/>
      <c r="K16" s="652"/>
      <c r="L16" s="653"/>
    </row>
    <row r="17" spans="1:12" x14ac:dyDescent="0.2">
      <c r="A17" s="651" t="s">
        <v>261</v>
      </c>
      <c r="B17" s="652"/>
      <c r="C17" s="652"/>
      <c r="D17" s="652"/>
      <c r="E17" s="652"/>
      <c r="F17" s="652"/>
      <c r="G17" s="652"/>
      <c r="H17" s="652"/>
      <c r="I17" s="652"/>
      <c r="J17" s="652"/>
      <c r="K17" s="652"/>
      <c r="L17" s="653"/>
    </row>
    <row r="18" spans="1:12" x14ac:dyDescent="0.2">
      <c r="A18" s="651" t="s">
        <v>262</v>
      </c>
      <c r="B18" s="652"/>
      <c r="C18" s="652"/>
      <c r="D18" s="652"/>
      <c r="E18" s="652"/>
      <c r="F18" s="652"/>
      <c r="G18" s="652"/>
      <c r="H18" s="652"/>
      <c r="I18" s="652"/>
      <c r="J18" s="652"/>
      <c r="K18" s="652"/>
      <c r="L18" s="653"/>
    </row>
    <row r="19" spans="1:12" x14ac:dyDescent="0.2">
      <c r="A19" s="651"/>
      <c r="B19" s="652"/>
      <c r="C19" s="652"/>
      <c r="D19" s="652"/>
      <c r="E19" s="652"/>
      <c r="F19" s="652"/>
      <c r="G19" s="652"/>
      <c r="H19" s="652"/>
      <c r="I19" s="652"/>
      <c r="J19" s="652"/>
      <c r="K19" s="652"/>
      <c r="L19" s="653"/>
    </row>
    <row r="20" spans="1:12" x14ac:dyDescent="0.2">
      <c r="A20" s="651"/>
      <c r="B20" s="652" t="s">
        <v>263</v>
      </c>
      <c r="C20" s="652"/>
      <c r="D20" s="652"/>
      <c r="E20" s="652"/>
      <c r="F20" s="652"/>
      <c r="G20" s="652"/>
      <c r="H20" s="652"/>
      <c r="I20" s="652"/>
      <c r="J20" s="652"/>
      <c r="K20" s="652"/>
      <c r="L20" s="653"/>
    </row>
    <row r="21" spans="1:12" x14ac:dyDescent="0.2">
      <c r="A21" s="651"/>
      <c r="B21" s="652" t="s">
        <v>264</v>
      </c>
      <c r="C21" s="652"/>
      <c r="D21" s="652"/>
      <c r="E21" s="652"/>
      <c r="F21" s="652"/>
      <c r="G21" s="652"/>
      <c r="H21" s="652"/>
      <c r="I21" s="652"/>
      <c r="J21" s="652"/>
      <c r="K21" s="652"/>
      <c r="L21" s="653"/>
    </row>
    <row r="22" spans="1:12" x14ac:dyDescent="0.2">
      <c r="A22" s="651"/>
      <c r="B22" s="652" t="s">
        <v>265</v>
      </c>
      <c r="C22" s="652"/>
      <c r="D22" s="652"/>
      <c r="E22" s="652"/>
      <c r="F22" s="652"/>
      <c r="G22" s="652"/>
      <c r="H22" s="652"/>
      <c r="I22" s="652"/>
      <c r="J22" s="652"/>
      <c r="K22" s="652"/>
      <c r="L22" s="653"/>
    </row>
    <row r="23" spans="1:12" x14ac:dyDescent="0.2">
      <c r="A23" s="651"/>
      <c r="B23" s="652" t="s">
        <v>266</v>
      </c>
      <c r="C23" s="652"/>
      <c r="D23" s="652"/>
      <c r="E23" s="652"/>
      <c r="F23" s="652"/>
      <c r="G23" s="652"/>
      <c r="H23" s="652"/>
      <c r="I23" s="652"/>
      <c r="J23" s="652"/>
      <c r="K23" s="652"/>
      <c r="L23" s="653"/>
    </row>
    <row r="24" spans="1:12" x14ac:dyDescent="0.2">
      <c r="A24" s="651"/>
      <c r="B24" s="652" t="s">
        <v>267</v>
      </c>
      <c r="C24" s="652"/>
      <c r="D24" s="652"/>
      <c r="E24" s="652"/>
      <c r="F24" s="652"/>
      <c r="G24" s="652"/>
      <c r="H24" s="652"/>
      <c r="I24" s="652"/>
      <c r="J24" s="652"/>
      <c r="K24" s="652"/>
      <c r="L24" s="653"/>
    </row>
    <row r="25" spans="1:12" x14ac:dyDescent="0.2">
      <c r="A25" s="651"/>
      <c r="B25" s="652" t="s">
        <v>268</v>
      </c>
      <c r="C25" s="652"/>
      <c r="D25" s="652"/>
      <c r="E25" s="652"/>
      <c r="F25" s="652"/>
      <c r="G25" s="652"/>
      <c r="H25" s="652"/>
      <c r="I25" s="652"/>
      <c r="J25" s="652"/>
      <c r="K25" s="652"/>
      <c r="L25" s="653"/>
    </row>
    <row r="26" spans="1:12" x14ac:dyDescent="0.2">
      <c r="A26" s="651"/>
      <c r="B26" s="652"/>
      <c r="C26" s="652"/>
      <c r="D26" s="652"/>
      <c r="E26" s="652"/>
      <c r="F26" s="652"/>
      <c r="G26" s="652"/>
      <c r="H26" s="652"/>
      <c r="I26" s="652"/>
      <c r="J26" s="652"/>
      <c r="K26" s="652"/>
      <c r="L26" s="653"/>
    </row>
    <row r="27" spans="1:12" x14ac:dyDescent="0.2">
      <c r="A27" s="651" t="s">
        <v>269</v>
      </c>
      <c r="B27" s="652"/>
      <c r="C27" s="652"/>
      <c r="D27" s="652"/>
      <c r="E27" s="652"/>
      <c r="F27" s="652"/>
      <c r="G27" s="652"/>
      <c r="H27" s="652"/>
      <c r="I27" s="652"/>
      <c r="J27" s="652"/>
      <c r="K27" s="652"/>
      <c r="L27" s="653"/>
    </row>
    <row r="28" spans="1:12" x14ac:dyDescent="0.2">
      <c r="A28" s="651"/>
      <c r="B28" s="652"/>
      <c r="C28" s="652"/>
      <c r="D28" s="652"/>
      <c r="E28" s="652"/>
      <c r="F28" s="652"/>
      <c r="G28" s="652"/>
      <c r="H28" s="652"/>
      <c r="I28" s="652"/>
      <c r="J28" s="652"/>
      <c r="K28" s="652"/>
      <c r="L28" s="653"/>
    </row>
    <row r="29" spans="1:12" x14ac:dyDescent="0.2">
      <c r="A29" s="651"/>
      <c r="B29" s="652" t="s">
        <v>270</v>
      </c>
      <c r="C29" s="652"/>
      <c r="D29" s="652"/>
      <c r="E29" s="652"/>
      <c r="F29" s="652"/>
      <c r="G29" s="652"/>
      <c r="H29" s="652"/>
      <c r="I29" s="652"/>
      <c r="J29" s="652"/>
      <c r="K29" s="652"/>
      <c r="L29" s="653"/>
    </row>
    <row r="30" spans="1:12" x14ac:dyDescent="0.2">
      <c r="A30" s="651"/>
      <c r="B30" s="652" t="s">
        <v>271</v>
      </c>
      <c r="C30" s="652"/>
      <c r="D30" s="652"/>
      <c r="E30" s="652"/>
      <c r="F30" s="652"/>
      <c r="G30" s="652"/>
      <c r="H30" s="652"/>
      <c r="I30" s="652"/>
      <c r="J30" s="652"/>
      <c r="K30" s="652"/>
      <c r="L30" s="653"/>
    </row>
    <row r="31" spans="1:12" x14ac:dyDescent="0.2">
      <c r="A31" s="651"/>
      <c r="B31" s="652" t="s">
        <v>272</v>
      </c>
      <c r="C31" s="652"/>
      <c r="D31" s="652"/>
      <c r="E31" s="652"/>
      <c r="F31" s="652"/>
      <c r="G31" s="652"/>
      <c r="H31" s="652"/>
      <c r="I31" s="652"/>
      <c r="J31" s="652"/>
      <c r="K31" s="652"/>
      <c r="L31" s="653"/>
    </row>
    <row r="32" spans="1:12" x14ac:dyDescent="0.2">
      <c r="A32" s="651"/>
      <c r="B32" s="652" t="s">
        <v>273</v>
      </c>
      <c r="C32" s="652"/>
      <c r="D32" s="652"/>
      <c r="E32" s="652"/>
      <c r="F32" s="652"/>
      <c r="G32" s="652"/>
      <c r="H32" s="652"/>
      <c r="I32" s="652"/>
      <c r="J32" s="652"/>
      <c r="K32" s="652"/>
      <c r="L32" s="653"/>
    </row>
    <row r="33" spans="1:12" x14ac:dyDescent="0.2">
      <c r="A33" s="651"/>
      <c r="B33" s="652" t="s">
        <v>274</v>
      </c>
      <c r="C33" s="652"/>
      <c r="D33" s="652"/>
      <c r="E33" s="652"/>
      <c r="F33" s="652"/>
      <c r="G33" s="652"/>
      <c r="H33" s="652"/>
      <c r="I33" s="652"/>
      <c r="J33" s="652"/>
      <c r="K33" s="652"/>
      <c r="L33" s="653"/>
    </row>
    <row r="34" spans="1:12" x14ac:dyDescent="0.2">
      <c r="A34" s="651"/>
      <c r="B34" s="652" t="s">
        <v>275</v>
      </c>
      <c r="C34" s="652"/>
      <c r="D34" s="652"/>
      <c r="E34" s="652"/>
      <c r="F34" s="652"/>
      <c r="G34" s="652"/>
      <c r="H34" s="652"/>
      <c r="I34" s="652"/>
      <c r="J34" s="652"/>
      <c r="K34" s="652"/>
      <c r="L34" s="653"/>
    </row>
    <row r="35" spans="1:12" x14ac:dyDescent="0.2">
      <c r="A35" s="651"/>
      <c r="B35" s="652" t="s">
        <v>276</v>
      </c>
      <c r="C35" s="652"/>
      <c r="D35" s="652"/>
      <c r="E35" s="652"/>
      <c r="F35" s="652"/>
      <c r="G35" s="652"/>
      <c r="H35" s="652"/>
      <c r="I35" s="652"/>
      <c r="J35" s="652"/>
      <c r="K35" s="652"/>
      <c r="L35" s="653"/>
    </row>
    <row r="36" spans="1:12" x14ac:dyDescent="0.2">
      <c r="A36" s="651"/>
      <c r="B36" s="652"/>
      <c r="C36" s="652"/>
      <c r="D36" s="652"/>
      <c r="E36" s="652"/>
      <c r="F36" s="652"/>
      <c r="G36" s="652"/>
      <c r="H36" s="652"/>
      <c r="I36" s="652"/>
      <c r="J36" s="652"/>
      <c r="K36" s="652"/>
      <c r="L36" s="653"/>
    </row>
    <row r="37" spans="1:12" x14ac:dyDescent="0.2">
      <c r="A37" s="654" t="s">
        <v>277</v>
      </c>
      <c r="B37" s="655"/>
      <c r="C37" s="655"/>
      <c r="D37" s="655"/>
      <c r="E37" s="655"/>
      <c r="F37" s="655"/>
      <c r="G37" s="655"/>
      <c r="H37" s="655"/>
      <c r="I37" s="655"/>
      <c r="J37" s="655"/>
      <c r="K37" s="655"/>
      <c r="L37" s="656"/>
    </row>
    <row r="38" spans="1:12" x14ac:dyDescent="0.2">
      <c r="A38" s="654" t="s">
        <v>278</v>
      </c>
      <c r="B38" s="655"/>
      <c r="C38" s="655"/>
      <c r="D38" s="655"/>
      <c r="E38" s="655"/>
      <c r="F38" s="655"/>
      <c r="G38" s="655"/>
      <c r="H38" s="655"/>
      <c r="I38" s="655"/>
      <c r="J38" s="655"/>
      <c r="K38" s="655"/>
      <c r="L38" s="656"/>
    </row>
    <row r="39" spans="1:12" x14ac:dyDescent="0.2">
      <c r="A39" s="654" t="s">
        <v>279</v>
      </c>
      <c r="B39" s="655"/>
      <c r="C39" s="655"/>
      <c r="D39" s="655"/>
      <c r="E39" s="655"/>
      <c r="F39" s="655"/>
      <c r="G39" s="655"/>
      <c r="H39" s="655"/>
      <c r="I39" s="655"/>
      <c r="J39" s="655"/>
      <c r="K39" s="655"/>
      <c r="L39" s="656"/>
    </row>
    <row r="40" spans="1:12" x14ac:dyDescent="0.2">
      <c r="A40" s="651"/>
      <c r="B40" s="652"/>
      <c r="C40" s="652"/>
      <c r="D40" s="652"/>
      <c r="E40" s="652"/>
      <c r="F40" s="652"/>
      <c r="G40" s="652"/>
      <c r="H40" s="652"/>
      <c r="I40" s="652"/>
      <c r="J40" s="652"/>
      <c r="K40" s="652"/>
      <c r="L40" s="653"/>
    </row>
    <row r="41" spans="1:12" x14ac:dyDescent="0.2">
      <c r="A41" s="651"/>
      <c r="B41" s="652"/>
      <c r="C41" s="652"/>
      <c r="D41" s="652"/>
      <c r="E41" s="652"/>
      <c r="F41" s="652"/>
      <c r="G41" s="652"/>
      <c r="H41" s="652"/>
      <c r="I41" s="652"/>
      <c r="J41" s="652"/>
      <c r="K41" s="652"/>
      <c r="L41" s="653"/>
    </row>
    <row r="42" spans="1:12" x14ac:dyDescent="0.2">
      <c r="A42" s="651"/>
      <c r="B42" s="652"/>
      <c r="C42" s="652"/>
      <c r="D42" s="652"/>
      <c r="E42" s="652"/>
      <c r="F42" s="652"/>
      <c r="G42" s="652"/>
      <c r="H42" s="652"/>
      <c r="I42" s="652"/>
      <c r="J42" s="652"/>
      <c r="K42" s="652"/>
      <c r="L42" s="653"/>
    </row>
    <row r="43" spans="1:12" x14ac:dyDescent="0.2">
      <c r="A43" s="651"/>
      <c r="B43" s="652"/>
      <c r="C43" s="652"/>
      <c r="D43" s="652"/>
      <c r="E43" s="652"/>
      <c r="F43" s="652"/>
      <c r="G43" s="652"/>
      <c r="H43" s="652"/>
      <c r="I43" s="652"/>
      <c r="J43" s="652"/>
      <c r="K43" s="652"/>
      <c r="L43" s="653"/>
    </row>
    <row r="44" spans="1:12" x14ac:dyDescent="0.2">
      <c r="A44" s="777"/>
      <c r="B44" s="776"/>
      <c r="C44" s="776"/>
      <c r="D44" s="776"/>
      <c r="E44" s="776"/>
      <c r="F44" s="652"/>
      <c r="G44" s="652"/>
      <c r="H44" s="778"/>
      <c r="I44" s="778"/>
      <c r="J44" s="652"/>
      <c r="K44" s="652"/>
      <c r="L44" s="653"/>
    </row>
    <row r="45" spans="1:12" x14ac:dyDescent="0.2">
      <c r="A45" s="771" t="s">
        <v>280</v>
      </c>
      <c r="B45" s="772"/>
      <c r="C45" s="772"/>
      <c r="D45" s="772"/>
      <c r="E45" s="772"/>
      <c r="F45" s="652"/>
      <c r="G45" s="652"/>
      <c r="H45" s="773" t="s">
        <v>281</v>
      </c>
      <c r="I45" s="773"/>
      <c r="J45" s="652"/>
      <c r="K45" s="652"/>
      <c r="L45" s="653"/>
    </row>
    <row r="46" spans="1:12" x14ac:dyDescent="0.2">
      <c r="A46" s="651"/>
      <c r="B46" s="652"/>
      <c r="C46" s="652"/>
      <c r="D46" s="652"/>
      <c r="E46" s="652"/>
      <c r="F46" s="652"/>
      <c r="G46" s="652"/>
      <c r="H46" s="652"/>
      <c r="I46" s="652"/>
      <c r="J46" s="652"/>
      <c r="K46" s="652"/>
      <c r="L46" s="653"/>
    </row>
    <row r="47" spans="1:12" x14ac:dyDescent="0.2">
      <c r="A47" s="657" t="s">
        <v>282</v>
      </c>
      <c r="B47" s="658"/>
      <c r="C47" s="659"/>
      <c r="D47" s="659"/>
      <c r="E47" s="659"/>
      <c r="F47" s="659"/>
      <c r="G47" s="659"/>
      <c r="H47" s="659"/>
      <c r="I47" s="659"/>
      <c r="J47" s="659"/>
      <c r="K47" s="659"/>
      <c r="L47" s="660"/>
    </row>
    <row r="48" spans="1:12" x14ac:dyDescent="0.2">
      <c r="A48" s="4"/>
      <c r="B48" s="4"/>
    </row>
  </sheetData>
  <sheetProtection algorithmName="SHA-512" hashValue="TJGQF54Wmuh2UL6jqWRSCmRfCeC4CIM574d2yi2Gi2sqOdFB+MazPhmdzyhMLQNbWBzVnpD4iSAUXgjK8uN2+w==" saltValue="lw/6Xh+nnuDg0AXRwNlQlA==" spinCount="100000" sheet="1" objects="1" scenarios="1"/>
  <mergeCells count="11">
    <mergeCell ref="A1:L1"/>
    <mergeCell ref="A2:L2"/>
    <mergeCell ref="A3:L3"/>
    <mergeCell ref="D7:F7"/>
    <mergeCell ref="A45:E45"/>
    <mergeCell ref="H45:I45"/>
    <mergeCell ref="D8:H8"/>
    <mergeCell ref="D9:F9"/>
    <mergeCell ref="E14:F14"/>
    <mergeCell ref="A44:E44"/>
    <mergeCell ref="H44:I44"/>
  </mergeCells>
  <phoneticPr fontId="23" type="noConversion"/>
  <pageMargins left="0.75" right="0.75" top="0.65" bottom="0.7" header="0.32" footer="0.37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Results</vt:lpstr>
      <vt:lpstr>3R INPUT</vt:lpstr>
      <vt:lpstr>Traffic &amp; Accidents</vt:lpstr>
      <vt:lpstr>Old Structure</vt:lpstr>
      <vt:lpstr>STRUCTURE</vt:lpstr>
      <vt:lpstr>Geometry</vt:lpstr>
      <vt:lpstr>3R Checklist</vt:lpstr>
      <vt:lpstr>Engineer's 3R letter</vt:lpstr>
      <vt:lpstr>'3R INPUT'!Print_Area</vt:lpstr>
      <vt:lpstr>Geometry!Print_Area</vt:lpstr>
      <vt:lpstr>STRUCTURE!Print_Area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Hart</dc:creator>
  <cp:lastModifiedBy>Johnson, Steve (CRAB)</cp:lastModifiedBy>
  <cp:lastPrinted>2020-02-20T22:08:09Z</cp:lastPrinted>
  <dcterms:created xsi:type="dcterms:W3CDTF">2001-08-02T21:00:04Z</dcterms:created>
  <dcterms:modified xsi:type="dcterms:W3CDTF">2022-06-21T21:15:11Z</dcterms:modified>
</cp:coreProperties>
</file>