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stateofwa-my.sharepoint.com/personal/steve_johnson_crab_wa_gov/Documents/Documents/Worksheets 23-25/PS/"/>
    </mc:Choice>
  </mc:AlternateContent>
  <xr:revisionPtr revIDLastSave="36" documentId="11_A687503987BE7B42585DD3D3A8B9E6C0E2732745" xr6:coauthVersionLast="47" xr6:coauthVersionMax="47" xr10:uidLastSave="{39F3F349-3F7B-4CB3-9051-3414AE0797E2}"/>
  <bookViews>
    <workbookView xWindow="28680" yWindow="-120" windowWidth="29040" windowHeight="15840" tabRatio="606" xr2:uid="{00000000-000D-0000-FFFF-FFFF00000000}"/>
  </bookViews>
  <sheets>
    <sheet name="1 LANE BR RATING SUMMARY" sheetId="6" r:id="rId1"/>
    <sheet name="Traffic &amp; Accidents" sheetId="14" r:id="rId2"/>
    <sheet name="Structure" sheetId="13" r:id="rId3"/>
    <sheet name="Geometry" sheetId="12" r:id="rId4"/>
    <sheet name="BR Rehab." sheetId="7" r:id="rId5"/>
    <sheet name="Engineer's 3R letter" sheetId="9" r:id="rId6"/>
  </sheets>
  <definedNames>
    <definedName name="_xlnm.Print_Area" localSheetId="0">'1 LANE BR RATING SUMMARY'!$B$4:$N$62</definedName>
    <definedName name="_xlnm.Print_Area" localSheetId="4">'BR Rehab.'!$A$1:$K$58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13" l="1"/>
  <c r="K33" i="13" s="1"/>
  <c r="C195" i="12"/>
  <c r="C194" i="12"/>
  <c r="C193" i="12"/>
  <c r="C192" i="12"/>
  <c r="C191" i="12"/>
  <c r="C184" i="12"/>
  <c r="C183" i="12"/>
  <c r="C182" i="12"/>
  <c r="C181" i="12"/>
  <c r="C180" i="12"/>
  <c r="S172" i="12"/>
  <c r="Z179" i="12" s="1"/>
  <c r="S171" i="12"/>
  <c r="X173" i="12" s="1"/>
  <c r="AF161" i="12"/>
  <c r="Y173" i="12" l="1"/>
  <c r="Z171" i="12"/>
  <c r="X178" i="12"/>
  <c r="X179" i="12"/>
  <c r="H163" i="12"/>
  <c r="Z173" i="12"/>
  <c r="Y178" i="12"/>
  <c r="Z178" i="12"/>
  <c r="X172" i="12"/>
  <c r="Y172" i="12"/>
  <c r="Z172" i="12"/>
  <c r="Y177" i="12"/>
  <c r="X177" i="12" s="1"/>
  <c r="Y179" i="12"/>
  <c r="H161" i="12"/>
  <c r="X171" i="12"/>
  <c r="Z177" i="12"/>
  <c r="Y171" i="12"/>
  <c r="Z127" i="12"/>
  <c r="Y127" i="12"/>
  <c r="S127" i="12"/>
  <c r="R127" i="12"/>
  <c r="Z126" i="12"/>
  <c r="Y126" i="12"/>
  <c r="S126" i="12"/>
  <c r="R126" i="12"/>
  <c r="Z125" i="12"/>
  <c r="Y125" i="12"/>
  <c r="S125" i="12"/>
  <c r="R125" i="12"/>
  <c r="Z124" i="12"/>
  <c r="Y124" i="12"/>
  <c r="S124" i="12"/>
  <c r="R124" i="12"/>
  <c r="Z123" i="12"/>
  <c r="Y123" i="12"/>
  <c r="S123" i="12"/>
  <c r="R123" i="12"/>
  <c r="Z122" i="12"/>
  <c r="Y122" i="12"/>
  <c r="S122" i="12"/>
  <c r="R122" i="12"/>
  <c r="Z121" i="12"/>
  <c r="Y121" i="12"/>
  <c r="S121" i="12"/>
  <c r="R121" i="12"/>
  <c r="Z120" i="12"/>
  <c r="Y120" i="12"/>
  <c r="S120" i="12"/>
  <c r="R120" i="12"/>
  <c r="Z119" i="12"/>
  <c r="Y119" i="12"/>
  <c r="S119" i="12"/>
  <c r="R119" i="12"/>
  <c r="Z118" i="12"/>
  <c r="Y118" i="12"/>
  <c r="S118" i="12"/>
  <c r="R118" i="12"/>
  <c r="W89" i="12"/>
  <c r="V89" i="12"/>
  <c r="U89" i="12" s="1"/>
  <c r="T89" i="12" s="1"/>
  <c r="S89" i="12" s="1"/>
  <c r="R89" i="12" s="1"/>
  <c r="W88" i="12"/>
  <c r="V88" i="12"/>
  <c r="U88" i="12" s="1"/>
  <c r="T88" i="12" s="1"/>
  <c r="S88" i="12" s="1"/>
  <c r="R88" i="12" s="1"/>
  <c r="W87" i="12"/>
  <c r="V87" i="12" s="1"/>
  <c r="U87" i="12" s="1"/>
  <c r="T87" i="12" s="1"/>
  <c r="S87" i="12" s="1"/>
  <c r="R87" i="12" s="1"/>
  <c r="W86" i="12"/>
  <c r="V86" i="12" s="1"/>
  <c r="U86" i="12" s="1"/>
  <c r="T86" i="12" s="1"/>
  <c r="S86" i="12" s="1"/>
  <c r="R86" i="12" s="1"/>
  <c r="R67" i="12"/>
  <c r="W85" i="12" s="1"/>
  <c r="R66" i="12"/>
  <c r="R65" i="12"/>
  <c r="R64" i="12"/>
  <c r="R63" i="12"/>
  <c r="W81" i="12" s="1"/>
  <c r="R62" i="12"/>
  <c r="R61" i="12"/>
  <c r="R60" i="12"/>
  <c r="W82" i="12" s="1"/>
  <c r="R59" i="12"/>
  <c r="W77" i="12" s="1"/>
  <c r="R58" i="12"/>
  <c r="W76" i="12" s="1"/>
  <c r="Q52" i="12"/>
  <c r="Q111" i="12" s="1"/>
  <c r="Q51" i="12"/>
  <c r="Q50" i="12"/>
  <c r="Q47" i="12"/>
  <c r="F43" i="14"/>
  <c r="J43" i="14"/>
  <c r="F45" i="14"/>
  <c r="J45" i="14"/>
  <c r="F77" i="14"/>
  <c r="F80" i="14" s="1"/>
  <c r="H77" i="14"/>
  <c r="H80" i="14" s="1"/>
  <c r="J77" i="14"/>
  <c r="J80" i="14" s="1"/>
  <c r="Q105" i="12" l="1"/>
  <c r="AC169" i="12"/>
  <c r="W173" i="12"/>
  <c r="W172" i="12" s="1"/>
  <c r="W171" i="12" s="1"/>
  <c r="AM169" i="12"/>
  <c r="AM179" i="12"/>
  <c r="AL179" i="12" s="1"/>
  <c r="AK179" i="12" s="1"/>
  <c r="AJ174" i="12" s="1"/>
  <c r="W179" i="12"/>
  <c r="W178" i="12" s="1"/>
  <c r="W177" i="12" s="1"/>
  <c r="K163" i="12" s="1"/>
  <c r="AH169" i="12"/>
  <c r="AH179" i="12"/>
  <c r="AG179" i="12" s="1"/>
  <c r="AF179" i="12" s="1"/>
  <c r="AE179" i="12" s="1"/>
  <c r="Q104" i="12"/>
  <c r="V49" i="12"/>
  <c r="U49" i="12" s="1"/>
  <c r="S111" i="12"/>
  <c r="R111" i="12" s="1"/>
  <c r="S110" i="12"/>
  <c r="R110" i="12" s="1"/>
  <c r="Q110" i="12" s="1"/>
  <c r="S103" i="12"/>
  <c r="S104" i="12"/>
  <c r="R104" i="12" s="1"/>
  <c r="S109" i="12"/>
  <c r="R109" i="12" s="1"/>
  <c r="S105" i="12"/>
  <c r="R105" i="12" s="1"/>
  <c r="V50" i="12"/>
  <c r="U50" i="12" s="1"/>
  <c r="T50" i="12" s="1"/>
  <c r="W78" i="12"/>
  <c r="V78" i="12" s="1"/>
  <c r="U78" i="12" s="1"/>
  <c r="T78" i="12" s="1"/>
  <c r="S78" i="12" s="1"/>
  <c r="R78" i="12" s="1"/>
  <c r="S60" i="12" s="1"/>
  <c r="V48" i="12"/>
  <c r="U48" i="12" s="1"/>
  <c r="W80" i="12"/>
  <c r="V80" i="12" s="1"/>
  <c r="U80" i="12" s="1"/>
  <c r="T80" i="12" s="1"/>
  <c r="S80" i="12" s="1"/>
  <c r="R80" i="12" s="1"/>
  <c r="S62" i="12" s="1"/>
  <c r="V82" i="12"/>
  <c r="U82" i="12" s="1"/>
  <c r="T82" i="12" s="1"/>
  <c r="S82" i="12" s="1"/>
  <c r="R82" i="12" s="1"/>
  <c r="S64" i="12" s="1"/>
  <c r="W84" i="12"/>
  <c r="V84" i="12" s="1"/>
  <c r="U84" i="12" s="1"/>
  <c r="T84" i="12" s="1"/>
  <c r="S84" i="12" s="1"/>
  <c r="R84" i="12" s="1"/>
  <c r="S66" i="12" s="1"/>
  <c r="V76" i="12"/>
  <c r="U76" i="12" s="1"/>
  <c r="T76" i="12" s="1"/>
  <c r="S76" i="12" s="1"/>
  <c r="R76" i="12" s="1"/>
  <c r="S58" i="12" s="1"/>
  <c r="W79" i="12"/>
  <c r="V79" i="12" s="1"/>
  <c r="U79" i="12" s="1"/>
  <c r="T79" i="12" s="1"/>
  <c r="S79" i="12" s="1"/>
  <c r="R79" i="12" s="1"/>
  <c r="S61" i="12" s="1"/>
  <c r="W83" i="12"/>
  <c r="V83" i="12" s="1"/>
  <c r="U83" i="12" s="1"/>
  <c r="T83" i="12" s="1"/>
  <c r="S83" i="12" s="1"/>
  <c r="R83" i="12" s="1"/>
  <c r="S65" i="12" s="1"/>
  <c r="V77" i="12"/>
  <c r="U77" i="12" s="1"/>
  <c r="T77" i="12" s="1"/>
  <c r="S77" i="12" s="1"/>
  <c r="R77" i="12" s="1"/>
  <c r="S59" i="12" s="1"/>
  <c r="V81" i="12"/>
  <c r="U81" i="12" s="1"/>
  <c r="T81" i="12" s="1"/>
  <c r="S81" i="12" s="1"/>
  <c r="R81" i="12" s="1"/>
  <c r="S63" i="12" s="1"/>
  <c r="V85" i="12"/>
  <c r="U85" i="12" s="1"/>
  <c r="T85" i="12" s="1"/>
  <c r="S85" i="12" s="1"/>
  <c r="R85" i="12" s="1"/>
  <c r="S67" i="12" s="1"/>
  <c r="N84" i="14"/>
  <c r="N53" i="14"/>
  <c r="M53" i="14"/>
  <c r="M52" i="14" s="1"/>
  <c r="M51" i="14" s="1"/>
  <c r="M50" i="14" s="1"/>
  <c r="M49" i="14" s="1"/>
  <c r="M48" i="14" s="1"/>
  <c r="N52" i="14"/>
  <c r="N51" i="14" s="1"/>
  <c r="N50" i="14" s="1"/>
  <c r="N49" i="14" s="1"/>
  <c r="N48" i="14" s="1"/>
  <c r="E34" i="12"/>
  <c r="G34" i="12"/>
  <c r="K161" i="12" l="1"/>
  <c r="N166" i="12" s="1"/>
  <c r="X167" i="12"/>
  <c r="T49" i="12"/>
  <c r="T48" i="12" s="1"/>
  <c r="U53" i="12" s="1"/>
  <c r="Q109" i="12"/>
  <c r="R103" i="12"/>
  <c r="Q103" i="12" s="1"/>
  <c r="J64" i="14"/>
  <c r="H27" i="12"/>
  <c r="J29" i="6"/>
  <c r="J42" i="6"/>
  <c r="D9" i="7"/>
  <c r="E9" i="7" s="1"/>
  <c r="D10" i="7"/>
  <c r="E10" i="7"/>
  <c r="E19" i="7"/>
  <c r="F19" i="7" s="1"/>
  <c r="E20" i="7"/>
  <c r="F20" i="7" s="1"/>
  <c r="E21" i="7"/>
  <c r="F21" i="7" s="1"/>
  <c r="E22" i="7"/>
  <c r="F22" i="7" s="1"/>
  <c r="E23" i="7"/>
  <c r="F23" i="7"/>
  <c r="I8" i="7"/>
  <c r="J8" i="7" s="1"/>
  <c r="I9" i="7"/>
  <c r="J9" i="7" s="1"/>
  <c r="I10" i="7"/>
  <c r="J10" i="7" s="1"/>
  <c r="I11" i="7"/>
  <c r="J11" i="7"/>
  <c r="D8" i="7"/>
  <c r="E8" i="7"/>
  <c r="H38" i="7"/>
  <c r="I38" i="7" s="1"/>
  <c r="H34" i="7"/>
  <c r="I34" i="7" s="1"/>
  <c r="J51" i="7"/>
  <c r="K51" i="7" s="1"/>
  <c r="E51" i="7"/>
  <c r="F51" i="7" s="1"/>
  <c r="H32" i="7"/>
  <c r="I32" i="7"/>
  <c r="H33" i="7"/>
  <c r="I33" i="7"/>
  <c r="H35" i="7"/>
  <c r="I35" i="7" s="1"/>
  <c r="H36" i="7"/>
  <c r="I36" i="7" s="1"/>
  <c r="H37" i="7"/>
  <c r="I37" i="7" s="1"/>
  <c r="E47" i="7"/>
  <c r="F47" i="7" s="1"/>
  <c r="J47" i="7"/>
  <c r="K47" i="7" s="1"/>
  <c r="E48" i="7"/>
  <c r="F48" i="7" s="1"/>
  <c r="J48" i="7"/>
  <c r="K48" i="7"/>
  <c r="E49" i="7"/>
  <c r="F49" i="7"/>
  <c r="J49" i="7"/>
  <c r="K49" i="7" s="1"/>
  <c r="E50" i="7"/>
  <c r="F50" i="7" s="1"/>
  <c r="J50" i="7"/>
  <c r="K50" i="7"/>
  <c r="T19" i="6"/>
  <c r="S19" i="6" s="1"/>
  <c r="T21" i="6"/>
  <c r="S21" i="6" s="1"/>
  <c r="R21" i="6" s="1"/>
  <c r="T20" i="6"/>
  <c r="S20" i="6" s="1"/>
  <c r="E11" i="7" l="1"/>
  <c r="D12" i="7" s="1"/>
  <c r="J12" i="7"/>
  <c r="H12" i="7" s="1"/>
  <c r="F24" i="7"/>
  <c r="E25" i="7" s="1"/>
  <c r="K49" i="13" s="1"/>
  <c r="F52" i="7"/>
  <c r="D53" i="7" s="1"/>
  <c r="K52" i="13" s="1"/>
  <c r="K52" i="7"/>
  <c r="I55" i="7" s="1"/>
  <c r="K51" i="13" s="1"/>
  <c r="I39" i="7"/>
  <c r="G40" i="7" s="1"/>
  <c r="K50" i="13" s="1"/>
  <c r="Q99" i="12"/>
  <c r="T119" i="12" s="1"/>
  <c r="U119" i="12" s="1"/>
  <c r="AC168" i="12"/>
  <c r="AL170" i="12"/>
  <c r="AL169" i="12" s="1"/>
  <c r="AK170" i="12" s="1"/>
  <c r="AK169" i="12" s="1"/>
  <c r="AJ164" i="12" s="1"/>
  <c r="AG170" i="12"/>
  <c r="AG169" i="12" s="1"/>
  <c r="AF170" i="12" s="1"/>
  <c r="AF169" i="12" s="1"/>
  <c r="AE170" i="12" s="1"/>
  <c r="AE169" i="12" s="1"/>
  <c r="T66" i="12"/>
  <c r="U66" i="12" s="1"/>
  <c r="T60" i="12"/>
  <c r="U60" i="12" s="1"/>
  <c r="T67" i="12"/>
  <c r="U67" i="12" s="1"/>
  <c r="T62" i="12"/>
  <c r="U62" i="12" s="1"/>
  <c r="R20" i="6"/>
  <c r="R19" i="6" s="1"/>
  <c r="D4" i="12" s="1"/>
  <c r="T63" i="12"/>
  <c r="U63" i="12" s="1"/>
  <c r="T59" i="12"/>
  <c r="U59" i="12" s="1"/>
  <c r="T58" i="12"/>
  <c r="U58" i="12" s="1"/>
  <c r="T61" i="12"/>
  <c r="U61" i="12" s="1"/>
  <c r="T64" i="12"/>
  <c r="U64" i="12" s="1"/>
  <c r="T65" i="12"/>
  <c r="U65" i="12" s="1"/>
  <c r="X53" i="12"/>
  <c r="X52" i="12" s="1"/>
  <c r="X51" i="12" s="1"/>
  <c r="X50" i="12" s="1"/>
  <c r="X49" i="12" s="1"/>
  <c r="X111" i="12"/>
  <c r="X110" i="12" s="1"/>
  <c r="X109" i="12" s="1"/>
  <c r="X108" i="12" s="1"/>
  <c r="X107" i="12" s="1"/>
  <c r="AA127" i="12" s="1"/>
  <c r="AB127" i="12" s="1"/>
  <c r="J51" i="6"/>
  <c r="K17" i="14"/>
  <c r="J17" i="14" s="1"/>
  <c r="K25" i="14"/>
  <c r="J25" i="14" s="1"/>
  <c r="K28" i="14"/>
  <c r="J28" i="14" s="1"/>
  <c r="K20" i="14"/>
  <c r="J20" i="14" s="1"/>
  <c r="K26" i="14"/>
  <c r="J26" i="14" s="1"/>
  <c r="K19" i="14"/>
  <c r="J19" i="14" s="1"/>
  <c r="K29" i="14"/>
  <c r="J29" i="14" s="1"/>
  <c r="K16" i="14"/>
  <c r="J16" i="14" s="1"/>
  <c r="K27" i="14"/>
  <c r="J27" i="14" s="1"/>
  <c r="K18" i="14"/>
  <c r="J18" i="14" s="1"/>
  <c r="M26" i="6"/>
  <c r="M27" i="6"/>
  <c r="K58" i="7" l="1"/>
  <c r="K48" i="13"/>
  <c r="K53" i="13" s="1"/>
  <c r="K56" i="13" s="1"/>
  <c r="N65" i="13" s="1"/>
  <c r="J7" i="13" s="1"/>
  <c r="T120" i="12"/>
  <c r="U120" i="12" s="1"/>
  <c r="T118" i="12"/>
  <c r="U118" i="12" s="1"/>
  <c r="T121" i="12"/>
  <c r="U121" i="12" s="1"/>
  <c r="T123" i="12"/>
  <c r="U123" i="12" s="1"/>
  <c r="T126" i="12"/>
  <c r="U126" i="12" s="1"/>
  <c r="T125" i="12"/>
  <c r="U125" i="12" s="1"/>
  <c r="T124" i="12"/>
  <c r="U124" i="12" s="1"/>
  <c r="H10" i="12"/>
  <c r="J19" i="12" s="1"/>
  <c r="T127" i="12"/>
  <c r="U127" i="12" s="1"/>
  <c r="T122" i="12"/>
  <c r="U122" i="12" s="1"/>
  <c r="AA126" i="12"/>
  <c r="AB126" i="12" s="1"/>
  <c r="AA118" i="12"/>
  <c r="AB118" i="12" s="1"/>
  <c r="U68" i="12"/>
  <c r="AA120" i="12"/>
  <c r="AB120" i="12" s="1"/>
  <c r="AA121" i="12"/>
  <c r="AB121" i="12" s="1"/>
  <c r="AA123" i="12"/>
  <c r="AB123" i="12" s="1"/>
  <c r="AA119" i="12"/>
  <c r="AB119" i="12" s="1"/>
  <c r="AA122" i="12"/>
  <c r="AB122" i="12" s="1"/>
  <c r="AA124" i="12"/>
  <c r="AB124" i="12" s="1"/>
  <c r="AA125" i="12"/>
  <c r="AB125" i="12" s="1"/>
  <c r="H33" i="12"/>
  <c r="I33" i="12" s="1"/>
  <c r="J21" i="14"/>
  <c r="J30" i="14"/>
  <c r="K20" i="12"/>
  <c r="K24" i="12"/>
  <c r="K18" i="12"/>
  <c r="K26" i="12"/>
  <c r="K23" i="12"/>
  <c r="M29" i="6"/>
  <c r="M35" i="6" l="1"/>
  <c r="U128" i="12"/>
  <c r="K25" i="12"/>
  <c r="J21" i="12"/>
  <c r="J18" i="12"/>
  <c r="J24" i="12"/>
  <c r="J20" i="12"/>
  <c r="J26" i="12"/>
  <c r="K21" i="12"/>
  <c r="J22" i="12"/>
  <c r="K17" i="12"/>
  <c r="J17" i="12" s="1"/>
  <c r="J25" i="12"/>
  <c r="K19" i="12"/>
  <c r="J23" i="12"/>
  <c r="K22" i="12"/>
  <c r="AB128" i="12"/>
  <c r="V40" i="6"/>
  <c r="U40" i="6" s="1"/>
  <c r="P31" i="6"/>
  <c r="O31" i="6" s="1"/>
  <c r="C10" i="12"/>
  <c r="E24" i="12" s="1"/>
  <c r="J32" i="14"/>
  <c r="M46" i="6" s="1"/>
  <c r="H32" i="12"/>
  <c r="J27" i="12" l="1"/>
  <c r="K13" i="12" s="1"/>
  <c r="F23" i="12"/>
  <c r="E21" i="12"/>
  <c r="F22" i="12"/>
  <c r="E22" i="12"/>
  <c r="E26" i="12"/>
  <c r="F17" i="12"/>
  <c r="E17" i="12" s="1"/>
  <c r="E19" i="12"/>
  <c r="F19" i="12"/>
  <c r="F21" i="12"/>
  <c r="E20" i="12"/>
  <c r="E23" i="12"/>
  <c r="F18" i="12"/>
  <c r="F24" i="12"/>
  <c r="E18" i="12"/>
  <c r="F25" i="12"/>
  <c r="E25" i="12"/>
  <c r="F26" i="12"/>
  <c r="F20" i="12"/>
  <c r="N68" i="12"/>
  <c r="I32" i="12"/>
  <c r="H34" i="12"/>
  <c r="V39" i="6"/>
  <c r="U39" i="6" s="1"/>
  <c r="M40" i="6" s="1"/>
  <c r="K33" i="12" s="1"/>
  <c r="N126" i="12" l="1"/>
  <c r="E27" i="12"/>
  <c r="D13" i="12" s="1"/>
  <c r="M38" i="6" s="1"/>
  <c r="I34" i="12"/>
  <c r="P30" i="6"/>
  <c r="O30" i="6" s="1"/>
  <c r="J13" i="12" l="1"/>
  <c r="M39" i="6" s="1"/>
  <c r="M42" i="6" l="1"/>
  <c r="M51" i="6" s="1"/>
  <c r="M1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randy</author>
  </authors>
  <commentList>
    <comment ref="C7" authorId="0" shapeId="0" xr:uid="{00000000-0006-0000-0100-000001000000}">
      <text>
        <r>
          <rPr>
            <sz val="8"/>
            <color indexed="81"/>
            <rFont val="Tahoma"/>
            <family val="2"/>
          </rPr>
          <t>This is not the design year volume (12, 20) you will use for design.  Rather, use the current 30th highest volume of the year, or estimate for a seasonal volume.</t>
        </r>
        <r>
          <rPr>
            <b/>
            <sz val="8"/>
            <color indexed="81"/>
            <rFont val="Tahoma"/>
            <family val="2"/>
          </rPr>
          <t xml:space="preserve">
</t>
        </r>
      </text>
    </comment>
    <comment ref="D16" authorId="0" shapeId="0" xr:uid="{00000000-0006-0000-0100-000002000000}">
      <text>
        <r>
          <rPr>
            <sz val="8"/>
            <color indexed="81"/>
            <rFont val="Tahoma"/>
            <family val="2"/>
          </rPr>
          <t>Must be an actual base, not office, training, or recruiting center.</t>
        </r>
      </text>
    </comment>
    <comment ref="D17" authorId="0" shapeId="0" xr:uid="{00000000-0006-0000-0100-000003000000}">
      <text>
        <r>
          <rPr>
            <sz val="8"/>
            <color indexed="81"/>
            <rFont val="Tahoma"/>
            <family val="2"/>
          </rPr>
          <t>A section adjacent to or within some distance (miles) of the project, or on the same main travel route, has been improved to equal or greater scope within the last 10 years.</t>
        </r>
      </text>
    </comment>
    <comment ref="D18" authorId="0" shapeId="0" xr:uid="{00000000-0006-0000-0100-000004000000}">
      <text>
        <r>
          <rPr>
            <sz val="8"/>
            <color indexed="81"/>
            <rFont val="Tahoma"/>
            <family val="2"/>
          </rPr>
          <t>School, church, grange, fire station, hospital, museum</t>
        </r>
      </text>
    </comment>
    <comment ref="D19" authorId="0" shapeId="0" xr:uid="{00000000-0006-0000-0100-000005000000}">
      <text>
        <r>
          <rPr>
            <sz val="8"/>
            <color indexed="81"/>
            <rFont val="Tahoma"/>
            <family val="2"/>
          </rPr>
          <t xml:space="preserve">YMCA, Park, Amusement Park
</t>
        </r>
      </text>
    </comment>
    <comment ref="D20" authorId="0" shapeId="0" xr:uid="{00000000-0006-0000-0100-000006000000}">
      <text>
        <r>
          <rPr>
            <sz val="8"/>
            <color indexed="81"/>
            <rFont val="Tahoma"/>
            <family val="2"/>
          </rPr>
          <t xml:space="preserve">Serves as or directly connects to a detour for a state or interstate hwy. (miles from route that is detoured)
</t>
        </r>
      </text>
    </comment>
    <comment ref="D25" authorId="0" shapeId="0" xr:uid="{00000000-0006-0000-0100-000007000000}">
      <text>
        <r>
          <rPr>
            <sz val="8"/>
            <color indexed="81"/>
            <rFont val="Tahoma"/>
            <family val="2"/>
          </rPr>
          <t xml:space="preserve">Include commercial food processing, not retail.
</t>
        </r>
      </text>
    </comment>
    <comment ref="D26" authorId="0" shapeId="0" xr:uid="{00000000-0006-0000-0100-000008000000}">
      <text>
        <r>
          <rPr>
            <sz val="8"/>
            <color indexed="81"/>
            <rFont val="Tahoma"/>
            <family val="2"/>
          </rPr>
          <t>i.e. parcel service, collection point. Not corporate office, or government post office.</t>
        </r>
        <r>
          <rPr>
            <sz val="8"/>
            <color indexed="81"/>
            <rFont val="Tahoma"/>
            <family val="2"/>
          </rPr>
          <t xml:space="preserve">
</t>
        </r>
      </text>
    </comment>
    <comment ref="D29" authorId="0" shapeId="0" xr:uid="{00000000-0006-0000-0100-000009000000}">
      <text>
        <r>
          <rPr>
            <sz val="8"/>
            <color indexed="81"/>
            <rFont val="Tahoma"/>
            <family val="2"/>
          </rPr>
          <t>Includes parcel service corporate office, post office, military recruiting, union hall.</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randy</author>
  </authors>
  <commentList>
    <comment ref="G3" authorId="0" shapeId="0" xr:uid="{00000000-0006-0000-0300-000001000000}">
      <text>
        <r>
          <rPr>
            <sz val="8"/>
            <color indexed="81"/>
            <rFont val="Tahoma"/>
            <family val="2"/>
          </rPr>
          <t xml:space="preserve">AASHTO 2001, page 235
</t>
        </r>
      </text>
    </comment>
    <comment ref="D33" authorId="0" shapeId="0" xr:uid="{00000000-0006-0000-0300-000002000000}">
      <text>
        <r>
          <rPr>
            <sz val="8"/>
            <color indexed="81"/>
            <rFont val="Tahoma"/>
            <family val="2"/>
          </rPr>
          <t>Shoulders can be paved or gravel or both.</t>
        </r>
      </text>
    </comment>
  </commentList>
</comments>
</file>

<file path=xl/sharedStrings.xml><?xml version="1.0" encoding="utf-8"?>
<sst xmlns="http://schemas.openxmlformats.org/spreadsheetml/2006/main" count="558" uniqueCount="399">
  <si>
    <t>County:</t>
  </si>
  <si>
    <t>Project Name:</t>
  </si>
  <si>
    <t>(from prospectus)</t>
  </si>
  <si>
    <t>Possible</t>
  </si>
  <si>
    <t xml:space="preserve"> Points:</t>
  </si>
  <si>
    <t>Points:</t>
  </si>
  <si>
    <t>SERVICE RATING</t>
  </si>
  <si>
    <t>Traffic Volume</t>
  </si>
  <si>
    <t>Accident History</t>
  </si>
  <si>
    <t>Subtotal</t>
  </si>
  <si>
    <t>CONDITION RATING</t>
  </si>
  <si>
    <t>(possible)</t>
  </si>
  <si>
    <t>Proposals below design standards require WSDOT deviation approval.</t>
  </si>
  <si>
    <t>Rating points may be assigned only to the extent that the deficient condition will be improved.</t>
  </si>
  <si>
    <t xml:space="preserve"> </t>
  </si>
  <si>
    <t>Traffic Volume (20 Points Max.)</t>
  </si>
  <si>
    <t>Existing ADT</t>
  </si>
  <si>
    <t xml:space="preserve">ADT Year </t>
  </si>
  <si>
    <t>or</t>
  </si>
  <si>
    <t>Existing Truck ADT</t>
  </si>
  <si>
    <t>Truck ADT Yr</t>
  </si>
  <si>
    <t>Determine traffic volume rating using table below</t>
  </si>
  <si>
    <t>ADT = Average Weekday Traffic Volumes</t>
  </si>
  <si>
    <t>TRAFFIC VOLUME RATING TABLE</t>
  </si>
  <si>
    <t>Average</t>
  </si>
  <si>
    <t xml:space="preserve">  </t>
  </si>
  <si>
    <t>ADT</t>
  </si>
  <si>
    <t>Truck ADT</t>
  </si>
  <si>
    <t>Points</t>
  </si>
  <si>
    <t xml:space="preserve">   </t>
  </si>
  <si>
    <t>501 - 1000</t>
  </si>
  <si>
    <t>51 - 100</t>
  </si>
  <si>
    <t>1001 - 2000</t>
  </si>
  <si>
    <t>101 - 200</t>
  </si>
  <si>
    <t>2001 - 5000</t>
  </si>
  <si>
    <t>201 - 500</t>
  </si>
  <si>
    <t>TRAFFIC VOLUME RATING</t>
  </si>
  <si>
    <t>Accident History (25 Points Max.)</t>
  </si>
  <si>
    <t>Accident history for the three most recent consecutive years.</t>
  </si>
  <si>
    <t>Property</t>
  </si>
  <si>
    <t>Damage</t>
  </si>
  <si>
    <t>Year</t>
  </si>
  <si>
    <t>Only</t>
  </si>
  <si>
    <t>Injury</t>
  </si>
  <si>
    <t>Fatal</t>
  </si>
  <si>
    <t xml:space="preserve">SUBTOTALS: </t>
  </si>
  <si>
    <t>x 1</t>
  </si>
  <si>
    <t>x 2</t>
  </si>
  <si>
    <t>x 5</t>
  </si>
  <si>
    <t>TOTAL  =</t>
  </si>
  <si>
    <t>+</t>
  </si>
  <si>
    <t>ACCIDENT HISTORY RATING</t>
  </si>
  <si>
    <t>(from Total above)</t>
  </si>
  <si>
    <t>For Structural Rating of stand alone bridge projects use the following formula:</t>
  </si>
  <si>
    <t>STRUCTURAL CONDITION RATING</t>
  </si>
  <si>
    <t>OR</t>
  </si>
  <si>
    <t>Seismic Retrofit</t>
  </si>
  <si>
    <t>Add Guardrail</t>
  </si>
  <si>
    <t>Add Pedestrian/Bike Facilities</t>
  </si>
  <si>
    <t>Lifeline Route</t>
  </si>
  <si>
    <t>Utility Crossing</t>
  </si>
  <si>
    <t xml:space="preserve">                                                                          </t>
  </si>
  <si>
    <t>Approach Horizontal Alignment (5 Points Max.)</t>
  </si>
  <si>
    <t xml:space="preserve">Using the DESIGN STANDARDS table below as a guide, determine the adequacy </t>
  </si>
  <si>
    <t>of the horizontal alignment</t>
  </si>
  <si>
    <t xml:space="preserve">                            </t>
  </si>
  <si>
    <t>Minimum Design Speed For:</t>
  </si>
  <si>
    <t>ADT:</t>
  </si>
  <si>
    <t>TERRAIN:</t>
  </si>
  <si>
    <t>&lt; 400</t>
  </si>
  <si>
    <t>400 - 2000</t>
  </si>
  <si>
    <t>&gt; 2000</t>
  </si>
  <si>
    <t>FLAT</t>
  </si>
  <si>
    <t>ROLLING</t>
  </si>
  <si>
    <t>MOUNTAINOUS</t>
  </si>
  <si>
    <t>Condition</t>
  </si>
  <si>
    <t>Existing horizontal approach alignment meets design standards.</t>
  </si>
  <si>
    <t>Existing horizontal approach alignment deviates from design standards.</t>
  </si>
  <si>
    <t>HORIZONTAL ALIGNMENT POINTS</t>
  </si>
  <si>
    <t>Approach Vertical Alignment (5 Points Max.)</t>
  </si>
  <si>
    <t>of the vertical alignment.</t>
  </si>
  <si>
    <t xml:space="preserve">                         </t>
  </si>
  <si>
    <t>Standard Grades (% max.):</t>
  </si>
  <si>
    <t>Required Stopping Sight Distance:</t>
  </si>
  <si>
    <t>TERRAIN</t>
  </si>
  <si>
    <t>&lt;400</t>
  </si>
  <si>
    <t>&gt;2000</t>
  </si>
  <si>
    <t xml:space="preserve">                                 </t>
  </si>
  <si>
    <t>Design Speed</t>
  </si>
  <si>
    <t xml:space="preserve">Flat </t>
  </si>
  <si>
    <t>Rolling</t>
  </si>
  <si>
    <t>Mountain</t>
  </si>
  <si>
    <t>Condition:</t>
  </si>
  <si>
    <t xml:space="preserve">                                                                        </t>
  </si>
  <si>
    <t>No portion of approach deviates from design standards</t>
  </si>
  <si>
    <t>Sections of the project deviate from design standards</t>
  </si>
  <si>
    <t>VERTICAL ALIGNMENT POINTS</t>
  </si>
  <si>
    <t>Roadway Width (10 Points Max.)</t>
  </si>
  <si>
    <t xml:space="preserve">Using the DESIGN STANDARDS table below, determine the adequacy of the </t>
  </si>
  <si>
    <t>existing bridge lane and shoulder widths</t>
  </si>
  <si>
    <t xml:space="preserve">  Bridge Total Lane Width (ft)</t>
  </si>
  <si>
    <t xml:space="preserve">  Approach Shoulder Width (ft)</t>
  </si>
  <si>
    <t>Good</t>
  </si>
  <si>
    <t>Fair</t>
  </si>
  <si>
    <t>Poor</t>
  </si>
  <si>
    <t xml:space="preserve">                                                                </t>
  </si>
  <si>
    <t>&gt;3</t>
  </si>
  <si>
    <t xml:space="preserve"> 2 - 3</t>
  </si>
  <si>
    <t xml:space="preserve"> &lt;2</t>
  </si>
  <si>
    <t>&gt;6</t>
  </si>
  <si>
    <t xml:space="preserve"> 4 - 6</t>
  </si>
  <si>
    <t xml:space="preserve"> &lt;4</t>
  </si>
  <si>
    <t>&gt;8</t>
  </si>
  <si>
    <t xml:space="preserve"> 6 - 8</t>
  </si>
  <si>
    <t xml:space="preserve"> &lt;6</t>
  </si>
  <si>
    <t xml:space="preserve">     </t>
  </si>
  <si>
    <t>Rating</t>
  </si>
  <si>
    <t xml:space="preserve">Good (0) Fair (3) Poor (6) </t>
  </si>
  <si>
    <t xml:space="preserve">Good (0) Fair (2) Poor (4)  </t>
  </si>
  <si>
    <t>ROADWAY WIDTH POINTS</t>
  </si>
  <si>
    <t>1. Community / Recreational Service</t>
  </si>
  <si>
    <t>0 - 5 pts</t>
  </si>
  <si>
    <t>2. Commercial Service</t>
  </si>
  <si>
    <t>Acceptance of Special Rating points, Signed:</t>
  </si>
  <si>
    <t>County Road Engineer</t>
  </si>
  <si>
    <t>Structural Condition</t>
  </si>
  <si>
    <t>Horizontal Alignment</t>
  </si>
  <si>
    <t>Vertical Alignment</t>
  </si>
  <si>
    <t>Roadway Width</t>
  </si>
  <si>
    <t>Roadway</t>
  </si>
  <si>
    <t>Total Lane Width =</t>
  </si>
  <si>
    <t xml:space="preserve">Shoulder Width   = </t>
  </si>
  <si>
    <t>Traffic Volume:</t>
  </si>
  <si>
    <t>AADT</t>
  </si>
  <si>
    <t>Truck AADT</t>
  </si>
  <si>
    <t>Injury, non fatal</t>
  </si>
  <si>
    <t>Minimum Design Speed Table</t>
  </si>
  <si>
    <t>Existing</t>
  </si>
  <si>
    <t>Speed</t>
  </si>
  <si>
    <t>Curves</t>
  </si>
  <si>
    <t>HORIZONTAL ALIGNMENT CALCULATION:</t>
  </si>
  <si>
    <t>Required Radius:</t>
  </si>
  <si>
    <t>Flat</t>
  </si>
  <si>
    <t>Mountainous</t>
  </si>
  <si>
    <t>Minimum Design Speed:</t>
  </si>
  <si>
    <t>Safe</t>
  </si>
  <si>
    <t>MPH</t>
  </si>
  <si>
    <t xml:space="preserve">Existing </t>
  </si>
  <si>
    <t>below</t>
  </si>
  <si>
    <t>Curve No.</t>
  </si>
  <si>
    <t>Radius</t>
  </si>
  <si>
    <t>standard</t>
  </si>
  <si>
    <t>Standard</t>
  </si>
  <si>
    <t>below std</t>
  </si>
  <si>
    <r>
      <t xml:space="preserve">MIN, </t>
    </r>
    <r>
      <rPr>
        <b/>
        <sz val="10"/>
        <color indexed="14"/>
        <rFont val="Arial"/>
        <family val="2"/>
      </rPr>
      <t>RADIUS</t>
    </r>
  </si>
  <si>
    <t>400-2000</t>
  </si>
  <si>
    <t>FOR 6% SUPER.</t>
  </si>
  <si>
    <t>Safe Speed Calculation Table</t>
  </si>
  <si>
    <t>Collectors</t>
  </si>
  <si>
    <t>Arterials</t>
  </si>
  <si>
    <t>Safe Speed</t>
  </si>
  <si>
    <t>Exist. Sight</t>
  </si>
  <si>
    <t>(Vs)</t>
  </si>
  <si>
    <t>Dist.  (S)</t>
  </si>
  <si>
    <t>~</t>
  </si>
  <si>
    <t>FUNCTIONAL CLASS</t>
  </si>
  <si>
    <t>% GRADE</t>
  </si>
  <si>
    <t>Grade</t>
  </si>
  <si>
    <t>% Grade</t>
  </si>
  <si>
    <t>Length</t>
  </si>
  <si>
    <t>Std</t>
  </si>
  <si>
    <t>Deficient</t>
  </si>
  <si>
    <t>Total</t>
  </si>
  <si>
    <t>Grade Deficiency</t>
  </si>
  <si>
    <t>SSD</t>
  </si>
  <si>
    <t>Stopping Sight Distance Deficiency</t>
  </si>
  <si>
    <t>Substnd</t>
  </si>
  <si>
    <t>Substd</t>
  </si>
  <si>
    <t>Stopping Sight Distance Required</t>
  </si>
  <si>
    <t xml:space="preserve">Curve#  </t>
  </si>
  <si>
    <t>Calculation Table</t>
  </si>
  <si>
    <t>CALC</t>
  </si>
  <si>
    <t>TRUCK AADT</t>
  </si>
  <si>
    <t>POINTS</t>
  </si>
  <si>
    <t>Lane Width Points</t>
  </si>
  <si>
    <t>Lane width table</t>
  </si>
  <si>
    <t>Seismic Retrofit:</t>
  </si>
  <si>
    <t>% of pier</t>
  </si>
  <si>
    <t>Available</t>
  </si>
  <si>
    <t xml:space="preserve">Assigned </t>
  </si>
  <si>
    <t>% of Columns</t>
  </si>
  <si>
    <t>&lt;25%</t>
  </si>
  <si>
    <t>&lt;10%</t>
  </si>
  <si>
    <t>25% - 50%</t>
  </si>
  <si>
    <t>10% - 24%</t>
  </si>
  <si>
    <t>&gt;50%</t>
  </si>
  <si>
    <t>Add / Replace Guardrail:</t>
  </si>
  <si>
    <t>Anchors only</t>
  </si>
  <si>
    <t>Anchors and posts</t>
  </si>
  <si>
    <t>Upgrade terminal ends</t>
  </si>
  <si>
    <t>Rail only</t>
  </si>
  <si>
    <t xml:space="preserve">Replace entire system </t>
  </si>
  <si>
    <t>Guardrail Points:</t>
  </si>
  <si>
    <t>Add Pedestrian / Bike Facilities</t>
  </si>
  <si>
    <t>Provide one bike lane</t>
  </si>
  <si>
    <t>Provide two bike lanes (each side)</t>
  </si>
  <si>
    <t>Provide one bike lane, one sidewalk</t>
  </si>
  <si>
    <t>Provide two bike lanes, sidewalks (each side)</t>
  </si>
  <si>
    <t>Pedestriam undercrossing</t>
  </si>
  <si>
    <t>Bike/Pedestrian separate structure (one side)</t>
  </si>
  <si>
    <t>Bike/Pedestrian separate structure (two sides)</t>
  </si>
  <si>
    <t>Bike / Ped Points</t>
  </si>
  <si>
    <t xml:space="preserve">Miles* to  </t>
  </si>
  <si>
    <t xml:space="preserve">Number  </t>
  </si>
  <si>
    <t>Alternate</t>
  </si>
  <si>
    <t>of Utilities</t>
  </si>
  <si>
    <t>Route</t>
  </si>
  <si>
    <t>&lt;2</t>
  </si>
  <si>
    <t>2 - 4</t>
  </si>
  <si>
    <t>4 - 6</t>
  </si>
  <si>
    <t>6 - 8</t>
  </si>
  <si>
    <t>Utility Points</t>
  </si>
  <si>
    <t>* Round to nearest 0.5 miles</t>
  </si>
  <si>
    <t>Lifeline Points</t>
  </si>
  <si>
    <t>Geometric Rating:</t>
  </si>
  <si>
    <t>Assigned</t>
  </si>
  <si>
    <t>See BR Rehab. Rating Worksheet</t>
  </si>
  <si>
    <t>Max.</t>
  </si>
  <si>
    <t>Rough Points</t>
  </si>
  <si>
    <t>Existing approach shoulder width</t>
  </si>
  <si>
    <t>Existing total lane width</t>
  </si>
  <si>
    <r>
      <t>&gt;</t>
    </r>
    <r>
      <rPr>
        <sz val="10"/>
        <rFont val="MS Sans Serif"/>
      </rPr>
      <t>5001</t>
    </r>
  </si>
  <si>
    <r>
      <t>&gt;</t>
    </r>
    <r>
      <rPr>
        <sz val="10"/>
        <rFont val="MS Sans Serif"/>
      </rPr>
      <t>501</t>
    </r>
  </si>
  <si>
    <r>
      <t>&lt;</t>
    </r>
    <r>
      <rPr>
        <sz val="10"/>
        <rFont val="MS Sans Serif"/>
      </rPr>
      <t xml:space="preserve"> 50</t>
    </r>
  </si>
  <si>
    <r>
      <t>&lt;</t>
    </r>
    <r>
      <rPr>
        <sz val="10"/>
        <rFont val="MS Sans Serif"/>
      </rPr>
      <t xml:space="preserve"> 500</t>
    </r>
  </si>
  <si>
    <t>Length ft</t>
  </si>
  <si>
    <t>AASHTO 2001</t>
  </si>
  <si>
    <t>(p 145)</t>
  </si>
  <si>
    <t>(AASHTO 2001, p 427)</t>
  </si>
  <si>
    <t>(AASHTO 2001, p 450)</t>
  </si>
  <si>
    <t>Total Rehabilitation Points</t>
  </si>
  <si>
    <t>BRIDGE REHABILITATION CONDITION RATING</t>
  </si>
  <si>
    <t>STATE OF WASHINGTON</t>
  </si>
  <si>
    <t>COUNTY ROAD ADMINISTRATION BOARD</t>
  </si>
  <si>
    <t>VERIFICATION OF 3R SCOPE FOR RAP PROJECT</t>
  </si>
  <si>
    <t>County</t>
  </si>
  <si>
    <t>Project name</t>
  </si>
  <si>
    <t>Project mileposts</t>
  </si>
  <si>
    <t xml:space="preserve">The scope of work for the RATA funding proposal mentioned above, and which was </t>
  </si>
  <si>
    <t xml:space="preserve">submitted to CRAB on </t>
  </si>
  <si>
    <t xml:space="preserve">, is based on 3R design standards as </t>
  </si>
  <si>
    <t xml:space="preserve">referrenced in the Local Agency Guidelines.   </t>
  </si>
  <si>
    <t xml:space="preserve">In keeping with these guidelines, I have considered the following factors as well as others </t>
  </si>
  <si>
    <t>in arriving at the proposed scope of improvements:</t>
  </si>
  <si>
    <t>Roadside conditions</t>
  </si>
  <si>
    <t>Funding constraints</t>
  </si>
  <si>
    <t>Environmental concerns</t>
  </si>
  <si>
    <t>Changing traffic and land use patterns</t>
  </si>
  <si>
    <t>Deterioration rate of surfacing</t>
  </si>
  <si>
    <t>Accidents or accident rates.</t>
  </si>
  <si>
    <t xml:space="preserve">Where justified, the project will include: </t>
  </si>
  <si>
    <t>Guardrail improvements or upgrades</t>
  </si>
  <si>
    <t>Approach and and transition guardrail improvements for bridges</t>
  </si>
  <si>
    <t>Beveled end sections for crossing and parallel culverts located in the clear zone.</t>
  </si>
  <si>
    <t>Relocating, protecting, or providing breakaway features for sign supports and luminaires</t>
  </si>
  <si>
    <t>Protection for exposed bridge piers and abuttments.</t>
  </si>
  <si>
    <t>Removing fixed objects from the clear zone</t>
  </si>
  <si>
    <t>Improvements to roadway geometry.</t>
  </si>
  <si>
    <t xml:space="preserve">With these and other improvements as mentioned in the project prospectus, the project </t>
  </si>
  <si>
    <t xml:space="preserve">will sufficiently extend service life, provide additonal pavement strength, restore or </t>
  </si>
  <si>
    <t>improve the original cross section, and enhance safety.</t>
  </si>
  <si>
    <t>County Engineer</t>
  </si>
  <si>
    <t>Date</t>
  </si>
  <si>
    <t>This letter must be completed prior to commencing construction and retained in the county's project files.</t>
  </si>
  <si>
    <t>(check one)</t>
  </si>
  <si>
    <t>CAP Retrofit Points:</t>
  </si>
  <si>
    <t>COLUMN Retrofit Points:</t>
  </si>
  <si>
    <t xml:space="preserve">TOTAL PSR RAP PROJECT RATING    </t>
  </si>
  <si>
    <t>TOTAL RATING</t>
  </si>
  <si>
    <t>LANE WIDTH CALCULATION</t>
  </si>
  <si>
    <t>DESIGN LANE WIDTH</t>
  </si>
  <si>
    <t>COLLECTORS</t>
  </si>
  <si>
    <t>ARTERIALS</t>
  </si>
  <si>
    <t>400 - 1500</t>
  </si>
  <si>
    <t>1500 - 2000</t>
  </si>
  <si>
    <t>&lt; 1501</t>
  </si>
  <si>
    <t>1501 - 2000</t>
  </si>
  <si>
    <t>SHOULDER WIDTH CALCULATION</t>
  </si>
  <si>
    <t>DESIGN SHOULDER WIDTH</t>
  </si>
  <si>
    <t>REFERRENCE TABLES</t>
  </si>
  <si>
    <t>DESIGN</t>
  </si>
  <si>
    <t>LANE WIDTHS PER ADT</t>
  </si>
  <si>
    <t>SHOULDER WIDTHS PER ADT</t>
  </si>
  <si>
    <t>SPEED</t>
  </si>
  <si>
    <t>ALL SPEEDS</t>
  </si>
  <si>
    <t>Shoulder width, 1 side</t>
  </si>
  <si>
    <t>Total lane width</t>
  </si>
  <si>
    <t>Width Reduction Calcs</t>
  </si>
  <si>
    <t>BRIDGE</t>
  </si>
  <si>
    <t>caps to be rebuilt:</t>
  </si>
  <si>
    <t>to be Retrofitted</t>
  </si>
  <si>
    <t>HORIZONTAL</t>
  </si>
  <si>
    <t>Accidents:</t>
  </si>
  <si>
    <t>Minimum Radius, Ft.</t>
  </si>
  <si>
    <t>Maximum Grade</t>
  </si>
  <si>
    <t>Proposed</t>
  </si>
  <si>
    <t xml:space="preserve">   %</t>
  </si>
  <si>
    <t>Impr.</t>
  </si>
  <si>
    <t>Bridges</t>
  </si>
  <si>
    <t>Bridge Rehabiltation Rating</t>
  </si>
  <si>
    <t>Avg.</t>
  </si>
  <si>
    <t>Pts Assigned</t>
  </si>
  <si>
    <t>Deficient I/S S.D.</t>
  </si>
  <si>
    <t>Road Width:</t>
  </si>
  <si>
    <t>Proposed:</t>
  </si>
  <si>
    <t>Existing:</t>
  </si>
  <si>
    <t>LIST ALL DEFICIENT ALIGNMENT</t>
  </si>
  <si>
    <t>Cum.</t>
  </si>
  <si>
    <t>weighted %</t>
  </si>
  <si>
    <t>Geometric Condition:</t>
  </si>
  <si>
    <t>3R ROADWAY</t>
  </si>
  <si>
    <t>project</t>
  </si>
  <si>
    <t xml:space="preserve">Military base          </t>
  </si>
  <si>
    <t>Missing Link</t>
  </si>
  <si>
    <t xml:space="preserve">Community           </t>
  </si>
  <si>
    <t>Recreation</t>
  </si>
  <si>
    <t>Detour</t>
  </si>
  <si>
    <t>Storage or processing facitity</t>
  </si>
  <si>
    <t>Manufacturing facility</t>
  </si>
  <si>
    <t>Retail facility</t>
  </si>
  <si>
    <t>Corporate or government office facility</t>
  </si>
  <si>
    <t>Terrain (check one)</t>
  </si>
  <si>
    <t>Combined total</t>
  </si>
  <si>
    <t>Commercial total</t>
  </si>
  <si>
    <t>Consumable commodities</t>
  </si>
  <si>
    <t>To Qualify for full points (1 each), facility must be within 1 mile of the project</t>
  </si>
  <si>
    <t>Community total</t>
  </si>
  <si>
    <t xml:space="preserve">     state or interstate highway</t>
  </si>
  <si>
    <t>Serves as or directly connects to a detour for a</t>
  </si>
  <si>
    <t>School, church, grange, fire station</t>
  </si>
  <si>
    <t>Military post, base or other facility</t>
  </si>
  <si>
    <t xml:space="preserve">    that may be present.   Describe these special conditions below.  </t>
  </si>
  <si>
    <t>A maximum of 10 additional points may be assigned to account for special conditions</t>
  </si>
  <si>
    <t>Special Rating (10 Points Max.)</t>
  </si>
  <si>
    <t>Miles from</t>
  </si>
  <si>
    <t>logging, timber, gravel, concrete</t>
  </si>
  <si>
    <t>Scored</t>
  </si>
  <si>
    <t>Community facility</t>
  </si>
  <si>
    <t>Commercial facility</t>
  </si>
  <si>
    <t>Completes or continues improvements done adjacent to project.</t>
  </si>
  <si>
    <t>YMCA, Park, Amusement Park</t>
  </si>
  <si>
    <t>Construction or industrial materials processing</t>
  </si>
  <si>
    <t>Storage or handling facitity</t>
  </si>
  <si>
    <t>Prop. Damage only</t>
  </si>
  <si>
    <t>Bridge Replacement Structural Condition ( 25 Points Max.)</t>
  </si>
  <si>
    <t>Bridge Rehabilitation ( 25 Points Max.)</t>
  </si>
  <si>
    <t xml:space="preserve"> If Replacement Project</t>
  </si>
  <si>
    <t>If Rehab. Project</t>
  </si>
  <si>
    <t>Structural Condition (25 pts Max.)</t>
  </si>
  <si>
    <t>Horizontal Points</t>
  </si>
  <si>
    <t>From WSDOT</t>
  </si>
  <si>
    <t>Miles from project (&gt;0)</t>
  </si>
  <si>
    <r>
      <t xml:space="preserve">% </t>
    </r>
    <r>
      <rPr>
        <b/>
        <sz val="8"/>
        <rFont val="MS Sans Serif"/>
        <family val="2"/>
      </rPr>
      <t>Grade</t>
    </r>
  </si>
  <si>
    <t>=</t>
  </si>
  <si>
    <t>Sht 4</t>
  </si>
  <si>
    <t xml:space="preserve">(100 - Sufficiency Rating)    </t>
  </si>
  <si>
    <t>Please fill out the Rehab. Worksheet</t>
  </si>
  <si>
    <t>&gt;11</t>
  </si>
  <si>
    <t>&gt;12</t>
  </si>
  <si>
    <t>10 - 11</t>
  </si>
  <si>
    <t>11 - 12</t>
  </si>
  <si>
    <t xml:space="preserve"> &lt;10</t>
  </si>
  <si>
    <t xml:space="preserve"> &lt;11</t>
  </si>
  <si>
    <t>Single lane Shoulder width table</t>
  </si>
  <si>
    <t>Project Length</t>
  </si>
  <si>
    <r>
      <t xml:space="preserve">Structural Rating 
For Bridge </t>
    </r>
    <r>
      <rPr>
        <b/>
        <u/>
        <sz val="10"/>
        <color theme="8" tint="-0.249977111117893"/>
        <rFont val="MS Sans Serif"/>
      </rPr>
      <t>Rehab.</t>
    </r>
  </si>
  <si>
    <r>
      <rPr>
        <u/>
        <sz val="10"/>
        <rFont val="MS Sans Serif"/>
      </rPr>
      <t xml:space="preserve">Sufficiancy Rating For 
Bridge </t>
    </r>
    <r>
      <rPr>
        <b/>
        <u/>
        <sz val="10"/>
        <color theme="8" tint="-0.249977111117893"/>
        <rFont val="MS Sans Serif"/>
      </rPr>
      <t>Replacement:</t>
    </r>
  </si>
  <si>
    <t xml:space="preserve">Year  </t>
  </si>
  <si>
    <t>measured</t>
  </si>
  <si>
    <t>Community subtotal</t>
  </si>
  <si>
    <t>Commercial subtotal</t>
  </si>
  <si>
    <t>Total Local SignificancePoints:</t>
  </si>
  <si>
    <t>Local Significance</t>
  </si>
  <si>
    <t>miles in 1/100s</t>
  </si>
  <si>
    <t>(Click on underlined text to input project data)</t>
  </si>
  <si>
    <t>Single Lane Bridge RATING SUMMARY:</t>
  </si>
  <si>
    <t>LOCAL SIGNIFICANCE</t>
  </si>
  <si>
    <t>PS Region</t>
  </si>
  <si>
    <t>SINGLE LANE BRIDGE SUBMITTAL</t>
  </si>
  <si>
    <t>Road Log NO.</t>
  </si>
  <si>
    <t>FED Function Class</t>
  </si>
  <si>
    <t>(assigned)</t>
  </si>
  <si>
    <t>Road Width Points</t>
  </si>
  <si>
    <t>Stnd Grades</t>
  </si>
  <si>
    <t>% Grade for Rating Purposes</t>
  </si>
  <si>
    <t>See Below</t>
  </si>
  <si>
    <t>Use the last three 
full years' reports</t>
  </si>
  <si>
    <t>&lt;       OR       &gt;</t>
  </si>
  <si>
    <t>(maximum 25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</si>
</sst>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
    <numFmt numFmtId="166" formatCode="yyyy"/>
  </numFmts>
  <fonts count="77" x14ac:knownFonts="1">
    <font>
      <sz val="10"/>
      <name val="MS Sans Serif"/>
    </font>
    <font>
      <b/>
      <sz val="10"/>
      <name val="MS Sans Serif"/>
    </font>
    <font>
      <sz val="10"/>
      <name val="MS Sans Serif"/>
      <family val="2"/>
    </font>
    <font>
      <u/>
      <sz val="10"/>
      <name val="MS Sans Serif"/>
      <family val="2"/>
    </font>
    <font>
      <u/>
      <sz val="10"/>
      <name val="Arial"/>
      <family val="2"/>
    </font>
    <font>
      <sz val="10"/>
      <name val="Arial"/>
      <family val="2"/>
    </font>
    <font>
      <b/>
      <u/>
      <sz val="10"/>
      <name val="MS Sans Serif"/>
      <family val="2"/>
    </font>
    <font>
      <u/>
      <sz val="10"/>
      <name val="MS Sans Serif"/>
      <family val="2"/>
    </font>
    <font>
      <b/>
      <sz val="10"/>
      <name val="MS Sans Serif"/>
      <family val="2"/>
    </font>
    <font>
      <sz val="10"/>
      <name val="MS Sans Serif"/>
      <family val="2"/>
    </font>
    <font>
      <b/>
      <sz val="18"/>
      <name val="MS Sans Serif"/>
      <family val="2"/>
    </font>
    <font>
      <b/>
      <sz val="10"/>
      <name val="Arial"/>
      <family val="2"/>
    </font>
    <font>
      <b/>
      <sz val="10"/>
      <color indexed="61"/>
      <name val="MS Sans Serif"/>
      <family val="2"/>
    </font>
    <font>
      <sz val="10"/>
      <color indexed="61"/>
      <name val="MS Sans Serif"/>
      <family val="2"/>
    </font>
    <font>
      <sz val="10"/>
      <name val="Arial"/>
      <family val="2"/>
    </font>
    <font>
      <sz val="8"/>
      <color indexed="81"/>
      <name val="Tahoma"/>
      <family val="2"/>
    </font>
    <font>
      <sz val="10"/>
      <color indexed="10"/>
      <name val="MS Sans Serif"/>
      <family val="2"/>
    </font>
    <font>
      <sz val="10"/>
      <name val="MS Sans Serif"/>
      <family val="2"/>
    </font>
    <font>
      <b/>
      <sz val="8"/>
      <name val="MS Sans Serif"/>
      <family val="2"/>
    </font>
    <font>
      <sz val="8"/>
      <name val="MS Sans Serif"/>
      <family val="2"/>
    </font>
    <font>
      <b/>
      <u/>
      <sz val="8"/>
      <name val="MS Sans Serif"/>
      <family val="2"/>
    </font>
    <font>
      <b/>
      <sz val="10"/>
      <color indexed="10"/>
      <name val="MS Sans Serif"/>
      <family val="2"/>
    </font>
    <font>
      <b/>
      <sz val="10"/>
      <color indexed="14"/>
      <name val="MS Sans Serif"/>
      <family val="2"/>
    </font>
    <font>
      <b/>
      <u/>
      <sz val="10"/>
      <color indexed="14"/>
      <name val="Arial"/>
      <family val="2"/>
    </font>
    <font>
      <sz val="8"/>
      <name val="Arial"/>
      <family val="2"/>
    </font>
    <font>
      <u/>
      <sz val="8"/>
      <name val="Arial"/>
      <family val="2"/>
    </font>
    <font>
      <b/>
      <sz val="10"/>
      <color indexed="14"/>
      <name val="Arial"/>
      <family val="2"/>
    </font>
    <font>
      <b/>
      <sz val="8"/>
      <name val="Arial"/>
      <family val="2"/>
    </font>
    <font>
      <sz val="10"/>
      <color indexed="14"/>
      <name val="MS Sans Serif"/>
      <family val="2"/>
    </font>
    <font>
      <sz val="8"/>
      <name val="MS Sans Serif"/>
      <family val="2"/>
    </font>
    <font>
      <u/>
      <sz val="8"/>
      <name val="MS Sans Serif"/>
      <family val="2"/>
    </font>
    <font>
      <sz val="10"/>
      <color indexed="14"/>
      <name val="MS Sans Serif"/>
      <family val="2"/>
    </font>
    <font>
      <sz val="8.5"/>
      <name val="MS Sans Serif"/>
      <family val="2"/>
    </font>
    <font>
      <b/>
      <sz val="10"/>
      <color indexed="10"/>
      <name val="MS Sans Serif"/>
      <family val="2"/>
    </font>
    <font>
      <u/>
      <sz val="7.5"/>
      <color indexed="12"/>
      <name val="MS Sans Serif"/>
      <family val="2"/>
    </font>
    <font>
      <b/>
      <sz val="10"/>
      <color indexed="11"/>
      <name val="MS Sans Serif"/>
      <family val="2"/>
    </font>
    <font>
      <sz val="14"/>
      <name val="Courier New"/>
      <family val="3"/>
    </font>
    <font>
      <sz val="12"/>
      <name val="Arial"/>
      <family val="2"/>
    </font>
    <font>
      <b/>
      <sz val="12"/>
      <name val="Arial"/>
      <family val="2"/>
    </font>
    <font>
      <i/>
      <sz val="12"/>
      <name val="Arial"/>
      <family val="2"/>
    </font>
    <font>
      <sz val="10"/>
      <color indexed="9"/>
      <name val="Arial"/>
      <family val="2"/>
    </font>
    <font>
      <u/>
      <sz val="10"/>
      <name val="Arial"/>
      <family val="2"/>
    </font>
    <font>
      <b/>
      <u/>
      <sz val="8"/>
      <color indexed="14"/>
      <name val="MS Sans Serif"/>
      <family val="2"/>
    </font>
    <font>
      <sz val="10"/>
      <color indexed="9"/>
      <name val="MS Sans Serif"/>
      <family val="2"/>
    </font>
    <font>
      <b/>
      <sz val="8"/>
      <color indexed="10"/>
      <name val="MS Sans Serif"/>
      <family val="2"/>
    </font>
    <font>
      <b/>
      <u/>
      <sz val="12"/>
      <name val="MS Sans Serif"/>
      <family val="2"/>
    </font>
    <font>
      <b/>
      <u/>
      <sz val="10"/>
      <color indexed="12"/>
      <name val="MS Sans Serif"/>
      <family val="2"/>
    </font>
    <font>
      <b/>
      <u/>
      <sz val="10"/>
      <color indexed="12"/>
      <name val="MS Sans Serif"/>
      <family val="2"/>
    </font>
    <font>
      <u/>
      <sz val="8"/>
      <name val="MS Sans Serif"/>
      <family val="2"/>
    </font>
    <font>
      <b/>
      <sz val="10"/>
      <color indexed="12"/>
      <name val="Arial"/>
      <family val="2"/>
    </font>
    <font>
      <b/>
      <sz val="10"/>
      <color indexed="12"/>
      <name val="MS Sans Serif"/>
      <family val="2"/>
    </font>
    <font>
      <b/>
      <sz val="8"/>
      <color indexed="10"/>
      <name val="MS Sans Serif"/>
      <family val="2"/>
    </font>
    <font>
      <b/>
      <u/>
      <sz val="12"/>
      <color indexed="10"/>
      <name val="MS Sans Serif"/>
      <family val="2"/>
    </font>
    <font>
      <sz val="6"/>
      <name val="MS Sans Serif"/>
      <family val="2"/>
    </font>
    <font>
      <b/>
      <sz val="10"/>
      <color indexed="10"/>
      <name val="Arial"/>
      <family val="2"/>
    </font>
    <font>
      <b/>
      <sz val="7"/>
      <color indexed="10"/>
      <name val="Arial"/>
      <family val="2"/>
    </font>
    <font>
      <b/>
      <sz val="10"/>
      <color indexed="14"/>
      <name val="MS Sans Serif"/>
      <family val="2"/>
    </font>
    <font>
      <b/>
      <u/>
      <sz val="8"/>
      <name val="Arial"/>
      <family val="2"/>
    </font>
    <font>
      <sz val="10"/>
      <name val="MS Sans Serif"/>
      <family val="2"/>
    </font>
    <font>
      <b/>
      <sz val="14"/>
      <name val="MS Sans Serif"/>
      <family val="2"/>
    </font>
    <font>
      <b/>
      <u/>
      <sz val="8"/>
      <name val="MS Sans Serif"/>
      <family val="2"/>
    </font>
    <font>
      <b/>
      <sz val="8"/>
      <color indexed="81"/>
      <name val="Tahoma"/>
      <family val="2"/>
    </font>
    <font>
      <sz val="10"/>
      <color indexed="47"/>
      <name val="MS Sans Serif"/>
      <family val="2"/>
    </font>
    <font>
      <u/>
      <sz val="10"/>
      <color indexed="47"/>
      <name val="MS Sans Serif"/>
      <family val="2"/>
    </font>
    <font>
      <sz val="9"/>
      <name val="MS Sans Serif"/>
      <family val="2"/>
    </font>
    <font>
      <sz val="10"/>
      <name val="MS Sans Serif"/>
      <family val="2"/>
    </font>
    <font>
      <u/>
      <sz val="10"/>
      <color indexed="12"/>
      <name val="MS Sans Serif"/>
      <family val="2"/>
    </font>
    <font>
      <b/>
      <sz val="12"/>
      <color indexed="10"/>
      <name val="MS Sans Serif"/>
      <family val="2"/>
    </font>
    <font>
      <sz val="12"/>
      <color rgb="FFFF0000"/>
      <name val="MS Sans Serif"/>
      <family val="2"/>
    </font>
    <font>
      <u/>
      <sz val="10"/>
      <name val="MS Sans Serif"/>
    </font>
    <font>
      <b/>
      <u/>
      <sz val="10"/>
      <name val="MS Sans Serif"/>
    </font>
    <font>
      <b/>
      <u/>
      <sz val="10"/>
      <color theme="8" tint="-0.249977111117893"/>
      <name val="MS Sans Serif"/>
    </font>
    <font>
      <b/>
      <sz val="8"/>
      <name val="MS Sans Serif"/>
    </font>
    <font>
      <sz val="8"/>
      <name val="MS Sans Serif"/>
    </font>
    <font>
      <b/>
      <sz val="8"/>
      <color rgb="FFFF0000"/>
      <name val="MS Sans Serif"/>
    </font>
    <font>
      <sz val="14"/>
      <name val="MS Sans Serif"/>
      <family val="2"/>
    </font>
    <font>
      <b/>
      <sz val="10"/>
      <color rgb="FFFF0000"/>
      <name val="MS Sans Serif"/>
    </font>
  </fonts>
  <fills count="12">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26"/>
        <bgColor indexed="64"/>
      </patternFill>
    </fill>
    <fill>
      <patternFill patternType="solid">
        <fgColor indexed="45"/>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s>
  <borders count="3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14"/>
      </left>
      <right style="medium">
        <color indexed="14"/>
      </right>
      <top style="medium">
        <color indexed="14"/>
      </top>
      <bottom style="medium">
        <color indexed="14"/>
      </bottom>
      <diagonal/>
    </border>
    <border>
      <left/>
      <right/>
      <top/>
      <bottom style="hair">
        <color indexed="64"/>
      </bottom>
      <diagonal/>
    </border>
    <border>
      <left style="thin">
        <color indexed="64"/>
      </left>
      <right style="thin">
        <color indexed="64"/>
      </right>
      <top/>
      <bottom style="thin">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right/>
      <top style="thin">
        <color indexed="64"/>
      </top>
      <bottom style="thin">
        <color indexed="64"/>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thick">
        <color rgb="FF7030A0"/>
      </left>
      <right style="thick">
        <color rgb="FF7030A0"/>
      </right>
      <top style="thick">
        <color rgb="FF7030A0"/>
      </top>
      <bottom style="thick">
        <color rgb="FF7030A0"/>
      </bottom>
      <diagonal/>
    </border>
    <border>
      <left style="hair">
        <color indexed="64"/>
      </left>
      <right style="hair">
        <color indexed="64"/>
      </right>
      <top style="hair">
        <color indexed="64"/>
      </top>
      <bottom style="medium">
        <color indexed="64"/>
      </bottom>
      <diagonal/>
    </border>
    <border>
      <left/>
      <right/>
      <top/>
      <bottom style="double">
        <color auto="1"/>
      </bottom>
      <diagonal/>
    </border>
  </borders>
  <cellStyleXfs count="4">
    <xf numFmtId="0" fontId="0" fillId="0" borderId="0"/>
    <xf numFmtId="0" fontId="34" fillId="0" borderId="0" applyNumberFormat="0" applyFill="0" applyBorder="0" applyAlignment="0" applyProtection="0">
      <alignment vertical="top"/>
      <protection locked="0"/>
    </xf>
    <xf numFmtId="0" fontId="14" fillId="0" borderId="0"/>
    <xf numFmtId="9" fontId="2" fillId="0" borderId="0" applyFont="0" applyFill="0" applyBorder="0" applyAlignment="0" applyProtection="0"/>
  </cellStyleXfs>
  <cellXfs count="513">
    <xf numFmtId="0" fontId="0" fillId="0" borderId="0" xfId="0"/>
    <xf numFmtId="0" fontId="14" fillId="0" borderId="0" xfId="2"/>
    <xf numFmtId="0" fontId="11" fillId="0" borderId="0" xfId="2" applyFont="1" applyAlignment="1">
      <alignment horizontal="center"/>
    </xf>
    <xf numFmtId="0" fontId="11" fillId="0" borderId="0" xfId="2" applyFont="1" applyAlignment="1">
      <alignment horizontal="right"/>
    </xf>
    <xf numFmtId="0" fontId="11" fillId="0" borderId="4" xfId="2" applyFont="1" applyBorder="1"/>
    <xf numFmtId="0" fontId="37" fillId="0" borderId="0" xfId="0" applyFont="1"/>
    <xf numFmtId="0" fontId="39" fillId="3" borderId="0" xfId="0" applyFont="1" applyFill="1"/>
    <xf numFmtId="0" fontId="37" fillId="3" borderId="0" xfId="0" applyFont="1" applyFill="1"/>
    <xf numFmtId="0" fontId="14" fillId="0" borderId="0" xfId="0" applyFont="1"/>
    <xf numFmtId="0" fontId="14" fillId="0" borderId="13" xfId="2" applyBorder="1" applyAlignment="1">
      <alignment horizontal="center"/>
    </xf>
    <xf numFmtId="0" fontId="14" fillId="0" borderId="4" xfId="2" applyBorder="1" applyAlignment="1">
      <alignment horizontal="center"/>
    </xf>
    <xf numFmtId="0" fontId="40" fillId="0" borderId="0" xfId="2" applyFont="1" applyAlignment="1">
      <alignment horizontal="center"/>
    </xf>
    <xf numFmtId="0" fontId="14" fillId="4" borderId="14" xfId="2" applyFill="1" applyBorder="1" applyAlignment="1" applyProtection="1">
      <alignment horizontal="center"/>
      <protection locked="0"/>
    </xf>
    <xf numFmtId="0" fontId="14" fillId="4" borderId="14" xfId="2" applyFont="1" applyFill="1" applyBorder="1" applyAlignment="1" applyProtection="1">
      <alignment horizontal="center"/>
      <protection locked="0"/>
    </xf>
    <xf numFmtId="0" fontId="14" fillId="0" borderId="0" xfId="2" applyProtection="1">
      <protection locked="0"/>
    </xf>
    <xf numFmtId="0" fontId="14" fillId="4" borderId="15" xfId="2" applyFont="1" applyFill="1" applyBorder="1" applyAlignment="1" applyProtection="1">
      <alignment horizontal="center"/>
      <protection locked="0"/>
    </xf>
    <xf numFmtId="0" fontId="0" fillId="4" borderId="4" xfId="0" applyFill="1" applyBorder="1" applyAlignment="1" applyProtection="1">
      <alignment horizontal="center"/>
      <protection locked="0"/>
    </xf>
    <xf numFmtId="2" fontId="0" fillId="4" borderId="4" xfId="0" applyNumberFormat="1" applyFill="1" applyBorder="1" applyAlignment="1" applyProtection="1">
      <alignment horizontal="center"/>
      <protection locked="0"/>
    </xf>
    <xf numFmtId="0" fontId="5" fillId="4" borderId="4" xfId="0" applyFont="1" applyFill="1" applyBorder="1" applyAlignment="1" applyProtection="1">
      <alignment horizontal="center"/>
      <protection locked="0"/>
    </xf>
    <xf numFmtId="0" fontId="0" fillId="5" borderId="0" xfId="0" applyFill="1" applyAlignment="1">
      <alignment horizontal="left"/>
    </xf>
    <xf numFmtId="0" fontId="0" fillId="5" borderId="0" xfId="0" applyFill="1"/>
    <xf numFmtId="0" fontId="0" fillId="0" borderId="0" xfId="0" applyFill="1" applyBorder="1" applyAlignment="1" applyProtection="1">
      <alignment horizontal="center"/>
    </xf>
    <xf numFmtId="0" fontId="0" fillId="0" borderId="0" xfId="0" applyFill="1" applyProtection="1"/>
    <xf numFmtId="0" fontId="0" fillId="0" borderId="0" xfId="0" applyFill="1" applyAlignment="1" applyProtection="1">
      <alignment horizontal="center"/>
    </xf>
    <xf numFmtId="166" fontId="16" fillId="0" borderId="0" xfId="0" applyNumberFormat="1" applyFont="1" applyFill="1" applyBorder="1" applyAlignment="1" applyProtection="1">
      <alignment horizontal="center"/>
    </xf>
    <xf numFmtId="0" fontId="29" fillId="0" borderId="0" xfId="0" applyFont="1" applyFill="1" applyBorder="1" applyAlignment="1" applyProtection="1">
      <alignment horizontal="left"/>
    </xf>
    <xf numFmtId="0" fontId="19" fillId="0" borderId="0" xfId="0" applyFont="1" applyFill="1" applyBorder="1" applyAlignment="1" applyProtection="1">
      <alignment horizontal="left"/>
    </xf>
    <xf numFmtId="0" fontId="48" fillId="0" borderId="0" xfId="0" applyFont="1" applyFill="1" applyBorder="1" applyAlignment="1" applyProtection="1">
      <alignment horizontal="left"/>
    </xf>
    <xf numFmtId="0" fontId="24" fillId="0" borderId="0" xfId="0" applyFont="1" applyFill="1" applyBorder="1" applyProtection="1"/>
    <xf numFmtId="9" fontId="43" fillId="0" borderId="0" xfId="3" applyFont="1" applyFill="1" applyBorder="1" applyAlignment="1" applyProtection="1">
      <alignment horizontal="center"/>
    </xf>
    <xf numFmtId="9" fontId="0" fillId="0" borderId="0" xfId="3" applyFont="1" applyFill="1" applyBorder="1" applyAlignment="1" applyProtection="1">
      <alignment horizontal="left"/>
    </xf>
    <xf numFmtId="9" fontId="3" fillId="0" borderId="0" xfId="3" applyFont="1" applyFill="1" applyBorder="1" applyAlignment="1" applyProtection="1">
      <alignment horizontal="left"/>
    </xf>
    <xf numFmtId="0" fontId="5" fillId="0" borderId="4" xfId="0" quotePrefix="1" applyFont="1" applyFill="1" applyBorder="1" applyAlignment="1" applyProtection="1">
      <alignment horizontal="center"/>
    </xf>
    <xf numFmtId="0" fontId="33" fillId="0" borderId="4" xfId="0" applyFont="1" applyFill="1" applyBorder="1" applyAlignment="1" applyProtection="1">
      <alignment horizontal="center"/>
    </xf>
    <xf numFmtId="0" fontId="33" fillId="0" borderId="0" xfId="0" applyFont="1" applyFill="1" applyBorder="1" applyAlignment="1" applyProtection="1">
      <alignment horizontal="center"/>
    </xf>
    <xf numFmtId="0" fontId="5" fillId="0" borderId="0" xfId="0" applyFont="1" applyFill="1" applyBorder="1" applyAlignment="1" applyProtection="1">
      <alignment horizontal="left"/>
    </xf>
    <xf numFmtId="0" fontId="0" fillId="0" borderId="0" xfId="0" applyFill="1" applyAlignment="1" applyProtection="1">
      <alignment horizontal="left"/>
    </xf>
    <xf numFmtId="0" fontId="0" fillId="0" borderId="0" xfId="0" applyFill="1" applyBorder="1" applyAlignment="1" applyProtection="1">
      <alignment horizontal="left"/>
    </xf>
    <xf numFmtId="0" fontId="0" fillId="0" borderId="4" xfId="0" applyFill="1" applyBorder="1" applyAlignment="1" applyProtection="1">
      <alignment horizontal="center"/>
    </xf>
    <xf numFmtId="0" fontId="9" fillId="0" borderId="0" xfId="0" applyFont="1" applyFill="1" applyBorder="1" applyAlignment="1" applyProtection="1">
      <alignment horizontal="right"/>
    </xf>
    <xf numFmtId="0" fontId="0" fillId="0" borderId="0" xfId="0" applyBorder="1" applyAlignment="1" applyProtection="1">
      <alignment horizontal="left"/>
    </xf>
    <xf numFmtId="2" fontId="0" fillId="0" borderId="4" xfId="0" applyNumberFormat="1" applyFill="1" applyBorder="1" applyAlignment="1" applyProtection="1">
      <alignment horizontal="center"/>
    </xf>
    <xf numFmtId="0" fontId="2" fillId="4" borderId="4" xfId="0" applyFont="1" applyFill="1" applyBorder="1" applyAlignment="1" applyProtection="1">
      <alignment horizontal="center"/>
      <protection locked="0"/>
    </xf>
    <xf numFmtId="0" fontId="0" fillId="2" borderId="0" xfId="0" applyFill="1" applyProtection="1"/>
    <xf numFmtId="0" fontId="58" fillId="2" borderId="0" xfId="0" applyFont="1" applyFill="1" applyProtection="1"/>
    <xf numFmtId="0" fontId="2" fillId="2" borderId="0" xfId="0" applyFont="1" applyFill="1" applyProtection="1"/>
    <xf numFmtId="0" fontId="29" fillId="0" borderId="0" xfId="0" applyFont="1" applyFill="1" applyBorder="1" applyProtection="1"/>
    <xf numFmtId="0" fontId="29" fillId="0" borderId="0" xfId="0" applyFont="1" applyFill="1" applyBorder="1" applyAlignment="1" applyProtection="1">
      <alignment horizontal="right"/>
    </xf>
    <xf numFmtId="0" fontId="0" fillId="0" borderId="0" xfId="0" applyFill="1" applyBorder="1" applyProtection="1"/>
    <xf numFmtId="49" fontId="0" fillId="0" borderId="0" xfId="0" applyNumberFormat="1" applyFill="1" applyAlignment="1" applyProtection="1">
      <alignment horizontal="center"/>
    </xf>
    <xf numFmtId="49" fontId="0" fillId="0" borderId="0" xfId="0" applyNumberFormat="1" applyFill="1" applyAlignment="1" applyProtection="1">
      <alignment horizontal="left"/>
    </xf>
    <xf numFmtId="49" fontId="0" fillId="0" borderId="0" xfId="0" applyNumberFormat="1" applyFill="1" applyProtection="1"/>
    <xf numFmtId="0" fontId="2" fillId="2" borderId="0" xfId="0" applyFont="1" applyFill="1" applyBorder="1" applyAlignment="1" applyProtection="1">
      <alignment horizontal="center"/>
    </xf>
    <xf numFmtId="0" fontId="0" fillId="0" borderId="0" xfId="0" applyFill="1" applyBorder="1" applyAlignment="1" applyProtection="1"/>
    <xf numFmtId="0" fontId="7" fillId="2" borderId="6" xfId="0" applyFont="1" applyFill="1" applyBorder="1" applyAlignment="1" applyProtection="1">
      <alignment horizontal="left"/>
    </xf>
    <xf numFmtId="0" fontId="7" fillId="2" borderId="7" xfId="0" applyFont="1" applyFill="1" applyBorder="1" applyAlignment="1" applyProtection="1">
      <alignment horizontal="left"/>
    </xf>
    <xf numFmtId="0" fontId="7" fillId="2" borderId="8" xfId="0" applyFont="1" applyFill="1" applyBorder="1" applyAlignment="1" applyProtection="1">
      <alignment horizontal="left"/>
    </xf>
    <xf numFmtId="0" fontId="8" fillId="2" borderId="2" xfId="0" applyFont="1" applyFill="1" applyBorder="1" applyAlignment="1" applyProtection="1">
      <alignment horizontal="left"/>
    </xf>
    <xf numFmtId="0" fontId="0" fillId="2" borderId="0" xfId="0" applyFill="1" applyBorder="1" applyAlignment="1" applyProtection="1">
      <alignment horizontal="left"/>
    </xf>
    <xf numFmtId="0" fontId="0" fillId="2" borderId="3" xfId="0" applyFill="1" applyBorder="1" applyAlignment="1" applyProtection="1">
      <alignment horizontal="left"/>
    </xf>
    <xf numFmtId="0" fontId="0" fillId="2" borderId="2" xfId="0" applyFill="1" applyBorder="1" applyAlignment="1" applyProtection="1">
      <alignment horizontal="left"/>
    </xf>
    <xf numFmtId="0" fontId="47" fillId="0" borderId="0" xfId="1" applyFont="1" applyFill="1" applyBorder="1" applyAlignment="1" applyProtection="1"/>
    <xf numFmtId="0" fontId="0" fillId="2" borderId="9" xfId="0" applyFill="1" applyBorder="1" applyAlignment="1" applyProtection="1">
      <alignment horizontal="left"/>
    </xf>
    <xf numFmtId="0" fontId="0" fillId="2" borderId="1" xfId="0" applyFill="1" applyBorder="1" applyAlignment="1" applyProtection="1">
      <alignment horizontal="left"/>
    </xf>
    <xf numFmtId="0" fontId="0" fillId="2" borderId="5" xfId="0" applyFill="1" applyBorder="1" applyAlignment="1" applyProtection="1">
      <alignment horizontal="left"/>
    </xf>
    <xf numFmtId="0" fontId="3" fillId="0" borderId="0" xfId="0" applyFont="1" applyFill="1" applyBorder="1" applyAlignment="1" applyProtection="1">
      <alignment horizontal="center"/>
    </xf>
    <xf numFmtId="0" fontId="53" fillId="0" borderId="0" xfId="0" quotePrefix="1" applyFont="1" applyFill="1" applyBorder="1" applyAlignment="1" applyProtection="1">
      <alignment horizontal="center" vertical="center"/>
    </xf>
    <xf numFmtId="2" fontId="0" fillId="0" borderId="0" xfId="0" applyNumberFormat="1" applyFill="1" applyBorder="1" applyAlignment="1" applyProtection="1">
      <alignment horizontal="center"/>
    </xf>
    <xf numFmtId="0" fontId="1" fillId="0" borderId="0" xfId="0" applyFont="1" applyFill="1" applyBorder="1" applyAlignment="1" applyProtection="1">
      <alignment horizontal="center"/>
    </xf>
    <xf numFmtId="0" fontId="53" fillId="0" borderId="0" xfId="0" quotePrefix="1" applyFont="1" applyFill="1" applyBorder="1" applyAlignment="1" applyProtection="1">
      <alignment horizontal="center" vertical="top"/>
    </xf>
    <xf numFmtId="0" fontId="0" fillId="2" borderId="0" xfId="0" applyFill="1" applyAlignment="1" applyProtection="1">
      <alignment horizontal="center"/>
    </xf>
    <xf numFmtId="0" fontId="3" fillId="2" borderId="0" xfId="0" applyFont="1" applyFill="1" applyAlignment="1" applyProtection="1">
      <alignment horizontal="center"/>
    </xf>
    <xf numFmtId="2" fontId="0" fillId="2" borderId="0" xfId="0" applyNumberFormat="1" applyFill="1" applyProtection="1"/>
    <xf numFmtId="0" fontId="51" fillId="0" borderId="0" xfId="0" applyFont="1" applyFill="1" applyBorder="1" applyAlignment="1" applyProtection="1">
      <alignment horizontal="right"/>
    </xf>
    <xf numFmtId="2" fontId="0" fillId="2" borderId="0" xfId="0" applyNumberFormat="1" applyFill="1" applyAlignment="1" applyProtection="1">
      <alignment horizontal="right"/>
    </xf>
    <xf numFmtId="0" fontId="32" fillId="0" borderId="0" xfId="0" applyFont="1" applyFill="1" applyBorder="1" applyAlignment="1" applyProtection="1">
      <alignment horizontal="left"/>
    </xf>
    <xf numFmtId="0" fontId="1" fillId="0" borderId="0" xfId="0" applyFont="1" applyFill="1" applyAlignment="1" applyProtection="1">
      <alignment horizontal="left"/>
    </xf>
    <xf numFmtId="0" fontId="0" fillId="0" borderId="0" xfId="0" applyFill="1" applyBorder="1" applyAlignment="1" applyProtection="1">
      <alignment horizontal="right"/>
    </xf>
    <xf numFmtId="0" fontId="58" fillId="2" borderId="0" xfId="0" applyFont="1" applyFill="1" applyBorder="1" applyProtection="1"/>
    <xf numFmtId="0" fontId="8" fillId="0" borderId="0" xfId="0" applyFont="1" applyFill="1" applyBorder="1" applyProtection="1"/>
    <xf numFmtId="0" fontId="25" fillId="0" borderId="1" xfId="0" applyFont="1" applyBorder="1" applyAlignment="1" applyProtection="1">
      <alignment horizontal="center"/>
    </xf>
    <xf numFmtId="0" fontId="60" fillId="0" borderId="0" xfId="0" applyFont="1" applyFill="1" applyBorder="1" applyAlignment="1" applyProtection="1">
      <alignment horizontal="left"/>
    </xf>
    <xf numFmtId="0" fontId="5" fillId="0" borderId="0" xfId="0" applyFont="1" applyFill="1" applyBorder="1" applyAlignment="1" applyProtection="1">
      <alignment horizontal="center" vertical="top"/>
    </xf>
    <xf numFmtId="0" fontId="62" fillId="2" borderId="0" xfId="0" applyFont="1" applyFill="1" applyProtection="1"/>
    <xf numFmtId="0" fontId="62" fillId="2" borderId="0" xfId="0" applyFont="1" applyFill="1" applyAlignment="1" applyProtection="1">
      <alignment horizontal="center"/>
    </xf>
    <xf numFmtId="0" fontId="63" fillId="2" borderId="0" xfId="0" applyFont="1" applyFill="1" applyAlignment="1" applyProtection="1">
      <alignment horizontal="center"/>
    </xf>
    <xf numFmtId="2" fontId="62" fillId="2" borderId="0" xfId="0" applyNumberFormat="1" applyFont="1" applyFill="1" applyProtection="1"/>
    <xf numFmtId="2" fontId="62" fillId="2" borderId="0" xfId="0" applyNumberFormat="1" applyFont="1" applyFill="1" applyAlignment="1" applyProtection="1">
      <alignment horizontal="right"/>
    </xf>
    <xf numFmtId="0" fontId="47" fillId="0" borderId="0" xfId="1" applyFont="1" applyFill="1" applyBorder="1" applyAlignment="1" applyProtection="1">
      <alignment horizontal="center"/>
    </xf>
    <xf numFmtId="0" fontId="44" fillId="0" borderId="0" xfId="0" applyFont="1" applyFill="1" applyBorder="1" applyAlignment="1" applyProtection="1">
      <alignment horizontal="left"/>
    </xf>
    <xf numFmtId="0" fontId="27" fillId="0" borderId="0" xfId="0" applyFont="1" applyFill="1" applyBorder="1" applyProtection="1"/>
    <xf numFmtId="0" fontId="64" fillId="0" borderId="0" xfId="0" applyFont="1" applyFill="1" applyAlignment="1" applyProtection="1">
      <alignment horizontal="left"/>
    </xf>
    <xf numFmtId="0" fontId="14" fillId="0" borderId="6" xfId="2" applyBorder="1"/>
    <xf numFmtId="0" fontId="11" fillId="0" borderId="7" xfId="2" applyFont="1" applyBorder="1" applyAlignment="1">
      <alignment horizontal="center"/>
    </xf>
    <xf numFmtId="0" fontId="11" fillId="0" borderId="8" xfId="2" applyFont="1" applyBorder="1" applyAlignment="1">
      <alignment horizontal="center"/>
    </xf>
    <xf numFmtId="0" fontId="14" fillId="0" borderId="2" xfId="2" applyBorder="1"/>
    <xf numFmtId="0" fontId="14" fillId="0" borderId="0" xfId="2" applyBorder="1" applyAlignment="1">
      <alignment horizontal="center"/>
    </xf>
    <xf numFmtId="0" fontId="14" fillId="0" borderId="0" xfId="2" applyBorder="1"/>
    <xf numFmtId="0" fontId="14" fillId="0" borderId="3" xfId="2" applyBorder="1"/>
    <xf numFmtId="0" fontId="14" fillId="0" borderId="2" xfId="2" applyBorder="1" applyAlignment="1">
      <alignment horizontal="center"/>
    </xf>
    <xf numFmtId="0" fontId="4" fillId="0" borderId="0" xfId="2" applyFont="1" applyBorder="1" applyAlignment="1">
      <alignment horizontal="center"/>
    </xf>
    <xf numFmtId="0" fontId="4" fillId="0" borderId="0" xfId="2" applyFont="1" applyBorder="1"/>
    <xf numFmtId="0" fontId="14" fillId="0" borderId="0" xfId="2" applyBorder="1" applyAlignment="1">
      <alignment horizontal="right"/>
    </xf>
    <xf numFmtId="0" fontId="4" fillId="0" borderId="3" xfId="2" applyFont="1" applyBorder="1"/>
    <xf numFmtId="0" fontId="4" fillId="0" borderId="2" xfId="2" applyFont="1" applyBorder="1" applyAlignment="1">
      <alignment horizontal="left"/>
    </xf>
    <xf numFmtId="0" fontId="4" fillId="0" borderId="0" xfId="2" applyFont="1" applyBorder="1" applyAlignment="1">
      <alignment horizontal="right"/>
    </xf>
    <xf numFmtId="0" fontId="41" fillId="0" borderId="0" xfId="2" applyFont="1" applyBorder="1" applyAlignment="1">
      <alignment horizontal="center"/>
    </xf>
    <xf numFmtId="0" fontId="41" fillId="0" borderId="3" xfId="2" applyFont="1" applyBorder="1" applyAlignment="1">
      <alignment horizontal="center"/>
    </xf>
    <xf numFmtId="0" fontId="40" fillId="0" borderId="0" xfId="2" applyFont="1" applyBorder="1" applyAlignment="1">
      <alignment horizontal="center"/>
    </xf>
    <xf numFmtId="0" fontId="14" fillId="0" borderId="3" xfId="2" applyBorder="1" applyAlignment="1">
      <alignment horizontal="center"/>
    </xf>
    <xf numFmtId="0" fontId="14" fillId="0" borderId="17" xfId="2" applyBorder="1" applyAlignment="1">
      <alignment horizontal="center"/>
    </xf>
    <xf numFmtId="0" fontId="14" fillId="0" borderId="0" xfId="2" applyFont="1" applyBorder="1" applyAlignment="1">
      <alignment horizontal="right"/>
    </xf>
    <xf numFmtId="0" fontId="14" fillId="0" borderId="9" xfId="2" applyBorder="1"/>
    <xf numFmtId="0" fontId="14" fillId="0" borderId="1" xfId="2" applyBorder="1"/>
    <xf numFmtId="0" fontId="14" fillId="0" borderId="5" xfId="2" applyBorder="1"/>
    <xf numFmtId="0" fontId="14" fillId="0" borderId="7" xfId="2" applyBorder="1"/>
    <xf numFmtId="0" fontId="14" fillId="0" borderId="8" xfId="2" applyBorder="1"/>
    <xf numFmtId="0" fontId="14" fillId="0" borderId="2" xfId="2" applyBorder="1" applyAlignment="1">
      <alignment horizontal="left"/>
    </xf>
    <xf numFmtId="0" fontId="40" fillId="0" borderId="3" xfId="2" applyFont="1" applyBorder="1" applyAlignment="1">
      <alignment horizontal="center"/>
    </xf>
    <xf numFmtId="0" fontId="5" fillId="0" borderId="2" xfId="2" applyFont="1" applyBorder="1"/>
    <xf numFmtId="0" fontId="11" fillId="0" borderId="6" xfId="2" applyFont="1" applyBorder="1" applyAlignment="1">
      <alignment horizontal="center"/>
    </xf>
    <xf numFmtId="0" fontId="4" fillId="0" borderId="2" xfId="2" applyFont="1" applyBorder="1" applyAlignment="1">
      <alignment horizontal="center"/>
    </xf>
    <xf numFmtId="0" fontId="14" fillId="0" borderId="3" xfId="2" applyFont="1" applyBorder="1" applyAlignment="1">
      <alignment horizontal="center"/>
    </xf>
    <xf numFmtId="0" fontId="14" fillId="0" borderId="17" xfId="2" applyFont="1" applyBorder="1" applyAlignment="1">
      <alignment horizontal="center"/>
    </xf>
    <xf numFmtId="16" fontId="14" fillId="0" borderId="2" xfId="2" quotePrefix="1" applyNumberFormat="1" applyBorder="1" applyAlignment="1">
      <alignment horizontal="center"/>
    </xf>
    <xf numFmtId="0" fontId="14" fillId="0" borderId="2" xfId="2" quotePrefix="1" applyBorder="1" applyAlignment="1">
      <alignment horizontal="center"/>
    </xf>
    <xf numFmtId="0" fontId="24" fillId="0" borderId="2" xfId="2" applyFont="1" applyBorder="1"/>
    <xf numFmtId="0" fontId="0" fillId="0" borderId="19" xfId="0" applyFill="1" applyBorder="1" applyProtection="1"/>
    <xf numFmtId="0" fontId="0" fillId="0" borderId="20" xfId="0" applyFill="1" applyBorder="1" applyProtection="1"/>
    <xf numFmtId="0" fontId="0" fillId="0" borderId="21" xfId="0" applyFill="1" applyBorder="1" applyProtection="1"/>
    <xf numFmtId="0" fontId="0" fillId="0" borderId="22" xfId="0" applyFill="1" applyBorder="1" applyProtection="1"/>
    <xf numFmtId="0" fontId="0" fillId="0" borderId="23" xfId="0" applyFill="1" applyBorder="1" applyProtection="1"/>
    <xf numFmtId="0" fontId="0" fillId="0" borderId="24" xfId="0" applyFill="1" applyBorder="1" applyProtection="1"/>
    <xf numFmtId="0" fontId="0" fillId="0" borderId="25" xfId="0" applyFill="1" applyBorder="1" applyProtection="1"/>
    <xf numFmtId="165" fontId="5" fillId="0" borderId="25" xfId="0" applyNumberFormat="1" applyFont="1" applyFill="1" applyBorder="1" applyAlignment="1" applyProtection="1">
      <alignment horizontal="center"/>
    </xf>
    <xf numFmtId="0" fontId="35" fillId="0" borderId="25" xfId="0" applyFont="1" applyFill="1" applyBorder="1" applyProtection="1"/>
    <xf numFmtId="0" fontId="0" fillId="0" borderId="25" xfId="0" applyFill="1" applyBorder="1" applyAlignment="1" applyProtection="1">
      <alignment horizontal="left"/>
    </xf>
    <xf numFmtId="0" fontId="0" fillId="0" borderId="23" xfId="0" applyFill="1" applyBorder="1" applyAlignment="1" applyProtection="1">
      <alignment horizontal="left"/>
    </xf>
    <xf numFmtId="0" fontId="7" fillId="0" borderId="23" xfId="0" applyFont="1" applyFill="1" applyBorder="1" applyAlignment="1" applyProtection="1">
      <alignment horizontal="left"/>
    </xf>
    <xf numFmtId="0" fontId="9" fillId="0" borderId="0" xfId="1" applyFont="1" applyFill="1" applyBorder="1" applyAlignment="1" applyProtection="1">
      <alignment horizontal="center"/>
    </xf>
    <xf numFmtId="0" fontId="5" fillId="0" borderId="0" xfId="0" applyFont="1" applyBorder="1" applyAlignment="1" applyProtection="1">
      <alignment horizontal="left"/>
    </xf>
    <xf numFmtId="0" fontId="0" fillId="0" borderId="26" xfId="0" applyFill="1" applyBorder="1" applyProtection="1"/>
    <xf numFmtId="0" fontId="21" fillId="0" borderId="0" xfId="0" applyFont="1" applyFill="1" applyBorder="1" applyAlignment="1" applyProtection="1">
      <alignment horizontal="right"/>
    </xf>
    <xf numFmtId="0" fontId="18" fillId="0" borderId="0" xfId="0" applyFont="1" applyFill="1" applyBorder="1" applyAlignment="1" applyProtection="1">
      <alignment horizontal="left"/>
    </xf>
    <xf numFmtId="0" fontId="19" fillId="0" borderId="0" xfId="0" applyFont="1" applyFill="1" applyBorder="1" applyProtection="1"/>
    <xf numFmtId="0" fontId="30" fillId="0" borderId="0" xfId="0" applyFont="1" applyFill="1" applyBorder="1" applyAlignment="1" applyProtection="1">
      <alignment horizontal="center"/>
    </xf>
    <xf numFmtId="0" fontId="18" fillId="0" borderId="0" xfId="0" applyFont="1" applyFill="1" applyBorder="1" applyProtection="1"/>
    <xf numFmtId="0" fontId="0" fillId="0" borderId="22" xfId="0" applyFill="1" applyBorder="1" applyAlignment="1" applyProtection="1">
      <alignment horizontal="center"/>
    </xf>
    <xf numFmtId="0" fontId="32" fillId="0" borderId="22" xfId="0" applyFont="1" applyFill="1" applyBorder="1" applyAlignment="1" applyProtection="1">
      <alignment horizontal="center"/>
    </xf>
    <xf numFmtId="9" fontId="0" fillId="0" borderId="0" xfId="0" applyNumberFormat="1" applyFill="1" applyBorder="1" applyAlignment="1" applyProtection="1">
      <alignment horizontal="left"/>
    </xf>
    <xf numFmtId="0" fontId="0" fillId="0" borderId="20" xfId="0" applyFill="1" applyBorder="1" applyAlignment="1" applyProtection="1">
      <alignment horizontal="left"/>
    </xf>
    <xf numFmtId="0" fontId="0" fillId="0" borderId="19" xfId="0" applyFill="1" applyBorder="1" applyAlignment="1" applyProtection="1">
      <alignment horizontal="left"/>
    </xf>
    <xf numFmtId="0" fontId="0" fillId="0" borderId="20" xfId="0" applyFill="1" applyBorder="1" applyAlignment="1" applyProtection="1">
      <alignment horizontal="center"/>
    </xf>
    <xf numFmtId="0" fontId="0" fillId="0" borderId="22" xfId="0" applyFill="1" applyBorder="1" applyAlignment="1" applyProtection="1">
      <alignment horizontal="left"/>
    </xf>
    <xf numFmtId="0" fontId="3" fillId="0" borderId="22" xfId="0" applyFont="1" applyFill="1" applyBorder="1" applyAlignment="1" applyProtection="1">
      <alignment horizontal="left"/>
    </xf>
    <xf numFmtId="2" fontId="0" fillId="0" borderId="22" xfId="0" applyNumberFormat="1" applyFill="1" applyBorder="1" applyProtection="1"/>
    <xf numFmtId="0" fontId="29" fillId="0" borderId="0" xfId="0" applyFont="1" applyFill="1" applyBorder="1" applyAlignment="1" applyProtection="1"/>
    <xf numFmtId="0" fontId="29" fillId="0" borderId="22" xfId="0" applyFont="1" applyFill="1" applyBorder="1" applyAlignment="1" applyProtection="1">
      <alignment horizontal="left"/>
    </xf>
    <xf numFmtId="0" fontId="0" fillId="0" borderId="24" xfId="0" applyFill="1" applyBorder="1" applyAlignment="1" applyProtection="1">
      <alignment horizontal="left"/>
    </xf>
    <xf numFmtId="1" fontId="0" fillId="0" borderId="25" xfId="0" applyNumberFormat="1" applyFill="1" applyBorder="1" applyAlignment="1" applyProtection="1">
      <alignment horizontal="left"/>
    </xf>
    <xf numFmtId="0" fontId="5" fillId="0" borderId="0" xfId="0" applyFont="1" applyAlignment="1" applyProtection="1">
      <alignment horizontal="center"/>
    </xf>
    <xf numFmtId="0" fontId="0" fillId="0" borderId="0" xfId="0" applyAlignment="1" applyProtection="1">
      <alignment horizontal="center"/>
    </xf>
    <xf numFmtId="0" fontId="0" fillId="0" borderId="0" xfId="0" applyAlignment="1" applyProtection="1">
      <alignment horizontal="right"/>
    </xf>
    <xf numFmtId="0" fontId="5" fillId="4" borderId="14" xfId="2" applyFont="1" applyFill="1" applyBorder="1" applyAlignment="1" applyProtection="1">
      <alignment horizontal="center"/>
      <protection locked="0"/>
    </xf>
    <xf numFmtId="2" fontId="2" fillId="0" borderId="0" xfId="0" applyNumberFormat="1" applyFont="1" applyFill="1" applyBorder="1" applyAlignment="1" applyProtection="1">
      <alignment horizontal="center"/>
    </xf>
    <xf numFmtId="0" fontId="21" fillId="0" borderId="23" xfId="0" applyFont="1" applyFill="1" applyBorder="1" applyAlignment="1" applyProtection="1">
      <alignment horizontal="left"/>
    </xf>
    <xf numFmtId="0" fontId="0" fillId="0" borderId="0" xfId="0" applyBorder="1" applyAlignment="1" applyProtection="1">
      <alignment horizontal="center"/>
    </xf>
    <xf numFmtId="0" fontId="0" fillId="7" borderId="0" xfId="0" applyFill="1" applyAlignment="1">
      <alignment horizontal="center"/>
    </xf>
    <xf numFmtId="0" fontId="18" fillId="0" borderId="0" xfId="0" applyFont="1" applyFill="1" applyBorder="1" applyAlignment="1" applyProtection="1">
      <alignment horizontal="center"/>
    </xf>
    <xf numFmtId="0" fontId="0" fillId="0" borderId="0" xfId="0" applyFill="1" applyBorder="1" applyAlignment="1" applyProtection="1">
      <alignment horizontal="center"/>
    </xf>
    <xf numFmtId="2" fontId="5" fillId="0" borderId="0" xfId="0" applyNumberFormat="1" applyFont="1" applyFill="1" applyBorder="1" applyAlignment="1" applyProtection="1">
      <alignment horizontal="center"/>
    </xf>
    <xf numFmtId="0" fontId="29" fillId="0" borderId="0" xfId="0" applyFont="1" applyFill="1" applyBorder="1" applyAlignment="1" applyProtection="1">
      <alignment horizontal="center"/>
    </xf>
    <xf numFmtId="0" fontId="0" fillId="0" borderId="0" xfId="0" applyFill="1" applyAlignment="1" applyProtection="1">
      <alignment horizontal="center" vertical="center"/>
    </xf>
    <xf numFmtId="0" fontId="0" fillId="8" borderId="0" xfId="0" applyFill="1"/>
    <xf numFmtId="0" fontId="0" fillId="8" borderId="0" xfId="0" applyFill="1" applyProtection="1"/>
    <xf numFmtId="0" fontId="0" fillId="8" borderId="0" xfId="0" applyFill="1" applyBorder="1" applyProtection="1"/>
    <xf numFmtId="0" fontId="0" fillId="8" borderId="0" xfId="0" applyFill="1" applyBorder="1" applyAlignment="1" applyProtection="1">
      <alignment horizontal="center"/>
    </xf>
    <xf numFmtId="165" fontId="5" fillId="8" borderId="0" xfId="0" applyNumberFormat="1" applyFont="1" applyFill="1" applyBorder="1" applyAlignment="1" applyProtection="1">
      <alignment horizontal="center"/>
    </xf>
    <xf numFmtId="0" fontId="17" fillId="8" borderId="0" xfId="0" applyFont="1" applyFill="1" applyProtection="1"/>
    <xf numFmtId="0" fontId="21" fillId="8" borderId="0" xfId="0" applyFont="1" applyFill="1" applyAlignment="1" applyProtection="1">
      <alignment horizontal="left"/>
    </xf>
    <xf numFmtId="0" fontId="1" fillId="8" borderId="0" xfId="0" applyFont="1" applyFill="1" applyAlignment="1" applyProtection="1">
      <alignment horizontal="left"/>
    </xf>
    <xf numFmtId="0" fontId="2" fillId="8" borderId="0" xfId="0" applyFont="1" applyFill="1" applyBorder="1" applyProtection="1"/>
    <xf numFmtId="9" fontId="43" fillId="0" borderId="3" xfId="3" applyFont="1" applyFill="1" applyBorder="1" applyAlignment="1" applyProtection="1">
      <alignment horizontal="center"/>
    </xf>
    <xf numFmtId="0" fontId="8" fillId="8" borderId="0" xfId="0" applyFont="1" applyFill="1" applyBorder="1" applyProtection="1"/>
    <xf numFmtId="0" fontId="8" fillId="8" borderId="0" xfId="0" applyFont="1" applyFill="1" applyBorder="1" applyAlignment="1" applyProtection="1"/>
    <xf numFmtId="0" fontId="9" fillId="8" borderId="0" xfId="0" applyFont="1" applyFill="1" applyBorder="1" applyAlignment="1" applyProtection="1">
      <alignment horizontal="center"/>
    </xf>
    <xf numFmtId="0" fontId="19" fillId="8" borderId="0" xfId="0" applyFont="1" applyFill="1" applyBorder="1" applyAlignment="1" applyProtection="1">
      <alignment horizontal="center"/>
    </xf>
    <xf numFmtId="0" fontId="47" fillId="8" borderId="0" xfId="1" applyFont="1" applyFill="1" applyBorder="1" applyAlignment="1" applyProtection="1"/>
    <xf numFmtId="0" fontId="29" fillId="8" borderId="0" xfId="0" applyFont="1" applyFill="1" applyBorder="1" applyAlignment="1" applyProtection="1">
      <alignment horizontal="center"/>
    </xf>
    <xf numFmtId="0" fontId="43" fillId="8" borderId="0" xfId="0" applyFont="1" applyFill="1" applyBorder="1" applyProtection="1"/>
    <xf numFmtId="2" fontId="0" fillId="8" borderId="0" xfId="0" applyNumberFormat="1" applyFill="1" applyBorder="1" applyAlignment="1" applyProtection="1">
      <alignment horizontal="center"/>
    </xf>
    <xf numFmtId="9" fontId="43" fillId="8" borderId="0" xfId="3" applyFont="1" applyFill="1" applyBorder="1" applyAlignment="1" applyProtection="1">
      <alignment horizontal="center"/>
    </xf>
    <xf numFmtId="0" fontId="47" fillId="0" borderId="23" xfId="1" applyFont="1" applyFill="1" applyBorder="1" applyAlignment="1" applyProtection="1">
      <alignment horizontal="left"/>
    </xf>
    <xf numFmtId="0" fontId="0" fillId="0" borderId="23" xfId="0" applyFill="1" applyBorder="1" applyAlignment="1" applyProtection="1">
      <alignment horizontal="center"/>
    </xf>
    <xf numFmtId="0" fontId="20" fillId="0" borderId="23" xfId="0" applyFont="1" applyFill="1" applyBorder="1" applyAlignment="1" applyProtection="1">
      <alignment horizontal="center"/>
    </xf>
    <xf numFmtId="0" fontId="47" fillId="0" borderId="23" xfId="1" applyFont="1" applyFill="1" applyBorder="1" applyAlignment="1" applyProtection="1"/>
    <xf numFmtId="0" fontId="42" fillId="0" borderId="0" xfId="0" applyFont="1" applyFill="1" applyBorder="1" applyAlignment="1" applyProtection="1">
      <alignment horizontal="center"/>
    </xf>
    <xf numFmtId="0" fontId="25" fillId="0" borderId="1" xfId="0" applyFont="1" applyFill="1" applyBorder="1" applyAlignment="1" applyProtection="1">
      <alignment horizontal="center"/>
    </xf>
    <xf numFmtId="0" fontId="0" fillId="9" borderId="4" xfId="0" applyFill="1" applyBorder="1" applyAlignment="1" applyProtection="1">
      <alignment horizontal="center"/>
      <protection locked="0"/>
    </xf>
    <xf numFmtId="0" fontId="0" fillId="8" borderId="0" xfId="0" applyFill="1" applyAlignment="1">
      <alignment horizontal="left"/>
    </xf>
    <xf numFmtId="0" fontId="47" fillId="0" borderId="0" xfId="1" applyFont="1" applyFill="1" applyBorder="1" applyAlignment="1" applyProtection="1">
      <alignment horizontal="left"/>
    </xf>
    <xf numFmtId="0" fontId="2" fillId="0" borderId="0" xfId="0" applyFont="1" applyFill="1" applyBorder="1" applyAlignment="1" applyProtection="1">
      <alignment horizontal="left"/>
    </xf>
    <xf numFmtId="2" fontId="0" fillId="0" borderId="14" xfId="0" applyNumberFormat="1" applyBorder="1" applyAlignment="1" applyProtection="1">
      <alignment horizontal="center"/>
    </xf>
    <xf numFmtId="2" fontId="5" fillId="0" borderId="12" xfId="0" applyNumberFormat="1" applyFont="1" applyFill="1" applyBorder="1" applyAlignment="1" applyProtection="1">
      <alignment horizontal="center"/>
    </xf>
    <xf numFmtId="2" fontId="0" fillId="0" borderId="28" xfId="0" applyNumberFormat="1" applyBorder="1" applyAlignment="1" applyProtection="1">
      <alignment horizontal="center"/>
    </xf>
    <xf numFmtId="0" fontId="1" fillId="0" borderId="0" xfId="0" applyFont="1" applyFill="1" applyBorder="1" applyProtection="1"/>
    <xf numFmtId="0" fontId="1" fillId="0" borderId="0" xfId="0" applyFont="1" applyFill="1" applyBorder="1" applyAlignment="1" applyProtection="1">
      <alignment horizontal="right"/>
    </xf>
    <xf numFmtId="0" fontId="29" fillId="0" borderId="22" xfId="0" applyFont="1" applyFill="1" applyBorder="1" applyAlignment="1" applyProtection="1">
      <alignment horizontal="right"/>
    </xf>
    <xf numFmtId="0" fontId="2" fillId="0" borderId="0" xfId="0" applyFont="1" applyFill="1" applyBorder="1" applyAlignment="1" applyProtection="1">
      <alignment horizontal="right"/>
    </xf>
    <xf numFmtId="0" fontId="0" fillId="0" borderId="0" xfId="0" applyBorder="1" applyAlignment="1" applyProtection="1">
      <alignment horizontal="right"/>
    </xf>
    <xf numFmtId="0" fontId="0" fillId="0" borderId="0" xfId="0" applyFill="1" applyBorder="1" applyAlignment="1" applyProtection="1">
      <alignment horizontal="center" vertical="center"/>
    </xf>
    <xf numFmtId="0" fontId="66" fillId="0" borderId="0" xfId="1" applyFont="1" applyBorder="1" applyAlignment="1" applyProtection="1"/>
    <xf numFmtId="0" fontId="0" fillId="0" borderId="0" xfId="0" applyFont="1" applyFill="1" applyBorder="1" applyProtection="1"/>
    <xf numFmtId="0" fontId="0" fillId="0" borderId="0" xfId="0" applyFont="1" applyFill="1" applyBorder="1" applyAlignment="1" applyProtection="1">
      <alignment horizontal="center"/>
    </xf>
    <xf numFmtId="0" fontId="16" fillId="0" borderId="0" xfId="0" applyFont="1" applyFill="1" applyBorder="1" applyAlignment="1" applyProtection="1">
      <alignment horizontal="center"/>
    </xf>
    <xf numFmtId="0" fontId="0" fillId="0" borderId="0" xfId="0" applyFont="1" applyFill="1" applyBorder="1" applyAlignment="1" applyProtection="1">
      <alignment horizontal="center" textRotation="90"/>
    </xf>
    <xf numFmtId="0" fontId="2" fillId="0" borderId="0" xfId="0" applyFont="1" applyFill="1" applyBorder="1" applyAlignment="1" applyProtection="1">
      <alignment horizontal="center"/>
    </xf>
    <xf numFmtId="0" fontId="21" fillId="0" borderId="0" xfId="0" applyFont="1" applyFill="1" applyBorder="1" applyAlignment="1" applyProtection="1">
      <alignment horizontal="center"/>
    </xf>
    <xf numFmtId="2" fontId="0" fillId="0" borderId="0" xfId="0" applyNumberFormat="1" applyFont="1" applyFill="1" applyBorder="1" applyAlignment="1" applyProtection="1">
      <alignment horizontal="center"/>
    </xf>
    <xf numFmtId="2" fontId="11" fillId="0" borderId="0" xfId="0" applyNumberFormat="1" applyFont="1" applyFill="1" applyBorder="1" applyAlignment="1" applyProtection="1">
      <alignment horizontal="center"/>
    </xf>
    <xf numFmtId="0" fontId="0" fillId="0" borderId="1" xfId="0" applyFont="1" applyFill="1" applyBorder="1" applyAlignment="1" applyProtection="1">
      <alignment horizontal="center"/>
    </xf>
    <xf numFmtId="2" fontId="5" fillId="0" borderId="1" xfId="0" applyNumberFormat="1" applyFont="1" applyFill="1" applyBorder="1" applyAlignment="1" applyProtection="1">
      <alignment horizontal="center"/>
    </xf>
    <xf numFmtId="0" fontId="1" fillId="0" borderId="0" xfId="0" applyFont="1" applyFill="1" applyBorder="1" applyAlignment="1" applyProtection="1">
      <alignment horizontal="left"/>
    </xf>
    <xf numFmtId="0" fontId="33" fillId="0" borderId="0" xfId="0" applyFont="1" applyFill="1" applyBorder="1" applyAlignment="1" applyProtection="1">
      <alignment horizontal="right"/>
    </xf>
    <xf numFmtId="0" fontId="72" fillId="0" borderId="0" xfId="0" applyFont="1" applyFill="1" applyBorder="1" applyAlignment="1" applyProtection="1">
      <alignment horizontal="left"/>
    </xf>
    <xf numFmtId="0" fontId="0" fillId="0" borderId="1" xfId="0" applyFill="1" applyBorder="1" applyAlignment="1" applyProtection="1">
      <alignment horizontal="left"/>
    </xf>
    <xf numFmtId="0" fontId="0" fillId="0" borderId="1" xfId="0" applyFill="1" applyBorder="1" applyAlignment="1" applyProtection="1"/>
    <xf numFmtId="0" fontId="45" fillId="0" borderId="1" xfId="0" applyFont="1" applyFill="1" applyBorder="1" applyAlignment="1" applyProtection="1"/>
    <xf numFmtId="0" fontId="0" fillId="0" borderId="29" xfId="0" applyFill="1" applyBorder="1" applyAlignment="1" applyProtection="1">
      <alignment horizontal="left"/>
    </xf>
    <xf numFmtId="2" fontId="0" fillId="0" borderId="29" xfId="0" applyNumberFormat="1" applyFill="1" applyBorder="1" applyAlignment="1" applyProtection="1">
      <alignment horizontal="center"/>
    </xf>
    <xf numFmtId="0" fontId="0" fillId="0" borderId="29" xfId="0" applyFill="1" applyBorder="1" applyProtection="1"/>
    <xf numFmtId="0" fontId="1" fillId="0" borderId="29" xfId="0" applyFont="1" applyFill="1" applyBorder="1" applyAlignment="1" applyProtection="1">
      <alignment horizontal="right"/>
    </xf>
    <xf numFmtId="0" fontId="0" fillId="0" borderId="29" xfId="0" applyFont="1" applyFill="1" applyBorder="1" applyAlignment="1" applyProtection="1">
      <alignment horizontal="center"/>
    </xf>
    <xf numFmtId="0" fontId="0" fillId="0" borderId="29" xfId="0" applyFont="1" applyFill="1" applyBorder="1" applyProtection="1"/>
    <xf numFmtId="2" fontId="0" fillId="0" borderId="29" xfId="0" applyNumberFormat="1" applyFont="1" applyFill="1" applyBorder="1" applyAlignment="1" applyProtection="1">
      <alignment horizontal="center"/>
    </xf>
    <xf numFmtId="0" fontId="0" fillId="0" borderId="29" xfId="0" applyFont="1" applyFill="1" applyBorder="1" applyAlignment="1" applyProtection="1">
      <alignment horizontal="center" textRotation="90"/>
    </xf>
    <xf numFmtId="0" fontId="1" fillId="0" borderId="29" xfId="0" applyFont="1" applyFill="1" applyBorder="1" applyAlignment="1" applyProtection="1">
      <alignment horizontal="center"/>
    </xf>
    <xf numFmtId="1" fontId="0" fillId="0" borderId="29" xfId="0" applyNumberFormat="1" applyFill="1" applyBorder="1" applyAlignment="1" applyProtection="1">
      <alignment horizontal="center"/>
    </xf>
    <xf numFmtId="0" fontId="59" fillId="2" borderId="0" xfId="0" applyFont="1" applyFill="1" applyBorder="1" applyAlignment="1" applyProtection="1"/>
    <xf numFmtId="49" fontId="0" fillId="0" borderId="0" xfId="0" applyNumberFormat="1" applyFill="1" applyBorder="1" applyAlignment="1" applyProtection="1">
      <protection locked="0"/>
    </xf>
    <xf numFmtId="0" fontId="10" fillId="10" borderId="0" xfId="0" applyFont="1" applyFill="1" applyAlignment="1" applyProtection="1">
      <alignment horizontal="center" vertical="center" wrapText="1"/>
    </xf>
    <xf numFmtId="49" fontId="0" fillId="0" borderId="0" xfId="0" applyNumberFormat="1" applyFill="1" applyBorder="1" applyAlignment="1" applyProtection="1">
      <alignment horizontal="left"/>
      <protection locked="0"/>
    </xf>
    <xf numFmtId="49" fontId="0" fillId="0" borderId="0" xfId="0" applyNumberFormat="1" applyFill="1" applyBorder="1" applyProtection="1"/>
    <xf numFmtId="0" fontId="73" fillId="0" borderId="0" xfId="0" applyFont="1" applyFill="1" applyProtection="1"/>
    <xf numFmtId="0" fontId="8" fillId="10" borderId="23" xfId="0" applyFont="1" applyFill="1" applyBorder="1" applyAlignment="1" applyProtection="1"/>
    <xf numFmtId="0" fontId="66" fillId="0" borderId="23" xfId="1" applyFont="1" applyBorder="1" applyAlignment="1" applyProtection="1"/>
    <xf numFmtId="0" fontId="1" fillId="0" borderId="0" xfId="0" applyFont="1" applyProtection="1"/>
    <xf numFmtId="0" fontId="0" fillId="0" borderId="0" xfId="0" applyProtection="1"/>
    <xf numFmtId="0" fontId="1" fillId="0" borderId="0" xfId="0" applyFont="1" applyAlignment="1" applyProtection="1"/>
    <xf numFmtId="0" fontId="43" fillId="0" borderId="0" xfId="0" applyFont="1" applyFill="1" applyBorder="1" applyProtection="1"/>
    <xf numFmtId="0" fontId="17" fillId="0" borderId="0" xfId="0" applyFont="1" applyFill="1" applyBorder="1" applyAlignment="1" applyProtection="1">
      <alignment horizontal="left"/>
    </xf>
    <xf numFmtId="2" fontId="8" fillId="0" borderId="27" xfId="0" applyNumberFormat="1" applyFont="1" applyBorder="1" applyAlignment="1" applyProtection="1">
      <alignment horizontal="center"/>
    </xf>
    <xf numFmtId="0" fontId="0" fillId="0" borderId="25" xfId="0" applyBorder="1" applyAlignment="1" applyProtection="1">
      <alignment horizontal="left"/>
    </xf>
    <xf numFmtId="0" fontId="0" fillId="8" borderId="0" xfId="0" applyFill="1" applyAlignment="1" applyProtection="1">
      <alignment horizontal="left"/>
    </xf>
    <xf numFmtId="0" fontId="12" fillId="8" borderId="0" xfId="0" applyFont="1" applyFill="1" applyAlignment="1">
      <alignment horizontal="right"/>
    </xf>
    <xf numFmtId="0" fontId="5" fillId="8" borderId="4" xfId="0" applyFont="1" applyFill="1" applyBorder="1" applyAlignment="1">
      <alignment horizontal="center"/>
    </xf>
    <xf numFmtId="0" fontId="47" fillId="8" borderId="0" xfId="0" applyFont="1" applyFill="1" applyAlignment="1">
      <alignment horizontal="left"/>
    </xf>
    <xf numFmtId="0" fontId="0" fillId="8" borderId="0" xfId="0" applyFill="1" applyAlignment="1">
      <alignment horizontal="center"/>
    </xf>
    <xf numFmtId="0" fontId="7" fillId="8" borderId="0" xfId="0" applyFont="1" applyFill="1" applyAlignment="1">
      <alignment horizontal="left"/>
    </xf>
    <xf numFmtId="0" fontId="0" fillId="8" borderId="4" xfId="0" applyFill="1" applyBorder="1" applyAlignment="1">
      <alignment horizontal="center"/>
    </xf>
    <xf numFmtId="0" fontId="19" fillId="8" borderId="0" xfId="0" applyFont="1" applyFill="1" applyAlignment="1">
      <alignment horizontal="left"/>
    </xf>
    <xf numFmtId="0" fontId="30" fillId="8" borderId="0" xfId="0" applyFont="1" applyFill="1" applyAlignment="1"/>
    <xf numFmtId="0" fontId="19" fillId="8" borderId="0" xfId="0" applyFont="1" applyFill="1" applyAlignment="1">
      <alignment horizontal="center"/>
    </xf>
    <xf numFmtId="0" fontId="3" fillId="8" borderId="0" xfId="0" applyFont="1" applyFill="1" applyAlignment="1">
      <alignment horizontal="center"/>
    </xf>
    <xf numFmtId="0" fontId="7" fillId="8" borderId="0" xfId="0" applyFont="1" applyFill="1" applyAlignment="1">
      <alignment horizontal="center"/>
    </xf>
    <xf numFmtId="0" fontId="8" fillId="8" borderId="0" xfId="0" applyFont="1" applyFill="1" applyAlignment="1">
      <alignment horizontal="center"/>
    </xf>
    <xf numFmtId="0" fontId="0" fillId="8" borderId="0" xfId="0" applyFill="1" applyBorder="1" applyAlignment="1">
      <alignment horizontal="right"/>
    </xf>
    <xf numFmtId="0" fontId="3" fillId="8" borderId="0" xfId="0" applyFont="1" applyFill="1" applyBorder="1" applyAlignment="1">
      <alignment horizontal="left"/>
    </xf>
    <xf numFmtId="0" fontId="3" fillId="8" borderId="0" xfId="0" applyFont="1" applyFill="1" applyAlignment="1">
      <alignment horizontal="left"/>
    </xf>
    <xf numFmtId="0" fontId="0" fillId="8" borderId="11" xfId="0" applyFill="1" applyBorder="1" applyAlignment="1">
      <alignment horizontal="center"/>
    </xf>
    <xf numFmtId="0" fontId="0" fillId="8" borderId="1" xfId="0" applyFill="1" applyBorder="1" applyAlignment="1">
      <alignment horizontal="center"/>
    </xf>
    <xf numFmtId="0" fontId="12" fillId="8" borderId="0" xfId="0" applyFont="1" applyFill="1" applyAlignment="1">
      <alignment horizontal="left"/>
    </xf>
    <xf numFmtId="0" fontId="13" fillId="8" borderId="0" xfId="0" applyFont="1" applyFill="1" applyAlignment="1">
      <alignment horizontal="left"/>
    </xf>
    <xf numFmtId="0" fontId="0" fillId="8" borderId="0" xfId="0" applyFill="1" applyBorder="1" applyAlignment="1">
      <alignment horizontal="center"/>
    </xf>
    <xf numFmtId="0" fontId="6" fillId="0" borderId="22" xfId="0" applyFont="1" applyFill="1" applyBorder="1" applyAlignment="1" applyProtection="1">
      <alignment textRotation="90"/>
    </xf>
    <xf numFmtId="0" fontId="21" fillId="0" borderId="0" xfId="0" applyFont="1" applyFill="1" applyBorder="1" applyAlignment="1" applyProtection="1"/>
    <xf numFmtId="0" fontId="18" fillId="0" borderId="0" xfId="0" applyFont="1" applyFill="1" applyBorder="1" applyAlignment="1" applyProtection="1"/>
    <xf numFmtId="0" fontId="9" fillId="0" borderId="4" xfId="0" applyFont="1" applyFill="1" applyBorder="1" applyAlignment="1" applyProtection="1">
      <alignment horizontal="center"/>
    </xf>
    <xf numFmtId="0" fontId="9" fillId="0" borderId="0" xfId="0" applyFont="1" applyFill="1" applyBorder="1" applyAlignment="1" applyProtection="1">
      <alignment horizontal="center"/>
    </xf>
    <xf numFmtId="0" fontId="21" fillId="0" borderId="23" xfId="0" applyFont="1" applyFill="1" applyBorder="1" applyAlignment="1" applyProtection="1"/>
    <xf numFmtId="0" fontId="8" fillId="0" borderId="23" xfId="0" applyFont="1" applyFill="1" applyBorder="1" applyAlignment="1" applyProtection="1"/>
    <xf numFmtId="0" fontId="46" fillId="0" borderId="23" xfId="1" applyFont="1" applyFill="1" applyBorder="1" applyAlignment="1" applyProtection="1">
      <alignment horizontal="left"/>
    </xf>
    <xf numFmtId="165" fontId="2" fillId="4" borderId="4" xfId="0" applyNumberFormat="1" applyFont="1" applyFill="1" applyBorder="1" applyAlignment="1" applyProtection="1">
      <alignment horizontal="center"/>
      <protection locked="0"/>
    </xf>
    <xf numFmtId="0" fontId="5" fillId="11" borderId="0" xfId="0" applyFont="1" applyFill="1" applyBorder="1" applyAlignment="1" applyProtection="1">
      <alignment horizontal="center"/>
    </xf>
    <xf numFmtId="9" fontId="65" fillId="11" borderId="0" xfId="3" applyFont="1" applyFill="1" applyBorder="1" applyAlignment="1" applyProtection="1">
      <alignment horizontal="left"/>
    </xf>
    <xf numFmtId="0" fontId="5" fillId="11" borderId="2" xfId="0" applyFont="1" applyFill="1" applyBorder="1" applyAlignment="1" applyProtection="1">
      <alignment horizontal="left"/>
    </xf>
    <xf numFmtId="0" fontId="5" fillId="11" borderId="0" xfId="0" applyFont="1" applyFill="1" applyAlignment="1" applyProtection="1">
      <alignment horizontal="left"/>
    </xf>
    <xf numFmtId="0" fontId="0" fillId="0" borderId="19" xfId="0" applyBorder="1" applyProtection="1"/>
    <xf numFmtId="0" fontId="0" fillId="0" borderId="20" xfId="0" applyBorder="1" applyProtection="1"/>
    <xf numFmtId="0" fontId="0" fillId="0" borderId="21" xfId="0" applyBorder="1" applyProtection="1"/>
    <xf numFmtId="0" fontId="0" fillId="0" borderId="22" xfId="0" applyBorder="1" applyProtection="1"/>
    <xf numFmtId="0" fontId="0" fillId="0" borderId="0" xfId="0" applyBorder="1" applyProtection="1"/>
    <xf numFmtId="0" fontId="0" fillId="0" borderId="23" xfId="0" applyBorder="1" applyProtection="1"/>
    <xf numFmtId="0" fontId="46" fillId="0" borderId="0" xfId="1" applyFont="1" applyFill="1" applyBorder="1" applyAlignment="1" applyProtection="1"/>
    <xf numFmtId="0" fontId="34" fillId="0" borderId="0" xfId="1" applyFill="1" applyBorder="1" applyAlignment="1" applyProtection="1">
      <alignment horizontal="center"/>
    </xf>
    <xf numFmtId="0" fontId="0" fillId="0" borderId="24" xfId="0" applyBorder="1" applyProtection="1"/>
    <xf numFmtId="0" fontId="0" fillId="0" borderId="25" xfId="0" applyBorder="1" applyProtection="1"/>
    <xf numFmtId="0" fontId="0" fillId="0" borderId="26" xfId="0" applyBorder="1" applyProtection="1"/>
    <xf numFmtId="0" fontId="47" fillId="11" borderId="0" xfId="0" applyFont="1" applyFill="1" applyBorder="1" applyAlignment="1" applyProtection="1">
      <alignment horizontal="left"/>
    </xf>
    <xf numFmtId="0" fontId="0" fillId="11" borderId="0" xfId="0" applyFill="1" applyBorder="1" applyAlignment="1" applyProtection="1">
      <alignment horizontal="left"/>
    </xf>
    <xf numFmtId="0" fontId="0" fillId="11" borderId="0" xfId="0" applyFill="1" applyBorder="1" applyAlignment="1" applyProtection="1">
      <alignment horizontal="center"/>
    </xf>
    <xf numFmtId="0" fontId="0" fillId="11" borderId="0" xfId="0" applyFill="1" applyProtection="1"/>
    <xf numFmtId="0" fontId="0" fillId="5" borderId="0" xfId="0" applyFill="1" applyProtection="1"/>
    <xf numFmtId="0" fontId="5" fillId="2" borderId="6" xfId="0" applyFont="1" applyFill="1" applyBorder="1" applyProtection="1"/>
    <xf numFmtId="0" fontId="5" fillId="2" borderId="7" xfId="0" applyFont="1" applyFill="1" applyBorder="1" applyProtection="1"/>
    <xf numFmtId="0" fontId="0" fillId="2" borderId="7" xfId="0" applyFill="1" applyBorder="1" applyProtection="1"/>
    <xf numFmtId="0" fontId="5" fillId="2" borderId="8" xfId="0" applyFont="1" applyFill="1" applyBorder="1" applyProtection="1"/>
    <xf numFmtId="0" fontId="5" fillId="2" borderId="2" xfId="0" applyFont="1" applyFill="1" applyBorder="1" applyProtection="1"/>
    <xf numFmtId="0" fontId="23" fillId="2" borderId="0" xfId="0" applyFont="1" applyFill="1" applyBorder="1" applyAlignment="1" applyProtection="1">
      <alignment horizontal="left"/>
    </xf>
    <xf numFmtId="0" fontId="23" fillId="2" borderId="0" xfId="0" applyFont="1" applyFill="1" applyBorder="1" applyAlignment="1" applyProtection="1">
      <alignment horizontal="center"/>
    </xf>
    <xf numFmtId="0" fontId="5" fillId="2" borderId="0" xfId="0" applyFont="1" applyFill="1" applyBorder="1" applyProtection="1"/>
    <xf numFmtId="0" fontId="5" fillId="2" borderId="3" xfId="0" applyFont="1" applyFill="1" applyBorder="1" applyProtection="1"/>
    <xf numFmtId="0" fontId="0" fillId="11" borderId="0" xfId="0" applyFill="1" applyBorder="1" applyProtection="1"/>
    <xf numFmtId="0" fontId="0" fillId="2" borderId="0" xfId="0" applyFill="1" applyBorder="1" applyProtection="1"/>
    <xf numFmtId="0" fontId="5" fillId="2" borderId="4" xfId="0" applyFont="1" applyFill="1" applyBorder="1" applyAlignment="1" applyProtection="1">
      <alignment horizontal="center"/>
    </xf>
    <xf numFmtId="0" fontId="7" fillId="2" borderId="0" xfId="0" applyFont="1" applyFill="1" applyBorder="1" applyAlignment="1" applyProtection="1">
      <alignment horizontal="left"/>
    </xf>
    <xf numFmtId="0" fontId="5" fillId="2" borderId="0" xfId="0" applyFont="1" applyFill="1" applyBorder="1" applyAlignment="1" applyProtection="1">
      <alignment horizontal="left"/>
    </xf>
    <xf numFmtId="0" fontId="0" fillId="11" borderId="0" xfId="0" applyFill="1" applyAlignment="1" applyProtection="1">
      <alignment horizontal="left"/>
    </xf>
    <xf numFmtId="0" fontId="22" fillId="11" borderId="0" xfId="0" applyFont="1" applyFill="1" applyBorder="1" applyAlignment="1" applyProtection="1">
      <alignment horizontal="left"/>
    </xf>
    <xf numFmtId="0" fontId="0" fillId="11" borderId="0" xfId="0" applyFill="1" applyAlignment="1" applyProtection="1">
      <alignment horizontal="center"/>
    </xf>
    <xf numFmtId="0" fontId="5" fillId="2" borderId="2" xfId="0" applyFont="1" applyFill="1" applyBorder="1" applyAlignment="1" applyProtection="1">
      <alignment horizontal="center"/>
    </xf>
    <xf numFmtId="0" fontId="4" fillId="2" borderId="0" xfId="0" applyFont="1" applyFill="1" applyBorder="1" applyAlignment="1" applyProtection="1">
      <alignment horizontal="left"/>
    </xf>
    <xf numFmtId="0" fontId="5" fillId="2" borderId="4" xfId="0" applyFont="1" applyFill="1" applyBorder="1" applyProtection="1"/>
    <xf numFmtId="0" fontId="22" fillId="2" borderId="0" xfId="0" applyFont="1" applyFill="1" applyBorder="1" applyAlignment="1" applyProtection="1">
      <alignment horizontal="center"/>
    </xf>
    <xf numFmtId="0" fontId="3" fillId="11" borderId="0" xfId="0" applyFont="1" applyFill="1" applyBorder="1" applyAlignment="1" applyProtection="1">
      <alignment horizontal="left"/>
    </xf>
    <xf numFmtId="0" fontId="0" fillId="2" borderId="0" xfId="0" applyFill="1" applyBorder="1" applyAlignment="1" applyProtection="1">
      <alignment horizontal="right"/>
    </xf>
    <xf numFmtId="0" fontId="4" fillId="11" borderId="0" xfId="0" applyFont="1" applyFill="1" applyProtection="1"/>
    <xf numFmtId="0" fontId="4" fillId="11" borderId="0" xfId="0" applyFont="1" applyFill="1" applyAlignment="1" applyProtection="1">
      <alignment horizontal="left"/>
    </xf>
    <xf numFmtId="0" fontId="0" fillId="2" borderId="4" xfId="0" applyFill="1" applyBorder="1" applyAlignment="1" applyProtection="1">
      <alignment horizontal="center"/>
    </xf>
    <xf numFmtId="0" fontId="3" fillId="11" borderId="0" xfId="0" applyFont="1" applyFill="1" applyBorder="1" applyAlignment="1" applyProtection="1">
      <alignment horizontal="center"/>
    </xf>
    <xf numFmtId="0" fontId="22" fillId="11" borderId="0" xfId="0" applyFont="1" applyFill="1" applyAlignment="1" applyProtection="1">
      <alignment horizontal="center"/>
    </xf>
    <xf numFmtId="0" fontId="24" fillId="2" borderId="2" xfId="0" applyFont="1" applyFill="1" applyBorder="1" applyProtection="1"/>
    <xf numFmtId="0" fontId="24" fillId="2" borderId="0" xfId="0" applyFont="1" applyFill="1" applyBorder="1" applyProtection="1"/>
    <xf numFmtId="0" fontId="24" fillId="2" borderId="0" xfId="0" applyFont="1" applyFill="1" applyBorder="1" applyAlignment="1" applyProtection="1">
      <alignment horizontal="center"/>
    </xf>
    <xf numFmtId="0" fontId="22" fillId="11" borderId="3" xfId="0" applyFont="1" applyFill="1" applyBorder="1" applyAlignment="1" applyProtection="1">
      <alignment horizontal="center"/>
    </xf>
    <xf numFmtId="0" fontId="0" fillId="11" borderId="3" xfId="0" applyFill="1" applyBorder="1" applyAlignment="1" applyProtection="1">
      <alignment horizontal="center"/>
    </xf>
    <xf numFmtId="0" fontId="25" fillId="2" borderId="2" xfId="0" applyFont="1" applyFill="1" applyBorder="1" applyAlignment="1" applyProtection="1">
      <alignment horizontal="left"/>
    </xf>
    <xf numFmtId="0" fontId="25" fillId="2" borderId="0" xfId="0" applyFont="1" applyFill="1" applyBorder="1" applyProtection="1"/>
    <xf numFmtId="0" fontId="22" fillId="11" borderId="1" xfId="0" applyFont="1" applyFill="1" applyBorder="1" applyAlignment="1" applyProtection="1">
      <alignment horizontal="center"/>
    </xf>
    <xf numFmtId="0" fontId="0" fillId="11" borderId="5" xfId="0" applyFill="1" applyBorder="1" applyAlignment="1" applyProtection="1">
      <alignment horizontal="center"/>
    </xf>
    <xf numFmtId="0" fontId="0" fillId="2" borderId="2" xfId="0" applyFill="1" applyBorder="1" applyAlignment="1" applyProtection="1">
      <alignment horizontal="center"/>
    </xf>
    <xf numFmtId="164" fontId="5" fillId="2" borderId="0" xfId="0" applyNumberFormat="1" applyFont="1" applyFill="1" applyBorder="1" applyAlignment="1" applyProtection="1">
      <alignment horizontal="center"/>
    </xf>
    <xf numFmtId="0" fontId="5" fillId="2" borderId="0" xfId="0" applyFont="1" applyFill="1" applyBorder="1" applyAlignment="1" applyProtection="1">
      <alignment horizontal="center"/>
    </xf>
    <xf numFmtId="0" fontId="7" fillId="11" borderId="0" xfId="0" applyFont="1" applyFill="1" applyAlignment="1" applyProtection="1">
      <alignment horizontal="left"/>
    </xf>
    <xf numFmtId="0" fontId="7" fillId="11" borderId="0" xfId="0" applyFont="1" applyFill="1" applyAlignment="1" applyProtection="1">
      <alignment horizontal="centerContinuous"/>
    </xf>
    <xf numFmtId="0" fontId="0" fillId="11" borderId="0" xfId="0" applyFill="1" applyAlignment="1" applyProtection="1">
      <alignment horizontal="centerContinuous"/>
    </xf>
    <xf numFmtId="0" fontId="0" fillId="2" borderId="0" xfId="0" applyFill="1" applyBorder="1" applyAlignment="1" applyProtection="1">
      <alignment horizontal="center"/>
    </xf>
    <xf numFmtId="0" fontId="12" fillId="11" borderId="0" xfId="0" applyFont="1" applyFill="1" applyBorder="1" applyAlignment="1" applyProtection="1">
      <alignment horizontal="left"/>
    </xf>
    <xf numFmtId="0" fontId="0" fillId="11" borderId="4" xfId="0" applyFill="1" applyBorder="1" applyAlignment="1" applyProtection="1">
      <alignment horizontal="center"/>
    </xf>
    <xf numFmtId="1" fontId="5" fillId="2" borderId="10" xfId="0" applyNumberFormat="1" applyFont="1" applyFill="1" applyBorder="1" applyAlignment="1" applyProtection="1">
      <alignment horizontal="center"/>
    </xf>
    <xf numFmtId="0" fontId="0" fillId="2" borderId="3" xfId="0" applyFill="1" applyBorder="1" applyAlignment="1" applyProtection="1">
      <alignment horizontal="center"/>
    </xf>
    <xf numFmtId="1" fontId="5" fillId="2" borderId="0" xfId="0" applyNumberFormat="1" applyFont="1" applyFill="1" applyBorder="1" applyAlignment="1" applyProtection="1">
      <alignment horizontal="center"/>
    </xf>
    <xf numFmtId="1" fontId="11" fillId="2" borderId="0" xfId="0" applyNumberFormat="1" applyFont="1" applyFill="1" applyBorder="1" applyAlignment="1" applyProtection="1">
      <alignment horizontal="center"/>
    </xf>
    <xf numFmtId="1" fontId="5" fillId="2" borderId="0" xfId="0" applyNumberFormat="1" applyFont="1" applyFill="1" applyBorder="1" applyProtection="1"/>
    <xf numFmtId="0" fontId="20" fillId="2" borderId="2" xfId="0" applyFont="1" applyFill="1" applyBorder="1" applyAlignment="1" applyProtection="1">
      <alignment horizontal="left"/>
    </xf>
    <xf numFmtId="0" fontId="27" fillId="2" borderId="0" xfId="0" applyFont="1" applyFill="1" applyBorder="1" applyAlignment="1" applyProtection="1">
      <alignment horizontal="left"/>
    </xf>
    <xf numFmtId="0" fontId="0" fillId="2" borderId="3" xfId="0" applyFill="1" applyBorder="1" applyProtection="1"/>
    <xf numFmtId="164" fontId="0" fillId="2" borderId="4" xfId="0" applyNumberFormat="1" applyFill="1" applyBorder="1" applyAlignment="1" applyProtection="1">
      <alignment horizontal="center"/>
    </xf>
    <xf numFmtId="164" fontId="0" fillId="2" borderId="0" xfId="0" applyNumberFormat="1" applyFill="1" applyBorder="1" applyAlignment="1" applyProtection="1">
      <alignment horizontal="center"/>
    </xf>
    <xf numFmtId="0" fontId="5" fillId="2" borderId="9" xfId="0" applyFont="1" applyFill="1" applyBorder="1" applyProtection="1"/>
    <xf numFmtId="0" fontId="5" fillId="2" borderId="1" xfId="0" applyFont="1" applyFill="1" applyBorder="1" applyProtection="1"/>
    <xf numFmtId="0" fontId="0" fillId="2" borderId="1" xfId="0" applyFill="1" applyBorder="1" applyProtection="1"/>
    <xf numFmtId="0" fontId="0" fillId="2" borderId="5" xfId="0" applyFill="1" applyBorder="1" applyAlignment="1" applyProtection="1">
      <alignment horizontal="center"/>
    </xf>
    <xf numFmtId="0" fontId="0" fillId="0" borderId="0" xfId="0" applyAlignment="1" applyProtection="1">
      <alignment horizontal="left"/>
    </xf>
    <xf numFmtId="0" fontId="0" fillId="2" borderId="4" xfId="0" quotePrefix="1" applyFill="1" applyBorder="1" applyAlignment="1" applyProtection="1">
      <alignment horizontal="center"/>
    </xf>
    <xf numFmtId="0" fontId="5" fillId="2" borderId="6" xfId="0" applyFont="1" applyFill="1" applyBorder="1" applyAlignment="1" applyProtection="1">
      <alignment horizontal="center"/>
    </xf>
    <xf numFmtId="0" fontId="4" fillId="2" borderId="7" xfId="0" applyFont="1" applyFill="1" applyBorder="1" applyAlignment="1" applyProtection="1">
      <alignment horizontal="center"/>
    </xf>
    <xf numFmtId="0" fontId="5" fillId="2" borderId="8" xfId="0" applyFont="1" applyFill="1" applyBorder="1" applyAlignment="1" applyProtection="1">
      <alignment horizontal="center"/>
    </xf>
    <xf numFmtId="0" fontId="7" fillId="11" borderId="0" xfId="0" applyFont="1" applyFill="1" applyBorder="1" applyAlignment="1" applyProtection="1">
      <alignment horizontal="left"/>
    </xf>
    <xf numFmtId="0" fontId="5" fillId="11" borderId="0" xfId="0" applyFont="1" applyFill="1" applyAlignment="1" applyProtection="1">
      <alignment horizontal="center"/>
    </xf>
    <xf numFmtId="0" fontId="8" fillId="11" borderId="0" xfId="0" applyFont="1" applyFill="1" applyBorder="1" applyAlignment="1" applyProtection="1">
      <alignment horizontal="center"/>
    </xf>
    <xf numFmtId="0" fontId="0" fillId="11" borderId="0" xfId="0" applyFont="1" applyFill="1" applyAlignment="1" applyProtection="1">
      <alignment horizontal="left"/>
    </xf>
    <xf numFmtId="0" fontId="0" fillId="11" borderId="0" xfId="0" applyFont="1" applyFill="1" applyAlignment="1" applyProtection="1">
      <alignment horizontal="center"/>
    </xf>
    <xf numFmtId="0" fontId="0" fillId="2" borderId="9" xfId="0" applyFill="1" applyBorder="1" applyAlignment="1" applyProtection="1">
      <alignment horizontal="center"/>
    </xf>
    <xf numFmtId="0" fontId="0" fillId="2" borderId="1" xfId="0" applyFill="1" applyBorder="1" applyAlignment="1" applyProtection="1">
      <alignment horizontal="center"/>
    </xf>
    <xf numFmtId="0" fontId="7" fillId="0" borderId="0" xfId="0" applyFont="1" applyFill="1" applyBorder="1" applyAlignment="1" applyProtection="1">
      <alignment horizontal="left"/>
    </xf>
    <xf numFmtId="0" fontId="3" fillId="11" borderId="0" xfId="0" applyFont="1" applyFill="1" applyAlignment="1" applyProtection="1">
      <alignment horizontal="left"/>
    </xf>
    <xf numFmtId="0" fontId="18" fillId="11" borderId="0" xfId="0" applyFont="1" applyFill="1" applyBorder="1" applyAlignment="1" applyProtection="1">
      <alignment horizontal="center"/>
    </xf>
    <xf numFmtId="0" fontId="0" fillId="11" borderId="0" xfId="0" applyFont="1" applyFill="1" applyAlignment="1" applyProtection="1">
      <alignment horizontal="right"/>
    </xf>
    <xf numFmtId="0" fontId="24" fillId="11" borderId="0" xfId="0" applyFont="1" applyFill="1" applyAlignment="1" applyProtection="1">
      <alignment horizontal="center"/>
    </xf>
    <xf numFmtId="0" fontId="3" fillId="11" borderId="0" xfId="0" applyFont="1" applyFill="1" applyAlignment="1" applyProtection="1">
      <alignment horizontal="center"/>
    </xf>
    <xf numFmtId="0" fontId="0" fillId="2" borderId="6" xfId="0" applyFill="1" applyBorder="1" applyProtection="1"/>
    <xf numFmtId="0" fontId="3" fillId="2" borderId="7" xfId="0" applyFont="1" applyFill="1" applyBorder="1" applyProtection="1"/>
    <xf numFmtId="0" fontId="0" fillId="2" borderId="8" xfId="0" applyFill="1" applyBorder="1" applyProtection="1"/>
    <xf numFmtId="0" fontId="0" fillId="2" borderId="4" xfId="0" applyFill="1" applyBorder="1" applyProtection="1"/>
    <xf numFmtId="0" fontId="0" fillId="11" borderId="0" xfId="0" applyFont="1" applyFill="1" applyProtection="1"/>
    <xf numFmtId="0" fontId="2" fillId="11" borderId="0" xfId="0" applyFont="1" applyFill="1" applyAlignment="1" applyProtection="1">
      <alignment horizontal="center"/>
    </xf>
    <xf numFmtId="0" fontId="28" fillId="11" borderId="0" xfId="0" applyFont="1" applyFill="1" applyAlignment="1" applyProtection="1">
      <alignment horizontal="center"/>
    </xf>
    <xf numFmtId="0" fontId="0" fillId="11" borderId="0" xfId="0" quotePrefix="1" applyFill="1" applyAlignment="1" applyProtection="1">
      <alignment horizontal="left"/>
    </xf>
    <xf numFmtId="0" fontId="0" fillId="11" borderId="0" xfId="0" applyFont="1" applyFill="1" applyBorder="1" applyAlignment="1" applyProtection="1">
      <alignment horizontal="center"/>
    </xf>
    <xf numFmtId="0" fontId="5" fillId="0" borderId="0" xfId="0" applyFont="1" applyFill="1" applyBorder="1" applyAlignment="1" applyProtection="1">
      <alignment horizontal="center"/>
    </xf>
    <xf numFmtId="0" fontId="22" fillId="0" borderId="0" xfId="0" applyFont="1" applyFill="1" applyBorder="1" applyAlignment="1" applyProtection="1">
      <alignment horizontal="center"/>
    </xf>
    <xf numFmtId="0" fontId="22" fillId="0" borderId="0" xfId="0" applyFont="1" applyBorder="1" applyAlignment="1" applyProtection="1">
      <alignment horizontal="center"/>
    </xf>
    <xf numFmtId="0" fontId="19" fillId="11" borderId="0" xfId="0" applyFont="1" applyFill="1" applyBorder="1" applyAlignment="1" applyProtection="1">
      <alignment horizontal="center"/>
    </xf>
    <xf numFmtId="0" fontId="11" fillId="0" borderId="0" xfId="0" applyFont="1" applyFill="1" applyBorder="1" applyAlignment="1" applyProtection="1">
      <alignment horizontal="center"/>
    </xf>
    <xf numFmtId="0" fontId="2" fillId="2" borderId="0" xfId="0" applyFont="1" applyFill="1" applyAlignment="1" applyProtection="1">
      <alignment horizontal="center"/>
    </xf>
    <xf numFmtId="0" fontId="3" fillId="0" borderId="0" xfId="0" applyFont="1" applyAlignment="1" applyProtection="1">
      <alignment horizontal="center"/>
    </xf>
    <xf numFmtId="0" fontId="28" fillId="0" borderId="0" xfId="0" applyFont="1" applyAlignment="1" applyProtection="1">
      <alignment horizontal="center"/>
    </xf>
    <xf numFmtId="0" fontId="12" fillId="11" borderId="0" xfId="0" applyFont="1" applyFill="1" applyAlignment="1" applyProtection="1">
      <alignment horizontal="left"/>
    </xf>
    <xf numFmtId="0" fontId="0" fillId="2" borderId="0" xfId="0" quotePrefix="1" applyFill="1" applyBorder="1" applyAlignment="1" applyProtection="1">
      <alignment horizontal="center"/>
    </xf>
    <xf numFmtId="0" fontId="0" fillId="11" borderId="0" xfId="0" applyFill="1" applyAlignment="1" applyProtection="1"/>
    <xf numFmtId="0" fontId="47" fillId="11" borderId="0" xfId="0" applyFont="1" applyFill="1" applyAlignment="1" applyProtection="1">
      <alignment horizontal="left"/>
    </xf>
    <xf numFmtId="0" fontId="0" fillId="5" borderId="0" xfId="0" applyFill="1" applyAlignment="1" applyProtection="1">
      <alignment horizontal="left"/>
    </xf>
    <xf numFmtId="0" fontId="0" fillId="11" borderId="1" xfId="0" applyFill="1" applyBorder="1" applyAlignment="1" applyProtection="1">
      <alignment horizontal="left"/>
    </xf>
    <xf numFmtId="0" fontId="0" fillId="11" borderId="1" xfId="0" applyFill="1" applyBorder="1" applyProtection="1"/>
    <xf numFmtId="0" fontId="3" fillId="11" borderId="0" xfId="0" applyFont="1" applyFill="1" applyAlignment="1" applyProtection="1">
      <alignment horizontal="centerContinuous"/>
    </xf>
    <xf numFmtId="0" fontId="2" fillId="11" borderId="0" xfId="0" applyFont="1" applyFill="1" applyAlignment="1" applyProtection="1">
      <alignment horizontal="centerContinuous"/>
    </xf>
    <xf numFmtId="0" fontId="2" fillId="11" borderId="0" xfId="0" quotePrefix="1" applyFont="1" applyFill="1" applyAlignment="1" applyProtection="1">
      <alignment horizontal="left"/>
    </xf>
    <xf numFmtId="0" fontId="0" fillId="0" borderId="4" xfId="0" applyBorder="1" applyAlignment="1" applyProtection="1">
      <alignment horizontal="center"/>
    </xf>
    <xf numFmtId="0" fontId="0" fillId="2" borderId="0" xfId="0" applyFill="1" applyAlignment="1" applyProtection="1">
      <alignment horizontal="left"/>
    </xf>
    <xf numFmtId="0" fontId="5" fillId="11" borderId="4" xfId="0" applyFont="1" applyFill="1" applyBorder="1" applyAlignment="1" applyProtection="1">
      <alignment horizontal="center"/>
    </xf>
    <xf numFmtId="0" fontId="0" fillId="5" borderId="0" xfId="0" applyFill="1" applyBorder="1" applyAlignment="1" applyProtection="1">
      <alignment horizontal="left"/>
    </xf>
    <xf numFmtId="0" fontId="4" fillId="2" borderId="0" xfId="0" applyFont="1" applyFill="1" applyAlignment="1" applyProtection="1">
      <alignment horizontal="center"/>
    </xf>
    <xf numFmtId="0" fontId="5" fillId="2" borderId="0" xfId="0" applyFont="1" applyFill="1" applyAlignment="1" applyProtection="1">
      <alignment horizontal="center"/>
    </xf>
    <xf numFmtId="0" fontId="0" fillId="6" borderId="0" xfId="0" applyFill="1" applyAlignment="1" applyProtection="1">
      <alignment horizontal="left"/>
    </xf>
    <xf numFmtId="2" fontId="0" fillId="0" borderId="0" xfId="0" applyNumberFormat="1" applyBorder="1" applyAlignment="1" applyProtection="1">
      <alignment horizontal="left"/>
    </xf>
    <xf numFmtId="0" fontId="0" fillId="2" borderId="0" xfId="0" quotePrefix="1" applyFill="1" applyAlignment="1" applyProtection="1">
      <alignment horizontal="center"/>
    </xf>
    <xf numFmtId="0" fontId="0" fillId="6" borderId="0" xfId="0" applyFill="1" applyBorder="1" applyAlignment="1" applyProtection="1">
      <alignment horizontal="left"/>
    </xf>
    <xf numFmtId="0" fontId="56" fillId="11" borderId="0" xfId="0" applyFont="1" applyFill="1" applyAlignment="1" applyProtection="1">
      <alignment horizontal="left"/>
    </xf>
    <xf numFmtId="0" fontId="55" fillId="11" borderId="0" xfId="0" applyFont="1" applyFill="1" applyAlignment="1" applyProtection="1">
      <alignment wrapText="1"/>
    </xf>
    <xf numFmtId="0" fontId="55" fillId="11" borderId="0" xfId="0" applyFont="1" applyFill="1" applyAlignment="1" applyProtection="1">
      <alignment horizontal="center" wrapText="1"/>
    </xf>
    <xf numFmtId="0" fontId="4" fillId="11" borderId="1" xfId="0" applyFont="1" applyFill="1" applyBorder="1" applyAlignment="1" applyProtection="1"/>
    <xf numFmtId="0" fontId="4" fillId="11" borderId="0" xfId="0" applyFont="1" applyFill="1" applyBorder="1" applyAlignment="1" applyProtection="1"/>
    <xf numFmtId="0" fontId="57" fillId="11" borderId="0" xfId="0" applyFont="1" applyFill="1" applyAlignment="1" applyProtection="1">
      <alignment horizontal="center"/>
    </xf>
    <xf numFmtId="0" fontId="0" fillId="11" borderId="16" xfId="0" applyFill="1" applyBorder="1" applyAlignment="1" applyProtection="1">
      <alignment horizontal="center"/>
    </xf>
    <xf numFmtId="0" fontId="0" fillId="11" borderId="2" xfId="0" applyFill="1" applyBorder="1" applyAlignment="1" applyProtection="1">
      <alignment horizontal="left"/>
    </xf>
    <xf numFmtId="0" fontId="31" fillId="11" borderId="0" xfId="0" applyFont="1" applyFill="1" applyAlignment="1" applyProtection="1">
      <alignment horizontal="right"/>
    </xf>
    <xf numFmtId="0" fontId="6" fillId="0" borderId="0" xfId="0" applyFont="1" applyAlignment="1" applyProtection="1">
      <alignment horizontal="center"/>
    </xf>
    <xf numFmtId="0" fontId="0" fillId="0" borderId="0" xfId="0" applyAlignment="1" applyProtection="1"/>
    <xf numFmtId="0" fontId="0" fillId="0" borderId="1" xfId="0" applyBorder="1" applyAlignment="1" applyProtection="1">
      <alignment horizontal="center"/>
    </xf>
    <xf numFmtId="0" fontId="0" fillId="11" borderId="2" xfId="0" applyFill="1" applyBorder="1" applyProtection="1"/>
    <xf numFmtId="0" fontId="50" fillId="11" borderId="0" xfId="0" applyFont="1" applyFill="1" applyAlignment="1" applyProtection="1">
      <alignment horizontal="right"/>
    </xf>
    <xf numFmtId="0" fontId="0" fillId="11" borderId="1" xfId="0" applyFill="1" applyBorder="1" applyAlignment="1" applyProtection="1">
      <alignment horizontal="center"/>
    </xf>
    <xf numFmtId="0" fontId="0" fillId="5" borderId="0" xfId="0" applyFill="1" applyBorder="1" applyProtection="1"/>
    <xf numFmtId="0" fontId="0" fillId="7" borderId="0" xfId="0" applyFill="1"/>
    <xf numFmtId="0" fontId="6" fillId="7" borderId="0" xfId="0" applyFont="1" applyFill="1" applyBorder="1" applyAlignment="1">
      <alignment horizontal="left"/>
    </xf>
    <xf numFmtId="0" fontId="0" fillId="7" borderId="0" xfId="0" applyFill="1" applyAlignment="1">
      <alignment horizontal="left"/>
    </xf>
    <xf numFmtId="0" fontId="6" fillId="7" borderId="0" xfId="0" applyFont="1" applyFill="1" applyAlignment="1">
      <alignment horizontal="left"/>
    </xf>
    <xf numFmtId="0" fontId="47" fillId="7" borderId="0" xfId="0" applyFont="1" applyFill="1" applyAlignment="1">
      <alignment horizontal="left"/>
    </xf>
    <xf numFmtId="0" fontId="0" fillId="7" borderId="0" xfId="0" applyFill="1" applyBorder="1" applyAlignment="1">
      <alignment horizontal="left"/>
    </xf>
    <xf numFmtId="0" fontId="0" fillId="7" borderId="0" xfId="0" applyFill="1" applyBorder="1" applyAlignment="1">
      <alignment horizontal="center"/>
    </xf>
    <xf numFmtId="0" fontId="0" fillId="7" borderId="0" xfId="0" applyFill="1" applyBorder="1"/>
    <xf numFmtId="0" fontId="3" fillId="7" borderId="0" xfId="0" applyFont="1" applyFill="1" applyBorder="1" applyAlignment="1">
      <alignment horizontal="left"/>
    </xf>
    <xf numFmtId="0" fontId="0" fillId="7" borderId="0" xfId="0" applyFill="1" applyBorder="1" applyAlignment="1">
      <alignment horizontal="right"/>
    </xf>
    <xf numFmtId="0" fontId="0" fillId="7" borderId="4" xfId="0" quotePrefix="1" applyFill="1" applyBorder="1" applyAlignment="1">
      <alignment horizontal="center"/>
    </xf>
    <xf numFmtId="0" fontId="12" fillId="7" borderId="0" xfId="0" applyFont="1" applyFill="1" applyAlignment="1">
      <alignment horizontal="right"/>
    </xf>
    <xf numFmtId="0" fontId="0" fillId="7" borderId="0" xfId="0" applyFill="1" applyAlignment="1"/>
    <xf numFmtId="0" fontId="0" fillId="7" borderId="12" xfId="0" applyFill="1" applyBorder="1" applyAlignment="1">
      <alignment horizontal="center"/>
    </xf>
    <xf numFmtId="0" fontId="1" fillId="7" borderId="0" xfId="0" applyFont="1" applyFill="1" applyBorder="1" applyAlignment="1">
      <alignment horizontal="left"/>
    </xf>
    <xf numFmtId="0" fontId="1" fillId="7" borderId="0" xfId="0" applyFont="1" applyFill="1" applyBorder="1"/>
    <xf numFmtId="0" fontId="16" fillId="7" borderId="0" xfId="0" applyFont="1" applyFill="1"/>
    <xf numFmtId="0" fontId="1" fillId="7" borderId="0" xfId="0" applyFont="1" applyFill="1" applyBorder="1" applyAlignment="1">
      <alignment horizontal="center"/>
    </xf>
    <xf numFmtId="0" fontId="3" fillId="7" borderId="0" xfId="0" applyFont="1" applyFill="1"/>
    <xf numFmtId="0" fontId="3" fillId="7" borderId="0" xfId="0" applyFont="1" applyFill="1" applyAlignment="1">
      <alignment horizontal="center"/>
    </xf>
    <xf numFmtId="0" fontId="0" fillId="7" borderId="0" xfId="0" quotePrefix="1" applyFill="1" applyBorder="1" applyAlignment="1">
      <alignment horizontal="left"/>
    </xf>
    <xf numFmtId="0" fontId="9" fillId="7" borderId="0" xfId="0" applyFont="1" applyFill="1" applyBorder="1" applyAlignment="1">
      <alignment horizontal="left"/>
    </xf>
    <xf numFmtId="2" fontId="0" fillId="7" borderId="4" xfId="0" quotePrefix="1" applyNumberFormat="1" applyFill="1" applyBorder="1" applyAlignment="1"/>
    <xf numFmtId="2" fontId="0" fillId="7" borderId="0" xfId="0" applyNumberFormat="1" applyFill="1" applyBorder="1" applyAlignment="1"/>
    <xf numFmtId="0" fontId="1" fillId="7" borderId="0" xfId="0" applyFont="1" applyFill="1" applyAlignment="1">
      <alignment horizontal="left"/>
    </xf>
    <xf numFmtId="0" fontId="9" fillId="7" borderId="0" xfId="0" applyFont="1" applyFill="1" applyAlignment="1">
      <alignment horizontal="left"/>
    </xf>
    <xf numFmtId="2" fontId="0" fillId="7" borderId="0" xfId="0" applyNumberFormat="1" applyFill="1" applyAlignment="1">
      <alignment horizontal="left"/>
    </xf>
    <xf numFmtId="0" fontId="50" fillId="7" borderId="0" xfId="0" applyFont="1" applyFill="1" applyAlignment="1">
      <alignment horizontal="right"/>
    </xf>
    <xf numFmtId="2" fontId="0" fillId="7" borderId="4" xfId="0" applyNumberFormat="1" applyFill="1" applyBorder="1" applyAlignment="1">
      <alignment horizontal="center"/>
    </xf>
    <xf numFmtId="0" fontId="33" fillId="0" borderId="4" xfId="0" quotePrefix="1" applyFont="1" applyFill="1" applyBorder="1" applyAlignment="1" applyProtection="1">
      <alignment horizontal="center"/>
    </xf>
    <xf numFmtId="0" fontId="76" fillId="8" borderId="0" xfId="0" applyFont="1" applyFill="1" applyProtection="1"/>
    <xf numFmtId="0" fontId="6" fillId="0" borderId="1" xfId="0" applyFont="1" applyFill="1" applyBorder="1" applyAlignment="1" applyProtection="1">
      <alignment horizontal="center"/>
    </xf>
    <xf numFmtId="49" fontId="0" fillId="4" borderId="1" xfId="0" applyNumberFormat="1" applyFill="1" applyBorder="1" applyAlignment="1" applyProtection="1">
      <alignment horizontal="left"/>
      <protection locked="0"/>
    </xf>
    <xf numFmtId="2" fontId="67" fillId="0" borderId="6" xfId="0" applyNumberFormat="1" applyFont="1" applyFill="1" applyBorder="1" applyAlignment="1" applyProtection="1">
      <alignment horizontal="center" vertical="center"/>
    </xf>
    <xf numFmtId="2" fontId="67" fillId="0" borderId="8" xfId="0" applyNumberFormat="1" applyFont="1" applyFill="1" applyBorder="1" applyAlignment="1" applyProtection="1">
      <alignment horizontal="center" vertical="center"/>
    </xf>
    <xf numFmtId="2" fontId="67" fillId="0" borderId="9" xfId="0" applyNumberFormat="1" applyFont="1" applyFill="1" applyBorder="1" applyAlignment="1" applyProtection="1">
      <alignment horizontal="center" vertical="center"/>
    </xf>
    <xf numFmtId="2" fontId="67" fillId="0" borderId="5" xfId="0" applyNumberFormat="1" applyFont="1" applyFill="1" applyBorder="1" applyAlignment="1" applyProtection="1">
      <alignment horizontal="center" vertical="center"/>
    </xf>
    <xf numFmtId="0" fontId="0" fillId="0" borderId="0" xfId="0" applyFill="1" applyAlignment="1" applyProtection="1">
      <alignment horizontal="center" vertical="center"/>
    </xf>
    <xf numFmtId="0" fontId="0" fillId="0" borderId="3" xfId="0" applyFill="1" applyBorder="1" applyAlignment="1" applyProtection="1">
      <alignment horizontal="center" vertical="center"/>
    </xf>
    <xf numFmtId="0" fontId="59" fillId="10" borderId="0" xfId="0" applyFont="1" applyFill="1" applyAlignment="1" applyProtection="1">
      <alignment horizontal="center" vertical="center" wrapText="1"/>
    </xf>
    <xf numFmtId="0" fontId="10" fillId="10" borderId="0" xfId="0" applyFont="1" applyFill="1" applyAlignment="1" applyProtection="1">
      <alignment horizontal="center" vertical="center" wrapText="1"/>
    </xf>
    <xf numFmtId="0" fontId="8" fillId="10" borderId="0" xfId="0" applyFont="1" applyFill="1" applyBorder="1" applyAlignment="1" applyProtection="1">
      <alignment horizontal="center"/>
    </xf>
    <xf numFmtId="0" fontId="20" fillId="0" borderId="1" xfId="0" applyFont="1" applyFill="1" applyBorder="1" applyAlignment="1" applyProtection="1">
      <alignment horizontal="center"/>
    </xf>
    <xf numFmtId="0" fontId="52" fillId="0" borderId="1" xfId="0" applyFont="1" applyFill="1" applyBorder="1" applyAlignment="1" applyProtection="1">
      <alignment horizontal="center"/>
    </xf>
    <xf numFmtId="0" fontId="66" fillId="0" borderId="0" xfId="1" applyFont="1" applyBorder="1" applyAlignment="1" applyProtection="1">
      <alignment horizontal="center"/>
    </xf>
    <xf numFmtId="0" fontId="47" fillId="0" borderId="0" xfId="1" applyFont="1" applyFill="1" applyBorder="1" applyAlignment="1" applyProtection="1">
      <alignment horizontal="left"/>
    </xf>
    <xf numFmtId="0" fontId="1" fillId="0" borderId="0" xfId="0" applyFont="1" applyBorder="1" applyProtection="1"/>
    <xf numFmtId="0" fontId="74" fillId="0" borderId="0" xfId="0" applyFont="1" applyBorder="1" applyAlignment="1" applyProtection="1">
      <alignment horizontal="center" wrapText="1"/>
    </xf>
    <xf numFmtId="0" fontId="66" fillId="0" borderId="0" xfId="1" applyFont="1" applyFill="1" applyBorder="1" applyAlignment="1" applyProtection="1">
      <alignment horizontal="left"/>
      <protection locked="0"/>
    </xf>
    <xf numFmtId="0" fontId="66" fillId="0" borderId="23" xfId="1" applyFont="1" applyFill="1" applyBorder="1" applyAlignment="1" applyProtection="1">
      <alignment horizontal="left"/>
      <protection locked="0"/>
    </xf>
    <xf numFmtId="0" fontId="69" fillId="0" borderId="20" xfId="1" applyFont="1" applyFill="1" applyBorder="1" applyAlignment="1" applyProtection="1">
      <alignment horizontal="center" vertical="center" wrapText="1"/>
      <protection locked="0"/>
    </xf>
    <xf numFmtId="0" fontId="69" fillId="0" borderId="0" xfId="1" applyFont="1" applyFill="1" applyBorder="1" applyAlignment="1" applyProtection="1">
      <alignment horizontal="center" vertical="center" wrapText="1"/>
      <protection locked="0"/>
    </xf>
    <xf numFmtId="0" fontId="75" fillId="0" borderId="0" xfId="1" applyFont="1" applyFill="1" applyBorder="1" applyAlignment="1" applyProtection="1">
      <alignment horizontal="center"/>
    </xf>
    <xf numFmtId="0" fontId="75" fillId="0" borderId="3" xfId="1" applyFont="1" applyFill="1" applyBorder="1" applyAlignment="1" applyProtection="1">
      <alignment horizontal="center"/>
    </xf>
    <xf numFmtId="0" fontId="70" fillId="0" borderId="20" xfId="1" applyFont="1" applyFill="1" applyBorder="1" applyAlignment="1" applyProtection="1">
      <alignment horizontal="center" vertical="center" wrapText="1"/>
      <protection locked="0"/>
    </xf>
    <xf numFmtId="0" fontId="70" fillId="0" borderId="0" xfId="1" applyFont="1" applyFill="1" applyBorder="1" applyAlignment="1" applyProtection="1">
      <alignment horizontal="center" vertical="center" wrapText="1"/>
      <protection locked="0"/>
    </xf>
    <xf numFmtId="0" fontId="0" fillId="7" borderId="0" xfId="0" applyFill="1" applyAlignment="1" applyProtection="1">
      <alignment horizontal="center"/>
      <protection locked="0"/>
    </xf>
    <xf numFmtId="0" fontId="68" fillId="7" borderId="0" xfId="0" applyFont="1" applyFill="1" applyBorder="1" applyAlignment="1">
      <alignment horizontal="center" vertical="center"/>
    </xf>
    <xf numFmtId="0" fontId="68" fillId="7" borderId="0" xfId="0" quotePrefix="1" applyFont="1" applyFill="1" applyBorder="1" applyAlignment="1">
      <alignment horizontal="right" vertical="center"/>
    </xf>
    <xf numFmtId="0" fontId="68" fillId="7" borderId="0" xfId="0" applyFont="1" applyFill="1" applyBorder="1" applyAlignment="1">
      <alignment horizontal="right" vertical="center"/>
    </xf>
    <xf numFmtId="0" fontId="10" fillId="7" borderId="0" xfId="0" applyFont="1" applyFill="1" applyBorder="1" applyAlignment="1">
      <alignment horizontal="center"/>
    </xf>
    <xf numFmtId="0" fontId="0" fillId="8" borderId="0" xfId="0" applyFill="1" applyAlignment="1" applyProtection="1">
      <alignment horizontal="center"/>
    </xf>
    <xf numFmtId="0" fontId="0" fillId="0" borderId="1" xfId="0" applyFill="1" applyBorder="1" applyAlignment="1" applyProtection="1">
      <alignment horizontal="center"/>
    </xf>
    <xf numFmtId="0" fontId="6" fillId="0" borderId="22" xfId="0" applyFont="1" applyFill="1" applyBorder="1" applyAlignment="1" applyProtection="1">
      <alignment horizontal="center" textRotation="90"/>
    </xf>
    <xf numFmtId="0" fontId="8" fillId="2" borderId="0" xfId="0" applyFont="1" applyFill="1" applyBorder="1" applyAlignment="1" applyProtection="1">
      <alignment horizontal="center"/>
    </xf>
    <xf numFmtId="0" fontId="8" fillId="2" borderId="0" xfId="0" applyFont="1" applyFill="1" applyAlignment="1" applyProtection="1"/>
    <xf numFmtId="0" fontId="54" fillId="11" borderId="0" xfId="0" applyFont="1" applyFill="1" applyAlignment="1" applyProtection="1">
      <alignment horizontal="center" wrapText="1"/>
    </xf>
    <xf numFmtId="0" fontId="5" fillId="11" borderId="0" xfId="0" applyFont="1" applyFill="1" applyAlignment="1" applyProtection="1">
      <alignment horizontal="left" wrapText="1"/>
    </xf>
    <xf numFmtId="0" fontId="0" fillId="2" borderId="0" xfId="0" applyFill="1" applyAlignment="1" applyProtection="1"/>
    <xf numFmtId="0" fontId="6" fillId="0" borderId="0" xfId="0" applyFont="1" applyAlignment="1" applyProtection="1">
      <alignment horizontal="center"/>
    </xf>
    <xf numFmtId="0" fontId="49" fillId="0" borderId="0" xfId="2" applyFont="1" applyAlignment="1" applyProtection="1">
      <alignment horizontal="center"/>
      <protection locked="0"/>
    </xf>
    <xf numFmtId="0" fontId="36" fillId="0" borderId="0" xfId="0" applyFont="1" applyAlignment="1">
      <alignment horizontal="center"/>
    </xf>
    <xf numFmtId="0" fontId="38" fillId="0" borderId="0" xfId="0" applyFont="1" applyAlignment="1">
      <alignment horizontal="center"/>
    </xf>
    <xf numFmtId="0" fontId="37" fillId="4" borderId="1" xfId="0" applyFont="1" applyFill="1" applyBorder="1" applyAlignment="1" applyProtection="1">
      <alignment horizontal="left"/>
      <protection locked="0"/>
    </xf>
    <xf numFmtId="0" fontId="37" fillId="0" borderId="7" xfId="0" applyFont="1" applyBorder="1" applyAlignment="1">
      <alignment horizontal="center"/>
    </xf>
    <xf numFmtId="0" fontId="37" fillId="0" borderId="0" xfId="0" applyFont="1" applyAlignment="1">
      <alignment horizontal="center"/>
    </xf>
    <xf numFmtId="0" fontId="37" fillId="4" borderId="18" xfId="0" applyFont="1" applyFill="1" applyBorder="1" applyAlignment="1" applyProtection="1">
      <alignment horizontal="center"/>
      <protection locked="0"/>
    </xf>
    <xf numFmtId="0" fontId="37" fillId="4" borderId="1" xfId="0" applyFont="1" applyFill="1" applyBorder="1" applyAlignment="1" applyProtection="1">
      <alignment horizontal="center"/>
      <protection locked="0"/>
    </xf>
    <xf numFmtId="0" fontId="37" fillId="4" borderId="1" xfId="0" applyFont="1" applyFill="1" applyBorder="1" applyAlignment="1" applyProtection="1">
      <protection locked="0"/>
    </xf>
  </cellXfs>
  <cellStyles count="4">
    <cellStyle name="Hyperlink" xfId="1" builtinId="8"/>
    <cellStyle name="Normal" xfId="0" builtinId="0"/>
    <cellStyle name="Normal_PS Rehab Bridge sheet" xfId="2" xr:uid="{00000000-0005-0000-0000-000002000000}"/>
    <cellStyle name="Percent" xfId="3" builtinId="5"/>
  </cellStyles>
  <dxfs count="9">
    <dxf>
      <font>
        <condense val="0"/>
        <extend val="0"/>
        <color indexed="9"/>
      </font>
    </dxf>
    <dxf>
      <font>
        <condense val="0"/>
        <extend val="0"/>
        <color indexed="9"/>
      </font>
    </dxf>
    <dxf>
      <font>
        <condense val="0"/>
        <extend val="0"/>
        <color indexed="9"/>
      </font>
    </dxf>
    <dxf>
      <font>
        <condense val="0"/>
        <extend val="0"/>
        <color indexed="9"/>
      </font>
    </dxf>
    <dxf>
      <font>
        <b/>
        <i val="0"/>
      </font>
      <border>
        <left style="thin">
          <color rgb="FF7030A0"/>
        </left>
        <right style="thin">
          <color rgb="FF7030A0"/>
        </right>
        <top style="thin">
          <color rgb="FF7030A0"/>
        </top>
        <bottom style="thin">
          <color rgb="FF7030A0"/>
        </bottom>
        <vertical/>
        <horizontal/>
      </border>
    </dxf>
    <dxf>
      <font>
        <b/>
        <i val="0"/>
        <strike val="0"/>
        <color rgb="FF7030A0"/>
      </font>
      <border>
        <left style="thin">
          <color rgb="FF7030A0"/>
        </left>
        <right style="thin">
          <color rgb="FF7030A0"/>
        </right>
        <top style="thin">
          <color rgb="FF7030A0"/>
        </top>
        <bottom style="thin">
          <color rgb="FF7030A0"/>
        </bottom>
        <vertical/>
        <horizontal/>
      </border>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20</xdr:col>
      <xdr:colOff>104775</xdr:colOff>
      <xdr:row>34</xdr:row>
      <xdr:rowOff>142875</xdr:rowOff>
    </xdr:from>
    <xdr:to>
      <xdr:col>22</xdr:col>
      <xdr:colOff>409575</xdr:colOff>
      <xdr:row>41</xdr:row>
      <xdr:rowOff>0</xdr:rowOff>
    </xdr:to>
    <xdr:sp macro="" textlink="">
      <xdr:nvSpPr>
        <xdr:cNvPr id="11410" name="Rectangle 12">
          <a:extLst>
            <a:ext uri="{FF2B5EF4-FFF2-40B4-BE49-F238E27FC236}">
              <a16:creationId xmlns:a16="http://schemas.microsoft.com/office/drawing/2014/main" id="{00000000-0008-0000-0000-0000922C0000}"/>
            </a:ext>
          </a:extLst>
        </xdr:cNvPr>
        <xdr:cNvSpPr>
          <a:spLocks noChangeArrowheads="1"/>
        </xdr:cNvSpPr>
      </xdr:nvSpPr>
      <xdr:spPr bwMode="auto">
        <a:xfrm>
          <a:off x="18478500" y="5162550"/>
          <a:ext cx="1524000" cy="828675"/>
        </a:xfrm>
        <a:prstGeom prst="rect">
          <a:avLst/>
        </a:prstGeom>
        <a:noFill/>
        <a:ln w="9525">
          <a:solidFill>
            <a:srgbClr val="00FF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285749</xdr:colOff>
      <xdr:row>4</xdr:row>
      <xdr:rowOff>38105</xdr:rowOff>
    </xdr:from>
    <xdr:to>
      <xdr:col>12</xdr:col>
      <xdr:colOff>142874</xdr:colOff>
      <xdr:row>6</xdr:row>
      <xdr:rowOff>47627</xdr:rowOff>
    </xdr:to>
    <xdr:sp macro="" textlink="">
      <xdr:nvSpPr>
        <xdr:cNvPr id="2" name="Bent Arrow 1">
          <a:extLst>
            <a:ext uri="{FF2B5EF4-FFF2-40B4-BE49-F238E27FC236}">
              <a16:creationId xmlns:a16="http://schemas.microsoft.com/office/drawing/2014/main" id="{00000000-0008-0000-0200-000002000000}"/>
            </a:ext>
          </a:extLst>
        </xdr:cNvPr>
        <xdr:cNvSpPr/>
      </xdr:nvSpPr>
      <xdr:spPr bwMode="auto">
        <a:xfrm rot="5400000">
          <a:off x="5962651" y="676278"/>
          <a:ext cx="333372" cy="371475"/>
        </a:xfrm>
        <a:prstGeom prst="ben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5</xdr:col>
      <xdr:colOff>85724</xdr:colOff>
      <xdr:row>5</xdr:row>
      <xdr:rowOff>95250</xdr:rowOff>
    </xdr:from>
    <xdr:to>
      <xdr:col>6</xdr:col>
      <xdr:colOff>9523</xdr:colOff>
      <xdr:row>6</xdr:row>
      <xdr:rowOff>219075</xdr:rowOff>
    </xdr:to>
    <xdr:sp macro="" textlink="">
      <xdr:nvSpPr>
        <xdr:cNvPr id="3" name="Bent Arrow 2">
          <a:extLst>
            <a:ext uri="{FF2B5EF4-FFF2-40B4-BE49-F238E27FC236}">
              <a16:creationId xmlns:a16="http://schemas.microsoft.com/office/drawing/2014/main" id="{00000000-0008-0000-0200-000003000000}"/>
            </a:ext>
          </a:extLst>
        </xdr:cNvPr>
        <xdr:cNvSpPr/>
      </xdr:nvSpPr>
      <xdr:spPr bwMode="auto">
        <a:xfrm rot="10800000">
          <a:off x="2657474" y="914400"/>
          <a:ext cx="438149" cy="285750"/>
        </a:xfrm>
        <a:prstGeom prst="ben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5</xdr:col>
      <xdr:colOff>0</xdr:colOff>
      <xdr:row>33</xdr:row>
      <xdr:rowOff>66675</xdr:rowOff>
    </xdr:from>
    <xdr:to>
      <xdr:col>5</xdr:col>
      <xdr:colOff>0</xdr:colOff>
      <xdr:row>35</xdr:row>
      <xdr:rowOff>104775</xdr:rowOff>
    </xdr:to>
    <xdr:sp macro="" textlink="">
      <xdr:nvSpPr>
        <xdr:cNvPr id="4" name="Line 15">
          <a:extLst>
            <a:ext uri="{FF2B5EF4-FFF2-40B4-BE49-F238E27FC236}">
              <a16:creationId xmlns:a16="http://schemas.microsoft.com/office/drawing/2014/main" id="{00000000-0008-0000-0200-000004000000}"/>
            </a:ext>
          </a:extLst>
        </xdr:cNvPr>
        <xdr:cNvSpPr>
          <a:spLocks noChangeShapeType="1"/>
        </xdr:cNvSpPr>
      </xdr:nvSpPr>
      <xdr:spPr bwMode="auto">
        <a:xfrm flipV="1">
          <a:off x="1724025" y="10944225"/>
          <a:ext cx="0"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38</xdr:row>
      <xdr:rowOff>28575</xdr:rowOff>
    </xdr:from>
    <xdr:to>
      <xdr:col>5</xdr:col>
      <xdr:colOff>0</xdr:colOff>
      <xdr:row>39</xdr:row>
      <xdr:rowOff>66675</xdr:rowOff>
    </xdr:to>
    <xdr:sp macro="" textlink="">
      <xdr:nvSpPr>
        <xdr:cNvPr id="5" name="Line 16">
          <a:extLst>
            <a:ext uri="{FF2B5EF4-FFF2-40B4-BE49-F238E27FC236}">
              <a16:creationId xmlns:a16="http://schemas.microsoft.com/office/drawing/2014/main" id="{00000000-0008-0000-0200-000005000000}"/>
            </a:ext>
          </a:extLst>
        </xdr:cNvPr>
        <xdr:cNvSpPr>
          <a:spLocks noChangeShapeType="1"/>
        </xdr:cNvSpPr>
      </xdr:nvSpPr>
      <xdr:spPr bwMode="auto">
        <a:xfrm>
          <a:off x="1724025" y="11620500"/>
          <a:ext cx="0" cy="180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7</xdr:col>
          <xdr:colOff>381000</xdr:colOff>
          <xdr:row>28</xdr:row>
          <xdr:rowOff>38100</xdr:rowOff>
        </xdr:from>
        <xdr:to>
          <xdr:col>8</xdr:col>
          <xdr:colOff>76200</xdr:colOff>
          <xdr:row>29</xdr:row>
          <xdr:rowOff>76200</xdr:rowOff>
        </xdr:to>
        <xdr:sp macro="" textlink="">
          <xdr:nvSpPr>
            <xdr:cNvPr id="18433" name="Picture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276225</xdr:colOff>
      <xdr:row>10</xdr:row>
      <xdr:rowOff>38100</xdr:rowOff>
    </xdr:from>
    <xdr:to>
      <xdr:col>7</xdr:col>
      <xdr:colOff>276225</xdr:colOff>
      <xdr:row>11</xdr:row>
      <xdr:rowOff>9525</xdr:rowOff>
    </xdr:to>
    <xdr:sp macro="" textlink="">
      <xdr:nvSpPr>
        <xdr:cNvPr id="2" name="Line 71">
          <a:extLst>
            <a:ext uri="{FF2B5EF4-FFF2-40B4-BE49-F238E27FC236}">
              <a16:creationId xmlns:a16="http://schemas.microsoft.com/office/drawing/2014/main" id="{00000000-0008-0000-0300-000002000000}"/>
            </a:ext>
          </a:extLst>
        </xdr:cNvPr>
        <xdr:cNvSpPr>
          <a:spLocks noChangeShapeType="1"/>
        </xdr:cNvSpPr>
      </xdr:nvSpPr>
      <xdr:spPr bwMode="auto">
        <a:xfrm>
          <a:off x="3143250" y="5867400"/>
          <a:ext cx="0"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10</xdr:row>
      <xdr:rowOff>9525</xdr:rowOff>
    </xdr:from>
    <xdr:to>
      <xdr:col>2</xdr:col>
      <xdr:colOff>495300</xdr:colOff>
      <xdr:row>11</xdr:row>
      <xdr:rowOff>57150</xdr:rowOff>
    </xdr:to>
    <xdr:sp macro="" textlink="">
      <xdr:nvSpPr>
        <xdr:cNvPr id="3" name="Line 72">
          <a:extLst>
            <a:ext uri="{FF2B5EF4-FFF2-40B4-BE49-F238E27FC236}">
              <a16:creationId xmlns:a16="http://schemas.microsoft.com/office/drawing/2014/main" id="{00000000-0008-0000-0300-000003000000}"/>
            </a:ext>
          </a:extLst>
        </xdr:cNvPr>
        <xdr:cNvSpPr>
          <a:spLocks noChangeShapeType="1"/>
        </xdr:cNvSpPr>
      </xdr:nvSpPr>
      <xdr:spPr bwMode="auto">
        <a:xfrm flipH="1">
          <a:off x="1038225" y="5838825"/>
          <a:ext cx="9525" cy="2095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276225</xdr:colOff>
      <xdr:row>8</xdr:row>
      <xdr:rowOff>38100</xdr:rowOff>
    </xdr:from>
    <xdr:to>
      <xdr:col>8</xdr:col>
      <xdr:colOff>276225</xdr:colOff>
      <xdr:row>9</xdr:row>
      <xdr:rowOff>9525</xdr:rowOff>
    </xdr:to>
    <xdr:sp macro="" textlink="">
      <xdr:nvSpPr>
        <xdr:cNvPr id="4" name="Line 71">
          <a:extLst>
            <a:ext uri="{FF2B5EF4-FFF2-40B4-BE49-F238E27FC236}">
              <a16:creationId xmlns:a16="http://schemas.microsoft.com/office/drawing/2014/main" id="{00000000-0008-0000-0300-000004000000}"/>
            </a:ext>
          </a:extLst>
        </xdr:cNvPr>
        <xdr:cNvSpPr>
          <a:spLocks noChangeShapeType="1"/>
        </xdr:cNvSpPr>
      </xdr:nvSpPr>
      <xdr:spPr bwMode="auto">
        <a:xfrm>
          <a:off x="3143250" y="5867400"/>
          <a:ext cx="0"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5"/>
  </sheetPr>
  <dimension ref="A1:DS175"/>
  <sheetViews>
    <sheetView showGridLines="0" tabSelected="1" zoomScale="84" zoomScaleNormal="84" workbookViewId="0">
      <selection activeCell="D9" sqref="D9:G9"/>
    </sheetView>
  </sheetViews>
  <sheetFormatPr defaultColWidth="7.7109375" defaultRowHeight="12.75" customHeight="1" x14ac:dyDescent="0.2"/>
  <cols>
    <col min="1" max="1" width="7.7109375" style="44"/>
    <col min="2" max="14" width="7.7109375" style="22"/>
    <col min="15" max="123" width="7.7109375" style="43"/>
    <col min="124" max="16384" width="7.7109375" style="22"/>
  </cols>
  <sheetData>
    <row r="1" spans="1:123" ht="12.75" customHeight="1" x14ac:dyDescent="0.2">
      <c r="B1" s="43"/>
      <c r="C1" s="43"/>
      <c r="D1" s="43"/>
      <c r="E1" s="43"/>
      <c r="F1" s="43"/>
      <c r="G1" s="43"/>
      <c r="H1" s="43"/>
      <c r="I1" s="43"/>
      <c r="J1" s="43"/>
      <c r="K1" s="43"/>
      <c r="L1" s="43"/>
      <c r="M1" s="43"/>
      <c r="N1" s="43"/>
    </row>
    <row r="2" spans="1:123" ht="12.75" customHeight="1" x14ac:dyDescent="0.35">
      <c r="B2" s="43"/>
      <c r="C2" s="43"/>
      <c r="D2" s="43"/>
      <c r="E2" s="238"/>
      <c r="F2" s="238"/>
      <c r="G2" s="238"/>
      <c r="H2" s="238"/>
      <c r="I2" s="238"/>
      <c r="J2" s="238"/>
      <c r="K2" s="43"/>
      <c r="L2" s="43"/>
      <c r="M2" s="43"/>
      <c r="N2" s="43"/>
    </row>
    <row r="3" spans="1:123" ht="12.75" customHeight="1" x14ac:dyDescent="0.35">
      <c r="B3" s="43"/>
      <c r="C3" s="43"/>
      <c r="D3" s="43"/>
      <c r="E3" s="238"/>
      <c r="F3" s="238"/>
      <c r="G3" s="238"/>
      <c r="H3" s="238"/>
      <c r="I3" s="238"/>
      <c r="J3" s="238"/>
      <c r="K3" s="43"/>
      <c r="L3" s="43"/>
      <c r="M3" s="43"/>
      <c r="N3" s="43"/>
    </row>
    <row r="4" spans="1:123" ht="12.75" customHeight="1" x14ac:dyDescent="0.2">
      <c r="A4" s="45"/>
      <c r="B4" s="36"/>
      <c r="C4" s="36"/>
      <c r="D4" s="36"/>
      <c r="E4" s="36"/>
      <c r="F4" s="23"/>
      <c r="G4" s="23"/>
      <c r="H4" s="23"/>
      <c r="I4" s="36"/>
      <c r="J4" s="23"/>
      <c r="K4" s="36"/>
      <c r="L4" s="36"/>
      <c r="M4" s="36"/>
      <c r="N4" s="36"/>
    </row>
    <row r="5" spans="1:123" ht="12.75" customHeight="1" x14ac:dyDescent="0.2">
      <c r="A5" s="45"/>
      <c r="B5" s="36" t="s">
        <v>0</v>
      </c>
      <c r="D5" s="466"/>
      <c r="E5" s="466"/>
      <c r="F5" s="466"/>
      <c r="G5" s="466"/>
      <c r="H5" s="49"/>
      <c r="I5" s="50"/>
      <c r="J5" s="49"/>
      <c r="K5" s="473" t="s">
        <v>388</v>
      </c>
      <c r="L5" s="473"/>
      <c r="M5" s="473"/>
      <c r="N5" s="473"/>
    </row>
    <row r="6" spans="1:123" ht="12.75" customHeight="1" x14ac:dyDescent="0.2">
      <c r="A6" s="45"/>
      <c r="B6" s="36"/>
      <c r="D6" s="50"/>
      <c r="E6" s="50"/>
      <c r="F6" s="49"/>
      <c r="G6" s="49"/>
      <c r="H6" s="49"/>
      <c r="I6" s="50"/>
      <c r="J6" s="49"/>
      <c r="K6" s="473"/>
      <c r="L6" s="473"/>
      <c r="M6" s="473"/>
      <c r="N6" s="473"/>
    </row>
    <row r="7" spans="1:123" ht="12.75" customHeight="1" x14ac:dyDescent="0.2">
      <c r="A7" s="45"/>
      <c r="B7" s="36" t="s">
        <v>1</v>
      </c>
      <c r="D7" s="466"/>
      <c r="E7" s="466"/>
      <c r="F7" s="466"/>
      <c r="G7" s="466"/>
      <c r="H7" s="466"/>
      <c r="I7" s="466"/>
      <c r="J7" s="239"/>
      <c r="K7" s="473"/>
      <c r="L7" s="473"/>
      <c r="M7" s="473"/>
      <c r="N7" s="473"/>
    </row>
    <row r="8" spans="1:123" ht="12.75" customHeight="1" x14ac:dyDescent="0.2">
      <c r="A8" s="45"/>
      <c r="B8" s="36"/>
      <c r="D8" s="50"/>
      <c r="E8" s="50"/>
      <c r="F8" s="51"/>
      <c r="G8" s="51"/>
      <c r="H8" s="242"/>
      <c r="I8" s="51"/>
      <c r="J8" s="51"/>
      <c r="K8" s="474" t="s">
        <v>387</v>
      </c>
      <c r="L8" s="474"/>
      <c r="M8" s="474"/>
      <c r="N8" s="474"/>
      <c r="DS8" s="22"/>
    </row>
    <row r="9" spans="1:123" ht="12.75" customHeight="1" x14ac:dyDescent="0.2">
      <c r="A9" s="52"/>
      <c r="B9" s="91" t="s">
        <v>389</v>
      </c>
      <c r="D9" s="466"/>
      <c r="E9" s="466"/>
      <c r="F9" s="466"/>
      <c r="G9" s="466"/>
      <c r="H9" s="37" t="s">
        <v>2</v>
      </c>
      <c r="I9" s="51"/>
      <c r="J9" s="51"/>
      <c r="K9" s="474"/>
      <c r="L9" s="474"/>
      <c r="M9" s="474"/>
      <c r="N9" s="474"/>
      <c r="DS9" s="22"/>
    </row>
    <row r="10" spans="1:123" ht="12.75" customHeight="1" x14ac:dyDescent="0.2">
      <c r="A10" s="52"/>
      <c r="B10" s="91"/>
      <c r="D10" s="241"/>
      <c r="E10" s="241"/>
      <c r="F10" s="241"/>
      <c r="G10" s="241"/>
      <c r="H10" s="37"/>
      <c r="I10" s="51"/>
      <c r="J10" s="51"/>
      <c r="K10" s="240"/>
      <c r="L10" s="240"/>
      <c r="M10" s="240"/>
      <c r="N10" s="240"/>
      <c r="DS10" s="22"/>
    </row>
    <row r="11" spans="1:123" ht="12.75" customHeight="1" x14ac:dyDescent="0.2">
      <c r="B11" s="201" t="s">
        <v>374</v>
      </c>
      <c r="C11" s="208"/>
      <c r="D11" s="17"/>
      <c r="E11" s="48" t="s">
        <v>383</v>
      </c>
      <c r="K11" s="471" t="s">
        <v>278</v>
      </c>
      <c r="L11" s="472"/>
      <c r="M11" s="467">
        <f>SUM(M29,M42,M46)</f>
        <v>0</v>
      </c>
      <c r="N11" s="468"/>
      <c r="DS11" s="22"/>
    </row>
    <row r="12" spans="1:123" ht="12.75" customHeight="1" x14ac:dyDescent="0.2">
      <c r="K12" s="471"/>
      <c r="L12" s="472"/>
      <c r="M12" s="469"/>
      <c r="N12" s="470"/>
      <c r="DS12" s="22"/>
    </row>
    <row r="13" spans="1:123" ht="12.75" customHeight="1" x14ac:dyDescent="0.2">
      <c r="B13" s="243" t="s">
        <v>390</v>
      </c>
      <c r="C13" s="208"/>
      <c r="D13" s="282"/>
      <c r="E13" s="48"/>
      <c r="L13" s="172"/>
      <c r="M13" s="172"/>
      <c r="N13" s="210"/>
      <c r="DS13" s="22"/>
    </row>
    <row r="14" spans="1:123" ht="12.75" customHeight="1" x14ac:dyDescent="0.2">
      <c r="L14" s="172"/>
      <c r="M14" s="172"/>
      <c r="N14" s="210"/>
      <c r="DS14" s="22"/>
    </row>
    <row r="15" spans="1:123" ht="12.75" customHeight="1" x14ac:dyDescent="0.2">
      <c r="DS15" s="22"/>
    </row>
    <row r="16" spans="1:123" ht="12.75" customHeight="1" thickBot="1" x14ac:dyDescent="0.25">
      <c r="DS16" s="22"/>
    </row>
    <row r="17" spans="2:123" ht="12.75" customHeight="1" x14ac:dyDescent="0.2">
      <c r="B17" s="151"/>
      <c r="C17" s="128"/>
      <c r="D17" s="150"/>
      <c r="E17" s="150"/>
      <c r="F17" s="150"/>
      <c r="G17" s="150"/>
      <c r="H17" s="150"/>
      <c r="I17" s="152"/>
      <c r="J17" s="150"/>
      <c r="K17" s="150"/>
      <c r="L17" s="150"/>
      <c r="M17" s="128"/>
      <c r="N17" s="129"/>
      <c r="DS17" s="22"/>
    </row>
    <row r="18" spans="2:123" ht="12.75" customHeight="1" x14ac:dyDescent="0.2">
      <c r="B18" s="153"/>
      <c r="C18" s="475" t="s">
        <v>385</v>
      </c>
      <c r="D18" s="475"/>
      <c r="E18" s="475"/>
      <c r="F18" s="475"/>
      <c r="G18" s="475"/>
      <c r="H18" s="475"/>
      <c r="I18" s="475"/>
      <c r="J18" s="475"/>
      <c r="K18" s="475"/>
      <c r="L18" s="475"/>
      <c r="M18" s="475"/>
      <c r="N18" s="244"/>
      <c r="R18" s="54" t="s">
        <v>136</v>
      </c>
      <c r="S18" s="55"/>
      <c r="T18" s="56"/>
      <c r="DS18" s="22"/>
    </row>
    <row r="19" spans="2:123" ht="12.75" customHeight="1" x14ac:dyDescent="0.2">
      <c r="B19" s="153"/>
      <c r="C19" s="37"/>
      <c r="D19" s="478" t="s">
        <v>384</v>
      </c>
      <c r="E19" s="478"/>
      <c r="F19" s="478"/>
      <c r="G19" s="478"/>
      <c r="H19" s="478"/>
      <c r="I19" s="478"/>
      <c r="J19" s="478"/>
      <c r="K19" s="478"/>
      <c r="L19" s="478"/>
      <c r="M19" s="211"/>
      <c r="N19" s="245"/>
      <c r="R19" s="57">
        <f>IF(Geometry!G4&lt;&gt;0,S19,R20)</f>
        <v>20</v>
      </c>
      <c r="S19" s="58">
        <f>IF('Traffic &amp; Accidents'!D7&lt;400,40,T19)</f>
        <v>40</v>
      </c>
      <c r="T19" s="59">
        <f>IF('Traffic &amp; Accidents'!D7&lt;2001,50,60)</f>
        <v>50</v>
      </c>
      <c r="DS19" s="22"/>
    </row>
    <row r="20" spans="2:123" ht="12.75" customHeight="1" x14ac:dyDescent="0.25">
      <c r="B20" s="153"/>
      <c r="C20" s="225"/>
      <c r="D20" s="225"/>
      <c r="E20" s="225"/>
      <c r="F20" s="226"/>
      <c r="G20" s="477"/>
      <c r="H20" s="477"/>
      <c r="I20" s="227"/>
      <c r="J20" s="465"/>
      <c r="K20" s="465"/>
      <c r="L20" s="476"/>
      <c r="M20" s="476"/>
      <c r="N20" s="131"/>
      <c r="R20" s="60">
        <f>IF(Geometry!H4&lt;&gt;0,S20,R21)</f>
        <v>20</v>
      </c>
      <c r="S20" s="58">
        <f>IF('Traffic &amp; Accidents'!D7&lt;400,30,T20)</f>
        <v>30</v>
      </c>
      <c r="T20" s="59">
        <f>IF('Traffic &amp; Accidents'!D7&lt;2001,40,50)</f>
        <v>40</v>
      </c>
      <c r="DS20" s="22"/>
    </row>
    <row r="21" spans="2:123" ht="12.75" customHeight="1" x14ac:dyDescent="0.2">
      <c r="B21" s="153"/>
      <c r="C21" s="37"/>
      <c r="D21" s="37"/>
      <c r="E21" s="37"/>
      <c r="F21" s="169"/>
      <c r="G21" s="47"/>
      <c r="H21" s="171"/>
      <c r="I21" s="171"/>
      <c r="J21" s="48"/>
      <c r="K21" s="48"/>
      <c r="L21" s="47"/>
      <c r="M21" s="171"/>
      <c r="N21" s="131"/>
      <c r="R21" s="62">
        <f>S21</f>
        <v>20</v>
      </c>
      <c r="S21" s="63">
        <f>IF('Traffic &amp; Accidents'!D7&lt;400,20,T21)</f>
        <v>20</v>
      </c>
      <c r="T21" s="64">
        <f>IF('Traffic &amp; Accidents'!D7&lt;2001,30,40)</f>
        <v>30</v>
      </c>
      <c r="DS21" s="22"/>
    </row>
    <row r="22" spans="2:123" ht="12.75" customHeight="1" x14ac:dyDescent="0.2">
      <c r="B22" s="153"/>
      <c r="C22" s="37"/>
      <c r="D22" s="37"/>
      <c r="E22" s="37"/>
      <c r="F22" s="169"/>
      <c r="G22" s="169"/>
      <c r="H22" s="169"/>
      <c r="I22" s="48"/>
      <c r="J22" s="216" t="s">
        <v>3</v>
      </c>
      <c r="K22" s="212"/>
      <c r="L22" s="212"/>
      <c r="M22" s="216" t="s">
        <v>225</v>
      </c>
      <c r="N22" s="131"/>
      <c r="DS22" s="22"/>
    </row>
    <row r="23" spans="2:123" ht="12.75" customHeight="1" x14ac:dyDescent="0.2">
      <c r="B23" s="154"/>
      <c r="C23" s="53"/>
      <c r="D23" s="53"/>
      <c r="E23" s="37"/>
      <c r="F23" s="34"/>
      <c r="G23" s="169"/>
      <c r="H23" s="34"/>
      <c r="I23" s="48"/>
      <c r="J23" s="65" t="s">
        <v>4</v>
      </c>
      <c r="K23" s="217"/>
      <c r="L23" s="212"/>
      <c r="M23" s="65" t="s">
        <v>28</v>
      </c>
      <c r="N23" s="131"/>
      <c r="DS23" s="22"/>
    </row>
    <row r="24" spans="2:123" ht="12.75" customHeight="1" x14ac:dyDescent="0.2">
      <c r="B24" s="155"/>
      <c r="C24" s="222" t="s">
        <v>6</v>
      </c>
      <c r="D24" s="53"/>
      <c r="E24" s="37"/>
      <c r="F24" s="169"/>
      <c r="G24" s="169"/>
      <c r="H24" s="169"/>
      <c r="I24" s="48"/>
      <c r="J24" s="213"/>
      <c r="K24" s="212"/>
      <c r="L24" s="212"/>
      <c r="M24" s="213"/>
      <c r="N24" s="131"/>
      <c r="DS24" s="22"/>
    </row>
    <row r="25" spans="2:123" ht="12.75" customHeight="1" x14ac:dyDescent="0.2">
      <c r="B25" s="153"/>
      <c r="C25" s="37"/>
      <c r="D25" s="53"/>
      <c r="E25" s="37"/>
      <c r="F25" s="169"/>
      <c r="G25" s="169"/>
      <c r="H25" s="66"/>
      <c r="I25" s="48"/>
      <c r="J25" s="213"/>
      <c r="K25" s="212"/>
      <c r="L25" s="212"/>
      <c r="M25" s="213"/>
      <c r="N25" s="131"/>
      <c r="DS25" s="22"/>
    </row>
    <row r="26" spans="2:123" ht="12.75" customHeight="1" x14ac:dyDescent="0.2">
      <c r="B26" s="153"/>
      <c r="C26" s="25"/>
      <c r="D26" s="25" t="s">
        <v>7</v>
      </c>
      <c r="E26" s="25"/>
      <c r="F26" s="170"/>
      <c r="G26" s="34"/>
      <c r="H26" s="170"/>
      <c r="I26" s="48"/>
      <c r="J26" s="213">
        <v>20</v>
      </c>
      <c r="K26" s="212"/>
      <c r="L26" s="212"/>
      <c r="M26" s="170">
        <f>'Traffic &amp; Accidents'!J64</f>
        <v>0</v>
      </c>
      <c r="N26" s="131"/>
      <c r="DS26" s="22"/>
    </row>
    <row r="27" spans="2:123" ht="12.75" customHeight="1" x14ac:dyDescent="0.2">
      <c r="B27" s="153"/>
      <c r="C27" s="25"/>
      <c r="D27" s="25" t="s">
        <v>8</v>
      </c>
      <c r="E27" s="25"/>
      <c r="F27" s="170"/>
      <c r="G27" s="34"/>
      <c r="H27" s="170"/>
      <c r="I27" s="48"/>
      <c r="J27" s="220">
        <v>25</v>
      </c>
      <c r="K27" s="212"/>
      <c r="L27" s="212"/>
      <c r="M27" s="221">
        <f>IF('Traffic &amp; Accidents'!N84&gt;25,25,'Traffic &amp; Accidents'!N84)</f>
        <v>0</v>
      </c>
      <c r="N27" s="131"/>
      <c r="DS27" s="22"/>
    </row>
    <row r="28" spans="2:123" ht="12.75" customHeight="1" x14ac:dyDescent="0.2">
      <c r="B28" s="130"/>
      <c r="C28" s="156"/>
      <c r="D28" s="156"/>
      <c r="E28" s="25"/>
      <c r="F28" s="67"/>
      <c r="G28" s="68"/>
      <c r="H28" s="69"/>
      <c r="I28" s="48"/>
      <c r="J28" s="213"/>
      <c r="K28" s="212"/>
      <c r="L28" s="212"/>
      <c r="M28" s="218"/>
      <c r="N28" s="131"/>
      <c r="O28" s="83"/>
      <c r="P28" s="84" t="s">
        <v>320</v>
      </c>
      <c r="Q28" s="83"/>
      <c r="DS28" s="22"/>
    </row>
    <row r="29" spans="2:123" ht="12.75" customHeight="1" x14ac:dyDescent="0.2">
      <c r="B29" s="130"/>
      <c r="C29" s="156"/>
      <c r="D29" s="156"/>
      <c r="E29" s="48"/>
      <c r="F29" s="170"/>
      <c r="G29" s="48"/>
      <c r="H29" s="170"/>
      <c r="I29" s="47" t="s">
        <v>9</v>
      </c>
      <c r="J29" s="213">
        <f>SUM(J26:J27)</f>
        <v>45</v>
      </c>
      <c r="K29" s="212"/>
      <c r="L29" s="212"/>
      <c r="M29" s="219">
        <f>ROUND(SUM(M26:M27),2)</f>
        <v>0</v>
      </c>
      <c r="N29" s="131"/>
      <c r="O29" s="83"/>
      <c r="P29" s="85" t="s">
        <v>297</v>
      </c>
      <c r="Q29" s="83"/>
      <c r="DS29" s="22"/>
    </row>
    <row r="30" spans="2:123" ht="12.75" customHeight="1" thickBot="1" x14ac:dyDescent="0.25">
      <c r="B30" s="153"/>
      <c r="C30" s="228"/>
      <c r="D30" s="228"/>
      <c r="E30" s="228"/>
      <c r="F30" s="229"/>
      <c r="G30" s="230"/>
      <c r="H30" s="229"/>
      <c r="I30" s="231"/>
      <c r="J30" s="232"/>
      <c r="K30" s="233"/>
      <c r="L30" s="233"/>
      <c r="M30" s="234"/>
      <c r="N30" s="131"/>
      <c r="O30" s="86" t="e">
        <f>IF(AND(Geometry!E34&lt;Geometry!G34,Geometry!G34&lt;Geometry!H34),P30,#REF!)</f>
        <v>#REF!</v>
      </c>
      <c r="P30" s="86" t="e">
        <f>IF(Geometry!E34&gt;=Geometry!H34,0,#REF!*((Geometry!G34-Geometry!E34)/(Geometry!H34-Geometry!E34)))</f>
        <v>#REF!</v>
      </c>
      <c r="Q30" s="83"/>
      <c r="DS30" s="22"/>
    </row>
    <row r="31" spans="2:123" ht="12.75" customHeight="1" thickTop="1" x14ac:dyDescent="0.2">
      <c r="B31" s="153"/>
      <c r="C31" s="37"/>
      <c r="D31" s="37"/>
      <c r="E31" s="37"/>
      <c r="F31" s="67"/>
      <c r="G31" s="48"/>
      <c r="H31" s="67"/>
      <c r="I31" s="206"/>
      <c r="J31" s="213"/>
      <c r="K31" s="212"/>
      <c r="L31" s="212"/>
      <c r="M31" s="218"/>
      <c r="N31" s="131"/>
      <c r="O31" s="87" t="e">
        <f>IF(Geometry!G33&lt;Geometry!H33,P31,#REF!)</f>
        <v>#REF!</v>
      </c>
      <c r="P31" s="87" t="e">
        <f>#REF!*((Geometry!G33-Geometry!E33)/(Geometry!H33-Geometry!E33))</f>
        <v>#REF!</v>
      </c>
      <c r="Q31" s="83"/>
      <c r="DS31" s="22"/>
    </row>
    <row r="32" spans="2:123" ht="12.75" customHeight="1" x14ac:dyDescent="0.2">
      <c r="B32" s="153"/>
      <c r="C32" s="37"/>
      <c r="D32" s="37"/>
      <c r="E32" s="37"/>
      <c r="F32" s="67"/>
      <c r="G32" s="48"/>
      <c r="H32" s="67"/>
      <c r="I32" s="206"/>
      <c r="J32" s="213"/>
      <c r="K32" s="212"/>
      <c r="L32" s="212"/>
      <c r="M32" s="218"/>
      <c r="N32" s="131"/>
      <c r="O32" s="87"/>
      <c r="P32" s="87"/>
      <c r="Q32" s="83"/>
      <c r="DS32" s="22"/>
    </row>
    <row r="33" spans="2:123" ht="12.75" customHeight="1" x14ac:dyDescent="0.2">
      <c r="B33" s="153"/>
      <c r="C33" s="222" t="s">
        <v>10</v>
      </c>
      <c r="D33" s="37"/>
      <c r="E33" s="37"/>
      <c r="F33" s="67"/>
      <c r="G33" s="48"/>
      <c r="H33" s="67"/>
      <c r="I33" s="206"/>
      <c r="J33" s="213"/>
      <c r="K33" s="212"/>
      <c r="L33" s="212"/>
      <c r="M33" s="218"/>
      <c r="N33" s="131"/>
      <c r="O33" s="83"/>
      <c r="P33" s="83"/>
      <c r="Q33" s="83"/>
      <c r="DS33" s="22"/>
    </row>
    <row r="34" spans="2:123" ht="12.75" customHeight="1" x14ac:dyDescent="0.2">
      <c r="B34" s="153"/>
      <c r="C34" s="37"/>
      <c r="D34" s="48"/>
      <c r="E34" s="37"/>
      <c r="F34" s="67"/>
      <c r="G34" s="48"/>
      <c r="H34" s="67"/>
      <c r="I34" s="206"/>
      <c r="J34" s="213"/>
      <c r="K34" s="212"/>
      <c r="L34" s="212"/>
      <c r="M34" s="218"/>
      <c r="N34" s="131"/>
      <c r="DS34" s="22"/>
    </row>
    <row r="35" spans="2:123" ht="12.75" customHeight="1" x14ac:dyDescent="0.2">
      <c r="B35" s="153"/>
      <c r="C35" s="26"/>
      <c r="D35" s="26" t="s">
        <v>125</v>
      </c>
      <c r="E35" s="25"/>
      <c r="F35" s="170"/>
      <c r="G35" s="48"/>
      <c r="H35" s="170"/>
      <c r="I35" s="223"/>
      <c r="J35" s="214">
        <v>25</v>
      </c>
      <c r="K35" s="212"/>
      <c r="L35" s="212"/>
      <c r="M35" s="170">
        <f>Structure!N65</f>
        <v>0</v>
      </c>
      <c r="N35" s="131"/>
      <c r="DS35" s="22"/>
    </row>
    <row r="36" spans="2:123" ht="12.75" customHeight="1" x14ac:dyDescent="0.2">
      <c r="B36" s="153"/>
      <c r="C36" s="26"/>
      <c r="D36" s="26"/>
      <c r="E36" s="25"/>
      <c r="F36" s="170"/>
      <c r="G36" s="48"/>
      <c r="H36" s="170"/>
      <c r="I36" s="223"/>
      <c r="J36" s="214"/>
      <c r="K36" s="212"/>
      <c r="L36" s="212"/>
      <c r="M36" s="170"/>
      <c r="N36" s="131"/>
      <c r="DS36" s="22"/>
    </row>
    <row r="37" spans="2:123" ht="12.75" customHeight="1" x14ac:dyDescent="0.2">
      <c r="B37" s="153"/>
      <c r="C37" s="25"/>
      <c r="D37" s="224" t="s">
        <v>319</v>
      </c>
      <c r="E37" s="25"/>
      <c r="F37" s="67"/>
      <c r="G37" s="48"/>
      <c r="H37" s="67"/>
      <c r="I37" s="223"/>
      <c r="J37" s="213"/>
      <c r="K37" s="212"/>
      <c r="L37" s="212"/>
      <c r="M37" s="218"/>
      <c r="N37" s="131"/>
      <c r="P37" s="70"/>
      <c r="S37" s="70"/>
      <c r="V37" s="43" t="s">
        <v>298</v>
      </c>
      <c r="DS37" s="22"/>
    </row>
    <row r="38" spans="2:123" ht="12.75" customHeight="1" x14ac:dyDescent="0.2">
      <c r="B38" s="153"/>
      <c r="C38" s="25"/>
      <c r="D38" s="25" t="s">
        <v>126</v>
      </c>
      <c r="E38" s="47" t="s">
        <v>126</v>
      </c>
      <c r="F38" s="170"/>
      <c r="G38" s="48"/>
      <c r="H38" s="170"/>
      <c r="I38" s="223"/>
      <c r="J38" s="213">
        <v>5</v>
      </c>
      <c r="K38" s="212"/>
      <c r="L38" s="212"/>
      <c r="M38" s="170">
        <f>Geometry!D13</f>
        <v>0</v>
      </c>
      <c r="N38" s="131"/>
      <c r="P38" s="71"/>
      <c r="S38" s="71"/>
      <c r="V38" s="71" t="s">
        <v>297</v>
      </c>
      <c r="DS38" s="22"/>
    </row>
    <row r="39" spans="2:123" ht="12.75" customHeight="1" x14ac:dyDescent="0.2">
      <c r="B39" s="153"/>
      <c r="C39" s="25"/>
      <c r="D39" s="25" t="s">
        <v>127</v>
      </c>
      <c r="E39" s="47" t="s">
        <v>127</v>
      </c>
      <c r="F39" s="170"/>
      <c r="G39" s="48"/>
      <c r="H39" s="170"/>
      <c r="I39" s="223"/>
      <c r="J39" s="213">
        <v>5</v>
      </c>
      <c r="K39" s="212"/>
      <c r="L39" s="212"/>
      <c r="M39" s="170" t="str">
        <f>IF(Geometry!H27&lt;&gt;0,Geometry!J13,"")</f>
        <v/>
      </c>
      <c r="N39" s="131"/>
      <c r="O39" s="72"/>
      <c r="P39" s="72"/>
      <c r="R39" s="72"/>
      <c r="S39" s="72"/>
      <c r="U39" s="72">
        <f>IF(Geometry!G32&lt;Geometry!H32,V39,Geometry!K161)</f>
        <v>0</v>
      </c>
      <c r="V39" s="72">
        <f>Geometry!K161*((Geometry!G32-Geometry!E32)/(Geometry!H32-Geometry!E32))</f>
        <v>0</v>
      </c>
      <c r="DS39" s="22"/>
    </row>
    <row r="40" spans="2:123" ht="12.75" customHeight="1" x14ac:dyDescent="0.2">
      <c r="B40" s="153"/>
      <c r="C40" s="73"/>
      <c r="D40" s="25" t="s">
        <v>128</v>
      </c>
      <c r="E40" s="47" t="s">
        <v>128</v>
      </c>
      <c r="F40" s="170"/>
      <c r="G40" s="48"/>
      <c r="H40" s="170"/>
      <c r="I40" s="223"/>
      <c r="J40" s="220">
        <v>10</v>
      </c>
      <c r="K40" s="212"/>
      <c r="L40" s="212"/>
      <c r="M40" s="221">
        <f>SUM(U39:U40)</f>
        <v>0</v>
      </c>
      <c r="N40" s="131"/>
      <c r="O40" s="74"/>
      <c r="P40" s="74"/>
      <c r="R40" s="72"/>
      <c r="S40" s="74"/>
      <c r="U40" s="72">
        <f>IF(Geometry!G33&lt;Geometry!H33,V40,Geometry!K163)</f>
        <v>0</v>
      </c>
      <c r="V40" s="74">
        <f>Geometry!K163*((Geometry!G33-Geometry!E33)/(Geometry!H33-Geometry!E33))</f>
        <v>0</v>
      </c>
      <c r="DS40" s="22"/>
    </row>
    <row r="41" spans="2:123" ht="12.75" customHeight="1" x14ac:dyDescent="0.2">
      <c r="B41" s="153"/>
      <c r="C41" s="25"/>
      <c r="D41" s="48"/>
      <c r="E41" s="47"/>
      <c r="F41" s="170"/>
      <c r="G41" s="48"/>
      <c r="H41" s="170"/>
      <c r="I41" s="206"/>
      <c r="J41" s="215"/>
      <c r="K41" s="212"/>
      <c r="L41" s="212"/>
      <c r="M41" s="170"/>
      <c r="N41" s="131"/>
      <c r="DS41" s="22"/>
    </row>
    <row r="42" spans="2:123" ht="12.75" customHeight="1" x14ac:dyDescent="0.2">
      <c r="B42" s="153"/>
      <c r="C42" s="37"/>
      <c r="D42" s="37"/>
      <c r="E42" s="48"/>
      <c r="F42" s="170"/>
      <c r="G42" s="48"/>
      <c r="H42" s="170"/>
      <c r="I42" s="47" t="s">
        <v>9</v>
      </c>
      <c r="J42" s="214">
        <f>SUM(J35:J40)</f>
        <v>45</v>
      </c>
      <c r="K42" s="212"/>
      <c r="L42" s="212"/>
      <c r="M42" s="219">
        <f>ROUND(SUM(M35:M41),2)</f>
        <v>0</v>
      </c>
      <c r="N42" s="131"/>
      <c r="DS42" s="22"/>
    </row>
    <row r="43" spans="2:123" ht="12.75" customHeight="1" thickBot="1" x14ac:dyDescent="0.25">
      <c r="B43" s="153"/>
      <c r="C43" s="228"/>
      <c r="D43" s="228"/>
      <c r="E43" s="228"/>
      <c r="F43" s="229"/>
      <c r="G43" s="230"/>
      <c r="H43" s="229"/>
      <c r="I43" s="231"/>
      <c r="J43" s="235"/>
      <c r="K43" s="233"/>
      <c r="L43" s="233"/>
      <c r="M43" s="234"/>
      <c r="N43" s="131"/>
      <c r="DS43" s="22"/>
    </row>
    <row r="44" spans="2:123" ht="12.75" customHeight="1" thickTop="1" x14ac:dyDescent="0.2">
      <c r="B44" s="153"/>
      <c r="C44" s="37"/>
      <c r="D44" s="48"/>
      <c r="E44" s="37"/>
      <c r="F44" s="67"/>
      <c r="G44" s="48"/>
      <c r="H44" s="67"/>
      <c r="I44" s="206"/>
      <c r="J44" s="213"/>
      <c r="K44" s="212"/>
      <c r="L44" s="212"/>
      <c r="M44" s="218"/>
      <c r="N44" s="131"/>
      <c r="DS44" s="22"/>
    </row>
    <row r="45" spans="2:123" ht="12.75" customHeight="1" x14ac:dyDescent="0.2">
      <c r="B45" s="153"/>
      <c r="C45" s="37"/>
      <c r="D45" s="48"/>
      <c r="E45" s="37"/>
      <c r="F45" s="67"/>
      <c r="G45" s="48"/>
      <c r="H45" s="67"/>
      <c r="I45" s="206"/>
      <c r="J45" s="213"/>
      <c r="K45" s="212"/>
      <c r="L45" s="212"/>
      <c r="M45" s="218"/>
      <c r="N45" s="131"/>
      <c r="DS45" s="22"/>
    </row>
    <row r="46" spans="2:123" ht="12.75" customHeight="1" x14ac:dyDescent="0.2">
      <c r="B46" s="153"/>
      <c r="C46" s="222" t="s">
        <v>386</v>
      </c>
      <c r="D46" s="48"/>
      <c r="E46" s="37"/>
      <c r="F46" s="170"/>
      <c r="G46" s="48"/>
      <c r="H46" s="170"/>
      <c r="I46" s="47" t="s">
        <v>9</v>
      </c>
      <c r="J46" s="214">
        <v>10</v>
      </c>
      <c r="K46" s="212"/>
      <c r="L46" s="212"/>
      <c r="M46" s="219">
        <f>'Traffic &amp; Accidents'!J32</f>
        <v>0</v>
      </c>
      <c r="N46" s="131"/>
      <c r="DS46" s="22"/>
    </row>
    <row r="47" spans="2:123" ht="12.75" customHeight="1" x14ac:dyDescent="0.2">
      <c r="B47" s="153"/>
      <c r="C47" s="25"/>
      <c r="D47" s="48"/>
      <c r="E47" s="37"/>
      <c r="F47" s="170"/>
      <c r="G47" s="68"/>
      <c r="H47" s="170"/>
      <c r="I47" s="48"/>
      <c r="J47" s="82"/>
      <c r="K47" s="212"/>
      <c r="L47" s="212"/>
      <c r="M47" s="170"/>
      <c r="N47" s="131"/>
      <c r="DS47" s="22"/>
    </row>
    <row r="48" spans="2:123" ht="12.75" customHeight="1" thickBot="1" x14ac:dyDescent="0.25">
      <c r="B48" s="153"/>
      <c r="C48" s="228"/>
      <c r="D48" s="228"/>
      <c r="E48" s="230"/>
      <c r="F48" s="230"/>
      <c r="G48" s="236"/>
      <c r="H48" s="237"/>
      <c r="I48" s="230"/>
      <c r="J48" s="232"/>
      <c r="K48" s="233"/>
      <c r="L48" s="233"/>
      <c r="M48" s="232"/>
      <c r="N48" s="131"/>
      <c r="DS48" s="22"/>
    </row>
    <row r="49" spans="1:123" ht="12.75" customHeight="1" thickTop="1" x14ac:dyDescent="0.2">
      <c r="B49" s="153"/>
      <c r="C49" s="37"/>
      <c r="D49" s="37"/>
      <c r="E49" s="37"/>
      <c r="F49" s="169"/>
      <c r="G49" s="169"/>
      <c r="H49" s="169"/>
      <c r="I49" s="48"/>
      <c r="J49" s="213"/>
      <c r="K49" s="212"/>
      <c r="L49" s="212"/>
      <c r="M49" s="213"/>
      <c r="N49" s="131"/>
      <c r="DS49" s="22"/>
    </row>
    <row r="50" spans="1:123" ht="12.75" customHeight="1" x14ac:dyDescent="0.2">
      <c r="B50" s="153"/>
      <c r="C50" s="37"/>
      <c r="D50" s="37"/>
      <c r="E50" s="37"/>
      <c r="F50" s="169"/>
      <c r="G50" s="169"/>
      <c r="H50" s="169"/>
      <c r="I50" s="48"/>
      <c r="J50" s="213"/>
      <c r="K50" s="212"/>
      <c r="L50" s="212"/>
      <c r="M50" s="213"/>
      <c r="N50" s="131"/>
      <c r="DS50" s="22"/>
    </row>
    <row r="51" spans="1:123" ht="12.75" customHeight="1" x14ac:dyDescent="0.2">
      <c r="B51" s="157"/>
      <c r="C51" s="48"/>
      <c r="D51" s="37"/>
      <c r="E51" s="37"/>
      <c r="F51" s="170"/>
      <c r="G51" s="68"/>
      <c r="H51" s="170"/>
      <c r="I51" s="206" t="s">
        <v>277</v>
      </c>
      <c r="J51" s="213">
        <f>SUM(J29,J42,J46)</f>
        <v>100</v>
      </c>
      <c r="K51" s="212"/>
      <c r="L51" s="212"/>
      <c r="M51" s="219">
        <f>SUM(M29,M42,M46)</f>
        <v>0</v>
      </c>
      <c r="N51" s="131"/>
      <c r="DS51" s="22"/>
    </row>
    <row r="52" spans="1:123" ht="12.75" customHeight="1" x14ac:dyDescent="0.2">
      <c r="B52" s="153"/>
      <c r="C52" s="37"/>
      <c r="D52" s="37"/>
      <c r="E52" s="37"/>
      <c r="F52" s="75"/>
      <c r="G52" s="47"/>
      <c r="H52" s="25"/>
      <c r="I52" s="48"/>
      <c r="J52" s="216" t="s">
        <v>11</v>
      </c>
      <c r="K52" s="212"/>
      <c r="L52" s="212"/>
      <c r="M52" s="216" t="s">
        <v>391</v>
      </c>
      <c r="N52" s="131"/>
      <c r="DS52" s="22"/>
    </row>
    <row r="53" spans="1:123" ht="12.75" customHeight="1" thickBot="1" x14ac:dyDescent="0.25">
      <c r="B53" s="158"/>
      <c r="C53" s="136"/>
      <c r="D53" s="136"/>
      <c r="E53" s="136"/>
      <c r="F53" s="136"/>
      <c r="G53" s="136"/>
      <c r="H53" s="136"/>
      <c r="I53" s="136"/>
      <c r="J53" s="136"/>
      <c r="K53" s="159"/>
      <c r="L53" s="136"/>
      <c r="M53" s="133"/>
      <c r="N53" s="141"/>
      <c r="DS53" s="22"/>
    </row>
    <row r="55" spans="1:123" ht="12.75" customHeight="1" x14ac:dyDescent="0.2">
      <c r="C55" s="76" t="s">
        <v>12</v>
      </c>
    </row>
    <row r="56" spans="1:123" ht="12.75" customHeight="1" x14ac:dyDescent="0.2">
      <c r="C56" s="36"/>
    </row>
    <row r="57" spans="1:123" ht="12.75" customHeight="1" x14ac:dyDescent="0.2">
      <c r="C57" s="36" t="s">
        <v>13</v>
      </c>
    </row>
    <row r="62" spans="1:123" ht="12.75" customHeight="1" x14ac:dyDescent="0.2">
      <c r="A62" s="78"/>
    </row>
    <row r="63" spans="1:123" s="43" customFormat="1" ht="12.75" customHeight="1" x14ac:dyDescent="0.2">
      <c r="A63" s="44"/>
    </row>
    <row r="64" spans="1:123" s="43" customFormat="1" ht="12.75" customHeight="1" x14ac:dyDescent="0.2">
      <c r="A64" s="44"/>
    </row>
    <row r="65" spans="1:1" s="43" customFormat="1" ht="12.75" customHeight="1" x14ac:dyDescent="0.2">
      <c r="A65" s="44"/>
    </row>
    <row r="66" spans="1:1" s="43" customFormat="1" ht="12.75" customHeight="1" x14ac:dyDescent="0.2">
      <c r="A66" s="44"/>
    </row>
    <row r="67" spans="1:1" s="43" customFormat="1" ht="12.75" customHeight="1" x14ac:dyDescent="0.2">
      <c r="A67" s="44"/>
    </row>
    <row r="68" spans="1:1" s="43" customFormat="1" ht="12.75" customHeight="1" x14ac:dyDescent="0.2">
      <c r="A68" s="44"/>
    </row>
    <row r="69" spans="1:1" s="43" customFormat="1" ht="12.75" customHeight="1" x14ac:dyDescent="0.2">
      <c r="A69" s="44"/>
    </row>
    <row r="70" spans="1:1" s="43" customFormat="1" ht="12.75" customHeight="1" x14ac:dyDescent="0.2">
      <c r="A70" s="44"/>
    </row>
    <row r="71" spans="1:1" s="43" customFormat="1" ht="12.75" customHeight="1" x14ac:dyDescent="0.2">
      <c r="A71" s="44"/>
    </row>
    <row r="72" spans="1:1" s="43" customFormat="1" ht="12.75" customHeight="1" x14ac:dyDescent="0.2">
      <c r="A72" s="44"/>
    </row>
    <row r="73" spans="1:1" s="43" customFormat="1" ht="12.75" customHeight="1" x14ac:dyDescent="0.2">
      <c r="A73" s="44"/>
    </row>
    <row r="74" spans="1:1" s="43" customFormat="1" ht="12.75" customHeight="1" x14ac:dyDescent="0.2">
      <c r="A74" s="44"/>
    </row>
    <row r="75" spans="1:1" s="43" customFormat="1" ht="12.75" customHeight="1" x14ac:dyDescent="0.2">
      <c r="A75" s="44"/>
    </row>
    <row r="76" spans="1:1" s="43" customFormat="1" ht="12.75" customHeight="1" x14ac:dyDescent="0.2">
      <c r="A76" s="44"/>
    </row>
    <row r="77" spans="1:1" s="43" customFormat="1" ht="12.75" customHeight="1" x14ac:dyDescent="0.2">
      <c r="A77" s="44"/>
    </row>
    <row r="78" spans="1:1" s="43" customFormat="1" ht="12.75" customHeight="1" x14ac:dyDescent="0.2">
      <c r="A78" s="44"/>
    </row>
    <row r="79" spans="1:1" s="43" customFormat="1" ht="12.75" customHeight="1" x14ac:dyDescent="0.2">
      <c r="A79" s="44"/>
    </row>
    <row r="80" spans="1:1" s="43" customFormat="1" ht="12.75" customHeight="1" x14ac:dyDescent="0.2">
      <c r="A80" s="44"/>
    </row>
    <row r="81" spans="1:1" s="43" customFormat="1" ht="12.75" customHeight="1" x14ac:dyDescent="0.2">
      <c r="A81" s="44"/>
    </row>
    <row r="82" spans="1:1" s="43" customFormat="1" ht="12.75" customHeight="1" x14ac:dyDescent="0.2">
      <c r="A82" s="44"/>
    </row>
    <row r="83" spans="1:1" s="43" customFormat="1" ht="12.75" customHeight="1" x14ac:dyDescent="0.2">
      <c r="A83" s="44"/>
    </row>
    <row r="84" spans="1:1" s="43" customFormat="1" ht="12.75" customHeight="1" x14ac:dyDescent="0.2">
      <c r="A84" s="44"/>
    </row>
    <row r="85" spans="1:1" s="43" customFormat="1" ht="12.75" customHeight="1" x14ac:dyDescent="0.2">
      <c r="A85" s="44"/>
    </row>
    <row r="86" spans="1:1" s="43" customFormat="1" ht="12.75" customHeight="1" x14ac:dyDescent="0.2">
      <c r="A86" s="44"/>
    </row>
    <row r="87" spans="1:1" s="43" customFormat="1" ht="12.75" customHeight="1" x14ac:dyDescent="0.2">
      <c r="A87" s="44"/>
    </row>
    <row r="88" spans="1:1" s="43" customFormat="1" ht="12.75" customHeight="1" x14ac:dyDescent="0.2">
      <c r="A88" s="44"/>
    </row>
    <row r="89" spans="1:1" s="43" customFormat="1" ht="12.75" customHeight="1" x14ac:dyDescent="0.2">
      <c r="A89" s="44"/>
    </row>
    <row r="90" spans="1:1" s="43" customFormat="1" ht="12.75" customHeight="1" x14ac:dyDescent="0.2">
      <c r="A90" s="44"/>
    </row>
    <row r="91" spans="1:1" s="43" customFormat="1" ht="12.75" customHeight="1" x14ac:dyDescent="0.2">
      <c r="A91" s="44"/>
    </row>
    <row r="92" spans="1:1" s="43" customFormat="1" ht="12.75" customHeight="1" x14ac:dyDescent="0.2">
      <c r="A92" s="44"/>
    </row>
    <row r="93" spans="1:1" s="43" customFormat="1" ht="12.75" customHeight="1" x14ac:dyDescent="0.2">
      <c r="A93" s="44"/>
    </row>
    <row r="94" spans="1:1" s="43" customFormat="1" ht="12.75" customHeight="1" x14ac:dyDescent="0.2">
      <c r="A94" s="44"/>
    </row>
    <row r="95" spans="1:1" s="43" customFormat="1" ht="12.75" customHeight="1" x14ac:dyDescent="0.2">
      <c r="A95" s="44"/>
    </row>
    <row r="96" spans="1:1" s="43" customFormat="1" ht="12.75" customHeight="1" x14ac:dyDescent="0.2">
      <c r="A96" s="44"/>
    </row>
    <row r="97" spans="1:1" s="43" customFormat="1" ht="12.75" customHeight="1" x14ac:dyDescent="0.2">
      <c r="A97" s="44"/>
    </row>
    <row r="98" spans="1:1" s="43" customFormat="1" ht="12.75" customHeight="1" x14ac:dyDescent="0.2">
      <c r="A98" s="44"/>
    </row>
    <row r="99" spans="1:1" s="43" customFormat="1" ht="12.75" customHeight="1" x14ac:dyDescent="0.2">
      <c r="A99" s="44"/>
    </row>
    <row r="100" spans="1:1" s="43" customFormat="1" ht="12.75" customHeight="1" x14ac:dyDescent="0.2">
      <c r="A100" s="44"/>
    </row>
    <row r="101" spans="1:1" s="43" customFormat="1" ht="12.75" customHeight="1" x14ac:dyDescent="0.2">
      <c r="A101" s="44"/>
    </row>
    <row r="102" spans="1:1" s="43" customFormat="1" ht="12.75" customHeight="1" x14ac:dyDescent="0.2">
      <c r="A102" s="44"/>
    </row>
    <row r="103" spans="1:1" s="43" customFormat="1" ht="12.75" customHeight="1" x14ac:dyDescent="0.2">
      <c r="A103" s="44"/>
    </row>
    <row r="104" spans="1:1" s="43" customFormat="1" ht="12.75" customHeight="1" x14ac:dyDescent="0.2">
      <c r="A104" s="44"/>
    </row>
    <row r="105" spans="1:1" s="43" customFormat="1" ht="12.75" customHeight="1" x14ac:dyDescent="0.2">
      <c r="A105" s="44"/>
    </row>
    <row r="106" spans="1:1" s="43" customFormat="1" ht="12.75" customHeight="1" x14ac:dyDescent="0.2">
      <c r="A106" s="44"/>
    </row>
    <row r="107" spans="1:1" s="43" customFormat="1" ht="12.75" customHeight="1" x14ac:dyDescent="0.2">
      <c r="A107" s="44"/>
    </row>
    <row r="108" spans="1:1" s="43" customFormat="1" ht="12.75" customHeight="1" x14ac:dyDescent="0.2">
      <c r="A108" s="44"/>
    </row>
    <row r="109" spans="1:1" s="43" customFormat="1" ht="12.75" customHeight="1" x14ac:dyDescent="0.2">
      <c r="A109" s="44"/>
    </row>
    <row r="110" spans="1:1" s="43" customFormat="1" ht="12.75" customHeight="1" x14ac:dyDescent="0.2">
      <c r="A110" s="44"/>
    </row>
    <row r="111" spans="1:1" s="43" customFormat="1" ht="12.75" customHeight="1" x14ac:dyDescent="0.2">
      <c r="A111" s="44"/>
    </row>
    <row r="112" spans="1:1" s="43" customFormat="1" ht="12.75" customHeight="1" x14ac:dyDescent="0.2">
      <c r="A112" s="44"/>
    </row>
    <row r="113" spans="1:1" s="43" customFormat="1" ht="12.75" customHeight="1" x14ac:dyDescent="0.2">
      <c r="A113" s="44"/>
    </row>
    <row r="114" spans="1:1" s="43" customFormat="1" ht="12.75" customHeight="1" x14ac:dyDescent="0.2">
      <c r="A114" s="44"/>
    </row>
    <row r="115" spans="1:1" s="43" customFormat="1" ht="12.75" customHeight="1" x14ac:dyDescent="0.2">
      <c r="A115" s="44"/>
    </row>
    <row r="116" spans="1:1" s="43" customFormat="1" ht="12.75" customHeight="1" x14ac:dyDescent="0.2">
      <c r="A116" s="44"/>
    </row>
    <row r="117" spans="1:1" s="43" customFormat="1" ht="12.75" customHeight="1" x14ac:dyDescent="0.2">
      <c r="A117" s="44"/>
    </row>
    <row r="118" spans="1:1" s="43" customFormat="1" ht="12.75" customHeight="1" x14ac:dyDescent="0.2">
      <c r="A118" s="44"/>
    </row>
    <row r="119" spans="1:1" s="43" customFormat="1" ht="12.75" customHeight="1" x14ac:dyDescent="0.2">
      <c r="A119" s="44"/>
    </row>
    <row r="120" spans="1:1" s="43" customFormat="1" ht="12.75" customHeight="1" x14ac:dyDescent="0.2">
      <c r="A120" s="44"/>
    </row>
    <row r="121" spans="1:1" s="43" customFormat="1" ht="12.75" customHeight="1" x14ac:dyDescent="0.2">
      <c r="A121" s="44"/>
    </row>
    <row r="122" spans="1:1" s="43" customFormat="1" ht="12.75" customHeight="1" x14ac:dyDescent="0.2">
      <c r="A122" s="44"/>
    </row>
    <row r="123" spans="1:1" s="43" customFormat="1" ht="12.75" customHeight="1" x14ac:dyDescent="0.2">
      <c r="A123" s="44"/>
    </row>
    <row r="124" spans="1:1" s="43" customFormat="1" ht="12.75" customHeight="1" x14ac:dyDescent="0.2">
      <c r="A124" s="44"/>
    </row>
    <row r="125" spans="1:1" s="43" customFormat="1" ht="12.75" customHeight="1" x14ac:dyDescent="0.2">
      <c r="A125" s="44"/>
    </row>
    <row r="126" spans="1:1" s="43" customFormat="1" ht="12.75" customHeight="1" x14ac:dyDescent="0.2">
      <c r="A126" s="44"/>
    </row>
    <row r="127" spans="1:1" s="43" customFormat="1" ht="12.75" customHeight="1" x14ac:dyDescent="0.2">
      <c r="A127" s="44"/>
    </row>
    <row r="128" spans="1:1" s="43" customFormat="1" ht="12.75" customHeight="1" x14ac:dyDescent="0.2">
      <c r="A128" s="44"/>
    </row>
    <row r="129" spans="1:1" s="43" customFormat="1" ht="12.75" customHeight="1" x14ac:dyDescent="0.2">
      <c r="A129" s="44"/>
    </row>
    <row r="130" spans="1:1" s="43" customFormat="1" ht="12.75" customHeight="1" x14ac:dyDescent="0.2">
      <c r="A130" s="44"/>
    </row>
    <row r="131" spans="1:1" s="43" customFormat="1" ht="12.75" customHeight="1" x14ac:dyDescent="0.2">
      <c r="A131" s="44"/>
    </row>
    <row r="132" spans="1:1" s="43" customFormat="1" ht="12.75" customHeight="1" x14ac:dyDescent="0.2">
      <c r="A132" s="44"/>
    </row>
    <row r="133" spans="1:1" s="43" customFormat="1" ht="12.75" customHeight="1" x14ac:dyDescent="0.2">
      <c r="A133" s="44"/>
    </row>
    <row r="134" spans="1:1" s="43" customFormat="1" ht="12.75" customHeight="1" x14ac:dyDescent="0.2">
      <c r="A134" s="44"/>
    </row>
    <row r="135" spans="1:1" s="43" customFormat="1" ht="12.75" customHeight="1" x14ac:dyDescent="0.2">
      <c r="A135" s="44"/>
    </row>
    <row r="136" spans="1:1" s="43" customFormat="1" ht="12.75" customHeight="1" x14ac:dyDescent="0.2">
      <c r="A136" s="44"/>
    </row>
    <row r="137" spans="1:1" s="43" customFormat="1" ht="12.75" customHeight="1" x14ac:dyDescent="0.2">
      <c r="A137" s="44"/>
    </row>
    <row r="138" spans="1:1" s="43" customFormat="1" ht="12.75" customHeight="1" x14ac:dyDescent="0.2">
      <c r="A138" s="44"/>
    </row>
    <row r="139" spans="1:1" s="43" customFormat="1" ht="12.75" customHeight="1" x14ac:dyDescent="0.2">
      <c r="A139" s="44"/>
    </row>
    <row r="140" spans="1:1" s="43" customFormat="1" ht="12.75" customHeight="1" x14ac:dyDescent="0.2">
      <c r="A140" s="44"/>
    </row>
    <row r="141" spans="1:1" s="43" customFormat="1" ht="12.75" customHeight="1" x14ac:dyDescent="0.2">
      <c r="A141" s="44"/>
    </row>
    <row r="142" spans="1:1" s="43" customFormat="1" ht="12.75" customHeight="1" x14ac:dyDescent="0.2">
      <c r="A142" s="44"/>
    </row>
    <row r="143" spans="1:1" s="43" customFormat="1" ht="12.75" customHeight="1" x14ac:dyDescent="0.2">
      <c r="A143" s="44"/>
    </row>
    <row r="144" spans="1:1" s="43" customFormat="1" ht="12.75" customHeight="1" x14ac:dyDescent="0.2">
      <c r="A144" s="44"/>
    </row>
    <row r="145" spans="1:1" s="43" customFormat="1" ht="12.75" customHeight="1" x14ac:dyDescent="0.2">
      <c r="A145" s="44"/>
    </row>
    <row r="146" spans="1:1" s="43" customFormat="1" ht="12.75" customHeight="1" x14ac:dyDescent="0.2">
      <c r="A146" s="44"/>
    </row>
    <row r="147" spans="1:1" s="43" customFormat="1" ht="12.75" customHeight="1" x14ac:dyDescent="0.2">
      <c r="A147" s="44"/>
    </row>
    <row r="148" spans="1:1" s="43" customFormat="1" ht="12.75" customHeight="1" x14ac:dyDescent="0.2">
      <c r="A148" s="44"/>
    </row>
    <row r="149" spans="1:1" s="43" customFormat="1" ht="12.75" customHeight="1" x14ac:dyDescent="0.2">
      <c r="A149" s="44"/>
    </row>
    <row r="150" spans="1:1" s="43" customFormat="1" ht="12.75" customHeight="1" x14ac:dyDescent="0.2">
      <c r="A150" s="44"/>
    </row>
    <row r="151" spans="1:1" s="43" customFormat="1" ht="12.75" customHeight="1" x14ac:dyDescent="0.2">
      <c r="A151" s="44"/>
    </row>
    <row r="152" spans="1:1" s="43" customFormat="1" ht="12.75" customHeight="1" x14ac:dyDescent="0.2">
      <c r="A152" s="44"/>
    </row>
    <row r="153" spans="1:1" s="43" customFormat="1" ht="12.75" customHeight="1" x14ac:dyDescent="0.2">
      <c r="A153" s="44"/>
    </row>
    <row r="154" spans="1:1" s="43" customFormat="1" ht="12.75" customHeight="1" x14ac:dyDescent="0.2">
      <c r="A154" s="44"/>
    </row>
    <row r="155" spans="1:1" s="43" customFormat="1" ht="12.75" customHeight="1" x14ac:dyDescent="0.2">
      <c r="A155" s="44"/>
    </row>
    <row r="156" spans="1:1" s="43" customFormat="1" ht="12.75" customHeight="1" x14ac:dyDescent="0.2">
      <c r="A156" s="44"/>
    </row>
    <row r="157" spans="1:1" s="43" customFormat="1" ht="12.75" customHeight="1" x14ac:dyDescent="0.2">
      <c r="A157" s="44"/>
    </row>
    <row r="158" spans="1:1" s="43" customFormat="1" ht="12.75" customHeight="1" x14ac:dyDescent="0.2">
      <c r="A158" s="44"/>
    </row>
    <row r="159" spans="1:1" s="43" customFormat="1" ht="12.75" customHeight="1" x14ac:dyDescent="0.2">
      <c r="A159" s="44"/>
    </row>
    <row r="160" spans="1:1" s="43" customFormat="1" ht="12.75" customHeight="1" x14ac:dyDescent="0.2">
      <c r="A160" s="44"/>
    </row>
    <row r="161" spans="1:14" s="43" customFormat="1" ht="12.75" customHeight="1" x14ac:dyDescent="0.2">
      <c r="A161" s="44"/>
    </row>
    <row r="162" spans="1:14" s="43" customFormat="1" ht="12.75" customHeight="1" x14ac:dyDescent="0.2">
      <c r="A162" s="44"/>
    </row>
    <row r="163" spans="1:14" s="43" customFormat="1" ht="12.75" customHeight="1" x14ac:dyDescent="0.2">
      <c r="A163" s="44"/>
    </row>
    <row r="164" spans="1:14" ht="12.75" customHeight="1" x14ac:dyDescent="0.2">
      <c r="B164" s="43"/>
      <c r="C164" s="43"/>
      <c r="D164" s="43"/>
      <c r="E164" s="43"/>
      <c r="F164" s="43"/>
      <c r="G164" s="43"/>
      <c r="H164" s="43"/>
      <c r="I164" s="43"/>
      <c r="J164" s="43"/>
      <c r="K164" s="43"/>
      <c r="L164" s="43"/>
      <c r="M164" s="43"/>
      <c r="N164" s="43"/>
    </row>
    <row r="165" spans="1:14" ht="12.75" customHeight="1" x14ac:dyDescent="0.2">
      <c r="B165" s="43"/>
      <c r="C165" s="43"/>
      <c r="D165" s="43"/>
      <c r="E165" s="43"/>
      <c r="F165" s="43"/>
      <c r="G165" s="43"/>
      <c r="H165" s="43"/>
      <c r="I165" s="43"/>
      <c r="J165" s="43"/>
      <c r="K165" s="43"/>
      <c r="L165" s="43"/>
      <c r="M165" s="43"/>
      <c r="N165" s="43"/>
    </row>
    <row r="166" spans="1:14" ht="12.75" customHeight="1" x14ac:dyDescent="0.2">
      <c r="B166" s="43"/>
      <c r="C166" s="43"/>
      <c r="D166" s="43"/>
      <c r="E166" s="43"/>
      <c r="F166" s="43"/>
      <c r="G166" s="43"/>
      <c r="H166" s="43"/>
      <c r="I166" s="43"/>
      <c r="J166" s="43"/>
      <c r="K166" s="43"/>
      <c r="L166" s="43"/>
      <c r="M166" s="43"/>
      <c r="N166" s="43"/>
    </row>
    <row r="167" spans="1:14" ht="12.75" customHeight="1" x14ac:dyDescent="0.2">
      <c r="B167" s="43"/>
      <c r="C167" s="43"/>
      <c r="D167" s="43"/>
      <c r="E167" s="43"/>
      <c r="F167" s="43"/>
      <c r="G167" s="43"/>
      <c r="H167" s="43"/>
      <c r="I167" s="43"/>
      <c r="J167" s="43"/>
      <c r="K167" s="43"/>
      <c r="L167" s="43"/>
      <c r="M167" s="43"/>
      <c r="N167" s="43"/>
    </row>
    <row r="168" spans="1:14" ht="12.75" customHeight="1" x14ac:dyDescent="0.2">
      <c r="B168" s="43"/>
      <c r="C168" s="43"/>
      <c r="D168" s="43"/>
      <c r="E168" s="43"/>
      <c r="F168" s="43"/>
      <c r="G168" s="43"/>
      <c r="H168" s="43"/>
      <c r="I168" s="43"/>
      <c r="J168" s="43"/>
      <c r="K168" s="43"/>
      <c r="L168" s="43"/>
      <c r="M168" s="43"/>
      <c r="N168" s="43"/>
    </row>
    <row r="169" spans="1:14" ht="12.75" customHeight="1" x14ac:dyDescent="0.2">
      <c r="B169" s="43"/>
      <c r="C169" s="43"/>
      <c r="D169" s="43"/>
      <c r="E169" s="43"/>
      <c r="F169" s="43"/>
      <c r="G169" s="43"/>
      <c r="H169" s="43"/>
      <c r="I169" s="43"/>
      <c r="J169" s="43"/>
      <c r="K169" s="43"/>
      <c r="L169" s="43"/>
      <c r="M169" s="43"/>
      <c r="N169" s="43"/>
    </row>
    <row r="170" spans="1:14" ht="12.75" customHeight="1" x14ac:dyDescent="0.2">
      <c r="B170" s="43"/>
      <c r="C170" s="43"/>
      <c r="D170" s="43"/>
      <c r="E170" s="43"/>
      <c r="F170" s="43"/>
      <c r="G170" s="43"/>
      <c r="H170" s="43"/>
      <c r="I170" s="43"/>
      <c r="J170" s="43"/>
      <c r="K170" s="43"/>
      <c r="L170" s="43"/>
      <c r="M170" s="43"/>
      <c r="N170" s="43"/>
    </row>
    <row r="171" spans="1:14" ht="12.75" customHeight="1" x14ac:dyDescent="0.2">
      <c r="B171" s="43"/>
      <c r="C171" s="43"/>
      <c r="D171" s="43"/>
      <c r="E171" s="43"/>
      <c r="F171" s="43"/>
      <c r="G171" s="43"/>
      <c r="H171" s="43"/>
      <c r="I171" s="43"/>
      <c r="J171" s="43"/>
      <c r="K171" s="43"/>
      <c r="L171" s="43"/>
      <c r="M171" s="43"/>
      <c r="N171" s="43"/>
    </row>
    <row r="172" spans="1:14" ht="12.75" customHeight="1" x14ac:dyDescent="0.2">
      <c r="B172" s="43"/>
      <c r="C172" s="43"/>
      <c r="D172" s="43"/>
      <c r="E172" s="43"/>
      <c r="F172" s="43"/>
      <c r="G172" s="43"/>
      <c r="H172" s="43"/>
      <c r="I172" s="43"/>
      <c r="J172" s="43"/>
      <c r="K172" s="43"/>
      <c r="L172" s="43"/>
      <c r="M172" s="43"/>
      <c r="N172" s="43"/>
    </row>
    <row r="173" spans="1:14" ht="12.75" customHeight="1" x14ac:dyDescent="0.2">
      <c r="B173" s="43"/>
      <c r="C173" s="43"/>
      <c r="D173" s="43"/>
      <c r="E173" s="43"/>
      <c r="F173" s="43"/>
      <c r="G173" s="43"/>
      <c r="H173" s="43"/>
      <c r="I173" s="43"/>
      <c r="J173" s="43"/>
      <c r="K173" s="43"/>
      <c r="L173" s="43"/>
      <c r="M173" s="43"/>
      <c r="N173" s="43"/>
    </row>
    <row r="174" spans="1:14" ht="12.75" customHeight="1" x14ac:dyDescent="0.2">
      <c r="B174" s="43"/>
      <c r="C174" s="43"/>
      <c r="D174" s="43"/>
      <c r="E174" s="43"/>
      <c r="F174" s="43"/>
      <c r="G174" s="43"/>
      <c r="H174" s="43"/>
      <c r="I174" s="43"/>
      <c r="J174" s="43"/>
      <c r="K174" s="43"/>
      <c r="L174" s="43"/>
      <c r="M174" s="43"/>
      <c r="N174" s="43"/>
    </row>
    <row r="175" spans="1:14" ht="12.75" customHeight="1" x14ac:dyDescent="0.2">
      <c r="B175" s="43"/>
      <c r="C175" s="43"/>
      <c r="D175" s="43"/>
      <c r="E175" s="43"/>
      <c r="F175" s="43"/>
      <c r="G175" s="43"/>
      <c r="H175" s="43"/>
      <c r="I175" s="43"/>
      <c r="J175" s="43"/>
      <c r="K175" s="43"/>
      <c r="L175" s="43"/>
      <c r="M175" s="43"/>
      <c r="N175" s="43"/>
    </row>
  </sheetData>
  <sheetProtection password="EC65" sheet="1" selectLockedCells="1"/>
  <mergeCells count="12">
    <mergeCell ref="J20:K20"/>
    <mergeCell ref="D5:G5"/>
    <mergeCell ref="M11:N12"/>
    <mergeCell ref="K11:L12"/>
    <mergeCell ref="D7:I7"/>
    <mergeCell ref="K5:N7"/>
    <mergeCell ref="K8:N9"/>
    <mergeCell ref="C18:M18"/>
    <mergeCell ref="D9:G9"/>
    <mergeCell ref="L20:M20"/>
    <mergeCell ref="G20:H20"/>
    <mergeCell ref="D19:L19"/>
  </mergeCells>
  <phoneticPr fontId="0" type="noConversion"/>
  <conditionalFormatting sqref="S39">
    <cfRule type="expression" priority="8" stopIfTrue="1">
      <formula>ISERROR(S39)</formula>
    </cfRule>
  </conditionalFormatting>
  <pageMargins left="0.38" right="0.32" top="0.4" bottom="0.37" header="0.22" footer="0.19"/>
  <pageSetup orientation="portrait" r:id="rId1"/>
  <headerFooter alignWithMargins="0">
    <oddFooter>&amp;Lhttp://www.crab.wa.gov/grants/PSRWKSHT.xls&amp;R7/14/04</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85"/>
  <sheetViews>
    <sheetView showGridLines="0" workbookViewId="0">
      <selection activeCell="C29" sqref="C29"/>
    </sheetView>
  </sheetViews>
  <sheetFormatPr defaultColWidth="7.7109375" defaultRowHeight="12.75" x14ac:dyDescent="0.2"/>
  <cols>
    <col min="1" max="16384" width="7.7109375" style="174"/>
  </cols>
  <sheetData>
    <row r="1" spans="2:12" ht="13.5" thickBot="1" x14ac:dyDescent="0.25"/>
    <row r="2" spans="2:12" x14ac:dyDescent="0.2">
      <c r="B2" s="127"/>
      <c r="C2" s="128"/>
      <c r="D2" s="128"/>
      <c r="E2" s="128"/>
      <c r="F2" s="128"/>
      <c r="G2" s="128"/>
      <c r="H2" s="128"/>
      <c r="I2" s="128"/>
      <c r="J2" s="128"/>
      <c r="K2" s="128"/>
      <c r="L2" s="129"/>
    </row>
    <row r="3" spans="2:12" x14ac:dyDescent="0.2">
      <c r="B3" s="130"/>
      <c r="C3" s="48"/>
      <c r="D3" s="246" t="s">
        <v>132</v>
      </c>
      <c r="E3" s="247"/>
      <c r="F3" s="479"/>
      <c r="G3" s="479"/>
      <c r="H3" s="22"/>
      <c r="I3" s="248" t="s">
        <v>302</v>
      </c>
      <c r="J3" s="248"/>
      <c r="K3" s="48"/>
      <c r="L3" s="131"/>
    </row>
    <row r="4" spans="2:12" x14ac:dyDescent="0.2">
      <c r="B4" s="130"/>
      <c r="C4" s="48"/>
      <c r="D4" s="200"/>
      <c r="E4" s="200"/>
      <c r="F4" s="200"/>
      <c r="G4" s="200"/>
      <c r="H4" s="481" t="s">
        <v>396</v>
      </c>
      <c r="I4" s="481"/>
      <c r="J4" s="481"/>
      <c r="K4" s="48"/>
      <c r="L4" s="131"/>
    </row>
    <row r="5" spans="2:12" x14ac:dyDescent="0.2">
      <c r="B5" s="130"/>
      <c r="C5" s="48"/>
      <c r="D5" s="81"/>
      <c r="E5" s="48" t="s">
        <v>377</v>
      </c>
      <c r="F5" s="48"/>
      <c r="G5" s="48"/>
      <c r="H5" s="481"/>
      <c r="I5" s="481"/>
      <c r="J5" s="481"/>
      <c r="K5" s="48"/>
      <c r="L5" s="131"/>
    </row>
    <row r="6" spans="2:12" x14ac:dyDescent="0.2">
      <c r="B6" s="130"/>
      <c r="C6" s="48"/>
      <c r="D6" s="48"/>
      <c r="E6" s="201" t="s">
        <v>378</v>
      </c>
      <c r="F6" s="48"/>
      <c r="G6" s="48"/>
      <c r="H6" s="22"/>
      <c r="I6" s="16"/>
      <c r="J6" s="46" t="s">
        <v>353</v>
      </c>
      <c r="K6" s="48"/>
      <c r="L6" s="137"/>
    </row>
    <row r="7" spans="2:12" x14ac:dyDescent="0.2">
      <c r="B7" s="130"/>
      <c r="C7" s="47" t="s">
        <v>133</v>
      </c>
      <c r="D7" s="16"/>
      <c r="E7" s="16"/>
      <c r="F7" s="46"/>
      <c r="G7" s="48"/>
      <c r="H7" s="22"/>
      <c r="I7" s="16"/>
      <c r="J7" s="46" t="s">
        <v>135</v>
      </c>
      <c r="K7" s="48"/>
      <c r="L7" s="138"/>
    </row>
    <row r="8" spans="2:12" x14ac:dyDescent="0.2">
      <c r="B8" s="130"/>
      <c r="C8" s="47" t="s">
        <v>134</v>
      </c>
      <c r="D8" s="16"/>
      <c r="E8" s="16"/>
      <c r="F8" s="46"/>
      <c r="G8" s="48"/>
      <c r="H8" s="22"/>
      <c r="I8" s="16"/>
      <c r="J8" s="46" t="s">
        <v>44</v>
      </c>
      <c r="K8" s="48"/>
      <c r="L8" s="137"/>
    </row>
    <row r="9" spans="2:12" x14ac:dyDescent="0.2">
      <c r="B9" s="207"/>
      <c r="C9" s="169"/>
      <c r="D9" s="169"/>
      <c r="E9" s="46"/>
      <c r="F9" s="46"/>
      <c r="G9" s="48"/>
      <c r="H9" s="169"/>
      <c r="I9" s="46"/>
      <c r="J9" s="48"/>
      <c r="K9" s="24"/>
      <c r="L9" s="137"/>
    </row>
    <row r="10" spans="2:12" x14ac:dyDescent="0.2">
      <c r="B10" s="207"/>
      <c r="C10" s="169"/>
      <c r="D10" s="169"/>
      <c r="E10" s="46"/>
      <c r="F10" s="46"/>
      <c r="G10" s="48"/>
      <c r="H10" s="39"/>
      <c r="I10" s="169"/>
      <c r="J10" s="48"/>
      <c r="K10" s="24"/>
      <c r="L10" s="137"/>
    </row>
    <row r="11" spans="2:12" x14ac:dyDescent="0.2">
      <c r="B11" s="207"/>
      <c r="C11" s="169"/>
      <c r="D11" s="169"/>
      <c r="E11" s="46"/>
      <c r="F11" s="46"/>
      <c r="G11" s="48"/>
      <c r="H11" s="39"/>
      <c r="I11" s="169"/>
      <c r="J11" s="48"/>
      <c r="K11" s="24"/>
      <c r="L11" s="137"/>
    </row>
    <row r="12" spans="2:12" x14ac:dyDescent="0.2">
      <c r="B12" s="207"/>
      <c r="C12" s="480" t="s">
        <v>382</v>
      </c>
      <c r="D12" s="480"/>
      <c r="E12" s="480"/>
      <c r="F12" s="46"/>
      <c r="G12" s="48"/>
      <c r="H12" s="169"/>
      <c r="I12" s="46"/>
      <c r="J12" s="48"/>
      <c r="K12" s="24"/>
      <c r="L12" s="137"/>
    </row>
    <row r="13" spans="2:12" x14ac:dyDescent="0.2">
      <c r="B13" s="130"/>
      <c r="C13" s="61"/>
      <c r="D13" s="61"/>
      <c r="E13" s="61"/>
      <c r="F13" s="61"/>
      <c r="G13" s="81"/>
      <c r="H13" s="46"/>
      <c r="I13" s="48"/>
      <c r="J13" s="48"/>
      <c r="K13" s="24"/>
      <c r="L13" s="137"/>
    </row>
    <row r="14" spans="2:12" x14ac:dyDescent="0.2">
      <c r="B14" s="207"/>
      <c r="C14" s="169" t="s">
        <v>347</v>
      </c>
      <c r="D14" s="88"/>
      <c r="E14" s="88"/>
      <c r="F14" s="88"/>
      <c r="G14" s="48"/>
      <c r="H14" s="48"/>
      <c r="I14" s="48"/>
      <c r="J14" s="48"/>
      <c r="K14" s="24"/>
      <c r="L14" s="137"/>
    </row>
    <row r="15" spans="2:12" x14ac:dyDescent="0.2">
      <c r="B15" s="130"/>
      <c r="C15" s="80" t="s">
        <v>361</v>
      </c>
      <c r="D15" s="61"/>
      <c r="E15" s="48"/>
      <c r="F15" s="48"/>
      <c r="G15" s="48"/>
      <c r="H15" s="48"/>
      <c r="I15" s="48"/>
      <c r="J15" s="205" t="s">
        <v>28</v>
      </c>
      <c r="K15" s="48"/>
      <c r="L15" s="137"/>
    </row>
    <row r="16" spans="2:12" x14ac:dyDescent="0.2">
      <c r="B16" s="130"/>
      <c r="C16" s="16"/>
      <c r="D16" s="140" t="s">
        <v>322</v>
      </c>
      <c r="E16" s="48"/>
      <c r="F16" s="48"/>
      <c r="G16" s="48"/>
      <c r="H16" s="48"/>
      <c r="I16" s="48"/>
      <c r="J16" s="202" t="str">
        <f>IF(Geometry!C180=0,"",K16)</f>
        <v/>
      </c>
      <c r="K16" s="249" t="e">
        <f>IF(AND(Geometry!C180&lt;&gt;0,Geometry!C180&lt;=1),1,1/Geometry!C180)</f>
        <v>#DIV/0!</v>
      </c>
      <c r="L16" s="131"/>
    </row>
    <row r="17" spans="2:12" x14ac:dyDescent="0.2">
      <c r="B17" s="130"/>
      <c r="C17" s="16"/>
      <c r="D17" s="140" t="s">
        <v>323</v>
      </c>
      <c r="E17" s="48"/>
      <c r="F17" s="48"/>
      <c r="G17" s="48"/>
      <c r="H17" s="48"/>
      <c r="I17" s="48"/>
      <c r="J17" s="202" t="str">
        <f>IF(Geometry!C181=0,"",K17)</f>
        <v/>
      </c>
      <c r="K17" s="249" t="e">
        <f>IF(AND(Geometry!C181&lt;&gt;0,Geometry!C181&lt;=1),1,1/Geometry!C181)</f>
        <v>#DIV/0!</v>
      </c>
      <c r="L17" s="131"/>
    </row>
    <row r="18" spans="2:12" x14ac:dyDescent="0.2">
      <c r="B18" s="130"/>
      <c r="C18" s="16"/>
      <c r="D18" s="140" t="s">
        <v>324</v>
      </c>
      <c r="E18" s="48"/>
      <c r="F18" s="46"/>
      <c r="G18" s="48"/>
      <c r="H18" s="48"/>
      <c r="I18" s="48"/>
      <c r="J18" s="202" t="str">
        <f>IF(Geometry!C182=0,"",K18)</f>
        <v/>
      </c>
      <c r="K18" s="249" t="e">
        <f>IF(AND(Geometry!C182&lt;&gt;0,Geometry!C182&lt;=1),1,1/Geometry!C182)</f>
        <v>#DIV/0!</v>
      </c>
      <c r="L18" s="131"/>
    </row>
    <row r="19" spans="2:12" x14ac:dyDescent="0.2">
      <c r="B19" s="130"/>
      <c r="C19" s="16"/>
      <c r="D19" s="35" t="s">
        <v>325</v>
      </c>
      <c r="E19" s="48"/>
      <c r="F19" s="46"/>
      <c r="G19" s="48"/>
      <c r="H19" s="48"/>
      <c r="I19" s="48"/>
      <c r="J19" s="202" t="str">
        <f>IF(Geometry!C183=0,"",K19)</f>
        <v/>
      </c>
      <c r="K19" s="249" t="e">
        <f>IF(AND(Geometry!C183&lt;&gt;0,Geometry!C183&lt;=1),1,1/Geometry!C183)</f>
        <v>#DIV/0!</v>
      </c>
      <c r="L19" s="131"/>
    </row>
    <row r="20" spans="2:12" ht="13.5" thickBot="1" x14ac:dyDescent="0.25">
      <c r="B20" s="130"/>
      <c r="C20" s="16"/>
      <c r="D20" s="40" t="s">
        <v>326</v>
      </c>
      <c r="E20" s="48"/>
      <c r="F20" s="46"/>
      <c r="G20" s="48"/>
      <c r="H20" s="48"/>
      <c r="I20" s="208" t="s">
        <v>379</v>
      </c>
      <c r="J20" s="204" t="str">
        <f>IF(Geometry!C184=0,"",K20)</f>
        <v/>
      </c>
      <c r="K20" s="249" t="e">
        <f>IF(AND(Geometry!C184&lt;&gt;0,Geometry!C184&lt;=1),1,1/Geometry!C184)</f>
        <v>#DIV/0!</v>
      </c>
      <c r="L20" s="131"/>
    </row>
    <row r="21" spans="2:12" x14ac:dyDescent="0.2">
      <c r="B21" s="130"/>
      <c r="C21" s="169"/>
      <c r="D21" s="37"/>
      <c r="E21" s="48"/>
      <c r="F21" s="46"/>
      <c r="G21" s="169"/>
      <c r="H21" s="37"/>
      <c r="I21" s="48"/>
      <c r="J21" s="203">
        <f>SUM(J16:J20)</f>
        <v>0</v>
      </c>
      <c r="K21" s="250"/>
      <c r="L21" s="131"/>
    </row>
    <row r="22" spans="2:12" x14ac:dyDescent="0.2">
      <c r="B22" s="130"/>
      <c r="C22" s="169"/>
      <c r="D22" s="37"/>
      <c r="E22" s="48"/>
      <c r="F22" s="46"/>
      <c r="G22" s="169"/>
      <c r="H22" s="37"/>
      <c r="I22" s="48"/>
      <c r="J22" s="170"/>
      <c r="K22" s="250"/>
      <c r="L22" s="131"/>
    </row>
    <row r="23" spans="2:12" x14ac:dyDescent="0.2">
      <c r="B23" s="130"/>
      <c r="C23" s="139" t="s">
        <v>348</v>
      </c>
      <c r="D23" s="46"/>
      <c r="E23" s="48"/>
      <c r="F23" s="46"/>
      <c r="G23" s="169"/>
      <c r="H23" s="37"/>
      <c r="I23" s="48"/>
      <c r="J23" s="170"/>
      <c r="K23" s="40"/>
      <c r="L23" s="131"/>
    </row>
    <row r="24" spans="2:12" x14ac:dyDescent="0.2">
      <c r="B24" s="130"/>
      <c r="C24" s="197" t="s">
        <v>361</v>
      </c>
      <c r="D24" s="48"/>
      <c r="E24" s="48"/>
      <c r="F24" s="46"/>
      <c r="G24" s="169"/>
      <c r="H24" s="37"/>
      <c r="I24" s="48"/>
      <c r="J24" s="205" t="s">
        <v>28</v>
      </c>
      <c r="K24" s="40"/>
      <c r="L24" s="131"/>
    </row>
    <row r="25" spans="2:12" x14ac:dyDescent="0.2">
      <c r="B25" s="130"/>
      <c r="C25" s="198"/>
      <c r="D25" s="48" t="s">
        <v>351</v>
      </c>
      <c r="E25" s="48"/>
      <c r="F25" s="46"/>
      <c r="G25" s="169"/>
      <c r="H25" s="37"/>
      <c r="I25" s="48"/>
      <c r="J25" s="202" t="str">
        <f>IF(Geometry!C191=0,"",K25)</f>
        <v/>
      </c>
      <c r="K25" s="249" t="e">
        <f>IF(AND(Geometry!C191&lt;&gt;0,Geometry!C191&lt;=1),1,1/Geometry!C191)</f>
        <v>#DIV/0!</v>
      </c>
      <c r="L25" s="131"/>
    </row>
    <row r="26" spans="2:12" x14ac:dyDescent="0.2">
      <c r="B26" s="130"/>
      <c r="C26" s="198"/>
      <c r="D26" s="37" t="s">
        <v>352</v>
      </c>
      <c r="E26" s="48"/>
      <c r="F26" s="46"/>
      <c r="G26" s="169"/>
      <c r="H26" s="37"/>
      <c r="I26" s="48"/>
      <c r="J26" s="202" t="str">
        <f>IF(Geometry!C192=0,"",K26)</f>
        <v/>
      </c>
      <c r="K26" s="249" t="e">
        <f>IF(AND(Geometry!C192&lt;&gt;0,Geometry!C192&lt;=1),1,1/Geometry!C192)</f>
        <v>#DIV/0!</v>
      </c>
      <c r="L26" s="131"/>
    </row>
    <row r="27" spans="2:12" x14ac:dyDescent="0.2">
      <c r="B27" s="130"/>
      <c r="C27" s="198"/>
      <c r="D27" s="37" t="s">
        <v>328</v>
      </c>
      <c r="E27" s="48"/>
      <c r="F27" s="46"/>
      <c r="G27" s="169"/>
      <c r="H27" s="37"/>
      <c r="I27" s="48"/>
      <c r="J27" s="202" t="str">
        <f>IF(Geometry!C193=0,"",K27)</f>
        <v/>
      </c>
      <c r="K27" s="249" t="e">
        <f>IF(AND(Geometry!C193&lt;&gt;0,Geometry!C193&lt;=1),1,1/Geometry!C193)</f>
        <v>#DIV/0!</v>
      </c>
      <c r="L27" s="131"/>
    </row>
    <row r="28" spans="2:12" x14ac:dyDescent="0.2">
      <c r="B28" s="130"/>
      <c r="C28" s="198"/>
      <c r="D28" s="37" t="s">
        <v>329</v>
      </c>
      <c r="E28" s="48"/>
      <c r="F28" s="46"/>
      <c r="G28" s="169"/>
      <c r="H28" s="37"/>
      <c r="I28" s="48"/>
      <c r="J28" s="202" t="str">
        <f>IF(Geometry!C194=0,"",K28)</f>
        <v/>
      </c>
      <c r="K28" s="249" t="e">
        <f>IF(AND(Geometry!C194&lt;&gt;0,Geometry!C194&lt;=1),1,1/Geometry!C194)</f>
        <v>#DIV/0!</v>
      </c>
      <c r="L28" s="131"/>
    </row>
    <row r="29" spans="2:12" ht="13.5" thickBot="1" x14ac:dyDescent="0.25">
      <c r="B29" s="130"/>
      <c r="C29" s="198"/>
      <c r="D29" s="37" t="s">
        <v>330</v>
      </c>
      <c r="E29" s="48"/>
      <c r="F29" s="46"/>
      <c r="G29" s="169"/>
      <c r="H29" s="37"/>
      <c r="I29" s="48"/>
      <c r="J29" s="204" t="str">
        <f>IF(Geometry!C195=0,"",K29)</f>
        <v/>
      </c>
      <c r="K29" s="249" t="e">
        <f>IF(AND(Geometry!C195&lt;&gt;0,Geometry!C195&lt;=1),1,1/Geometry!C195)</f>
        <v>#DIV/0!</v>
      </c>
      <c r="L29" s="131"/>
    </row>
    <row r="30" spans="2:12" x14ac:dyDescent="0.2">
      <c r="B30" s="130"/>
      <c r="C30" s="169"/>
      <c r="D30" s="37"/>
      <c r="E30" s="48"/>
      <c r="F30" s="46"/>
      <c r="G30" s="169"/>
      <c r="H30" s="37"/>
      <c r="I30" s="209" t="s">
        <v>380</v>
      </c>
      <c r="J30" s="203">
        <f>SUM(J25:J29)</f>
        <v>0</v>
      </c>
      <c r="K30" s="40"/>
      <c r="L30" s="131"/>
    </row>
    <row r="31" spans="2:12" ht="13.5" thickBot="1" x14ac:dyDescent="0.25">
      <c r="B31" s="130"/>
      <c r="C31" s="169"/>
      <c r="D31" s="37"/>
      <c r="E31" s="48"/>
      <c r="F31" s="46"/>
      <c r="G31" s="169"/>
      <c r="H31" s="37"/>
      <c r="I31" s="48"/>
      <c r="J31" s="170"/>
      <c r="K31" s="40"/>
      <c r="L31" s="131"/>
    </row>
    <row r="32" spans="2:12" ht="14.25" thickTop="1" thickBot="1" x14ac:dyDescent="0.25">
      <c r="B32" s="130"/>
      <c r="C32" s="169"/>
      <c r="D32" s="37"/>
      <c r="E32" s="48"/>
      <c r="F32" s="46"/>
      <c r="G32" s="169"/>
      <c r="H32" s="37"/>
      <c r="I32" s="206" t="s">
        <v>381</v>
      </c>
      <c r="J32" s="251">
        <f>J21+J30</f>
        <v>0</v>
      </c>
      <c r="K32" s="40"/>
      <c r="L32" s="131"/>
    </row>
    <row r="33" spans="2:20" ht="13.5" thickTop="1" x14ac:dyDescent="0.2">
      <c r="B33" s="130"/>
      <c r="C33" s="169"/>
      <c r="D33" s="37"/>
      <c r="E33" s="48"/>
      <c r="F33" s="46"/>
      <c r="G33" s="169"/>
      <c r="H33" s="37"/>
      <c r="I33" s="48"/>
      <c r="J33" s="170"/>
      <c r="K33" s="40"/>
      <c r="L33" s="131"/>
    </row>
    <row r="34" spans="2:20" x14ac:dyDescent="0.2">
      <c r="B34" s="130"/>
      <c r="C34" s="169"/>
      <c r="D34" s="37"/>
      <c r="E34" s="48"/>
      <c r="F34" s="46"/>
      <c r="G34" s="169"/>
      <c r="H34" s="37"/>
      <c r="I34" s="48"/>
      <c r="J34" s="170"/>
      <c r="K34" s="40"/>
      <c r="L34" s="131"/>
    </row>
    <row r="35" spans="2:20" ht="13.5" thickBot="1" x14ac:dyDescent="0.25">
      <c r="B35" s="132"/>
      <c r="C35" s="133"/>
      <c r="D35" s="133"/>
      <c r="E35" s="133"/>
      <c r="F35" s="134"/>
      <c r="G35" s="133"/>
      <c r="H35" s="133"/>
      <c r="I35" s="133"/>
      <c r="J35" s="252"/>
      <c r="K35" s="252"/>
      <c r="L35" s="141"/>
    </row>
    <row r="36" spans="2:20" x14ac:dyDescent="0.2">
      <c r="K36" s="253"/>
    </row>
    <row r="40" spans="2:20" x14ac:dyDescent="0.2">
      <c r="B40" s="256" t="s">
        <v>15</v>
      </c>
      <c r="C40" s="199"/>
      <c r="D40" s="199"/>
      <c r="E40" s="199"/>
      <c r="F40" s="199"/>
      <c r="G40" s="199"/>
      <c r="H40" s="199"/>
      <c r="I40" s="257"/>
      <c r="J40" s="199"/>
      <c r="K40" s="257"/>
      <c r="L40" s="199"/>
      <c r="M40" s="199"/>
      <c r="N40" s="199"/>
      <c r="O40" s="199"/>
      <c r="P40" s="199"/>
      <c r="Q40" s="199"/>
      <c r="R40" s="199"/>
      <c r="S40" s="173"/>
      <c r="T40" s="173"/>
    </row>
    <row r="41" spans="2:20" x14ac:dyDescent="0.2">
      <c r="B41" s="199"/>
      <c r="C41" s="199"/>
      <c r="D41" s="199"/>
      <c r="E41" s="199"/>
      <c r="F41" s="199"/>
      <c r="G41" s="199"/>
      <c r="H41" s="199"/>
      <c r="I41" s="257"/>
      <c r="J41" s="199"/>
      <c r="K41" s="257"/>
      <c r="L41" s="199"/>
      <c r="M41" s="199"/>
      <c r="N41" s="199"/>
      <c r="O41" s="199"/>
      <c r="P41" s="199"/>
      <c r="Q41" s="199"/>
      <c r="R41" s="173"/>
      <c r="S41" s="173"/>
    </row>
    <row r="42" spans="2:20" x14ac:dyDescent="0.2">
      <c r="B42" s="199"/>
      <c r="C42" s="199"/>
      <c r="D42" s="199"/>
      <c r="E42" s="199"/>
      <c r="F42" s="199"/>
      <c r="G42" s="199"/>
      <c r="H42" s="199"/>
      <c r="I42" s="257"/>
      <c r="J42" s="199"/>
      <c r="K42" s="257"/>
      <c r="L42" s="199"/>
      <c r="M42" s="258" t="s">
        <v>180</v>
      </c>
      <c r="N42" s="258"/>
      <c r="O42" s="173"/>
    </row>
    <row r="43" spans="2:20" x14ac:dyDescent="0.2">
      <c r="B43" s="199"/>
      <c r="C43" s="199" t="s">
        <v>16</v>
      </c>
      <c r="D43" s="199"/>
      <c r="E43" s="199"/>
      <c r="F43" s="259">
        <f>'Traffic &amp; Accidents'!D7</f>
        <v>0</v>
      </c>
      <c r="G43" s="173"/>
      <c r="H43" s="199" t="s">
        <v>17</v>
      </c>
      <c r="I43" s="199"/>
      <c r="J43" s="259">
        <f>'Traffic &amp; Accidents'!E7</f>
        <v>0</v>
      </c>
      <c r="K43" s="173"/>
      <c r="L43" s="199"/>
      <c r="M43" s="199"/>
      <c r="N43" s="199"/>
      <c r="O43" s="173"/>
    </row>
    <row r="44" spans="2:20" x14ac:dyDescent="0.2">
      <c r="B44" s="199"/>
      <c r="C44" s="199"/>
      <c r="D44" s="199" t="s">
        <v>18</v>
      </c>
      <c r="E44" s="199"/>
      <c r="F44" s="199"/>
      <c r="G44" s="199"/>
      <c r="H44" s="173"/>
      <c r="I44" s="199"/>
      <c r="J44" s="199"/>
      <c r="K44" s="257"/>
      <c r="L44" s="199"/>
      <c r="M44" s="260" t="s">
        <v>181</v>
      </c>
      <c r="N44" s="260" t="s">
        <v>181</v>
      </c>
      <c r="O44" s="173"/>
    </row>
    <row r="45" spans="2:20" x14ac:dyDescent="0.2">
      <c r="B45" s="199"/>
      <c r="C45" s="199" t="s">
        <v>19</v>
      </c>
      <c r="D45" s="199"/>
      <c r="E45" s="199"/>
      <c r="F45" s="259">
        <f>'Traffic &amp; Accidents'!D8</f>
        <v>0</v>
      </c>
      <c r="G45" s="173"/>
      <c r="H45" s="199" t="s">
        <v>20</v>
      </c>
      <c r="I45" s="199"/>
      <c r="J45" s="259">
        <f>'Traffic &amp; Accidents'!E8</f>
        <v>0</v>
      </c>
      <c r="K45" s="173"/>
      <c r="L45" s="199"/>
      <c r="M45" s="260" t="s">
        <v>133</v>
      </c>
      <c r="N45" s="260" t="s">
        <v>182</v>
      </c>
      <c r="O45" s="173"/>
    </row>
    <row r="46" spans="2:20" x14ac:dyDescent="0.2">
      <c r="B46" s="199"/>
      <c r="C46" s="173"/>
      <c r="D46" s="173"/>
      <c r="E46" s="173"/>
      <c r="F46" s="173"/>
      <c r="G46" s="173"/>
      <c r="H46" s="173"/>
      <c r="I46" s="173"/>
      <c r="J46" s="173"/>
      <c r="K46" s="257"/>
      <c r="L46" s="199"/>
      <c r="M46" s="261" t="s">
        <v>183</v>
      </c>
      <c r="N46" s="261" t="s">
        <v>183</v>
      </c>
      <c r="O46" s="173"/>
    </row>
    <row r="47" spans="2:20" x14ac:dyDescent="0.2">
      <c r="B47" s="199"/>
      <c r="C47" s="199"/>
      <c r="D47" s="199" t="s">
        <v>21</v>
      </c>
      <c r="E47" s="199"/>
      <c r="F47" s="199"/>
      <c r="G47" s="199"/>
      <c r="H47" s="199"/>
      <c r="I47" s="257"/>
      <c r="J47" s="199"/>
      <c r="K47" s="257"/>
      <c r="L47" s="199"/>
      <c r="M47" s="260"/>
      <c r="N47" s="260"/>
      <c r="O47" s="173"/>
    </row>
    <row r="48" spans="2:20" x14ac:dyDescent="0.2">
      <c r="B48" s="199"/>
      <c r="C48" s="199"/>
      <c r="D48" s="199" t="s">
        <v>22</v>
      </c>
      <c r="E48" s="199"/>
      <c r="F48" s="199"/>
      <c r="G48" s="199"/>
      <c r="H48" s="199"/>
      <c r="I48" s="257"/>
      <c r="J48" s="199"/>
      <c r="K48" s="257"/>
      <c r="L48" s="199"/>
      <c r="M48" s="273">
        <f>IF(F43=0,0,M49)</f>
        <v>0</v>
      </c>
      <c r="N48" s="273">
        <f>IF(F45=0,0,N49)</f>
        <v>0</v>
      </c>
      <c r="O48" s="173"/>
    </row>
    <row r="49" spans="2:20" x14ac:dyDescent="0.2">
      <c r="B49" s="199"/>
      <c r="C49" s="199"/>
      <c r="D49" s="199"/>
      <c r="E49" s="199"/>
      <c r="F49" s="199"/>
      <c r="G49" s="199"/>
      <c r="H49" s="199"/>
      <c r="I49" s="257"/>
      <c r="J49" s="199"/>
      <c r="K49" s="257"/>
      <c r="L49" s="199"/>
      <c r="M49" s="262">
        <f>IF(AND(F43&lt;501,F43&lt;&gt;0),J57,M50)</f>
        <v>7</v>
      </c>
      <c r="N49" s="262">
        <f>IF(AND(F45&lt;51,F45&lt;&gt;0),J57,N50)</f>
        <v>7</v>
      </c>
      <c r="O49" s="173"/>
    </row>
    <row r="50" spans="2:20" x14ac:dyDescent="0.2">
      <c r="B50" s="199"/>
      <c r="C50" s="199"/>
      <c r="D50" s="199"/>
      <c r="E50" s="199"/>
      <c r="F50" s="199"/>
      <c r="G50" s="199"/>
      <c r="H50" s="199"/>
      <c r="I50" s="257"/>
      <c r="J50" s="199"/>
      <c r="K50" s="257"/>
      <c r="L50" s="199"/>
      <c r="M50" s="262">
        <f>IF(F43&lt;1001,J58,M51)</f>
        <v>7</v>
      </c>
      <c r="N50" s="262">
        <f>IF(F45&lt;101,J58,N51)</f>
        <v>7</v>
      </c>
      <c r="O50" s="173"/>
    </row>
    <row r="51" spans="2:20" x14ac:dyDescent="0.2">
      <c r="B51" s="199"/>
      <c r="C51" s="199"/>
      <c r="D51" s="173"/>
      <c r="E51" s="173"/>
      <c r="F51" s="173"/>
      <c r="G51" s="173"/>
      <c r="H51" s="173"/>
      <c r="I51" s="173"/>
      <c r="J51" s="199"/>
      <c r="K51" s="173"/>
      <c r="L51" s="199"/>
      <c r="M51" s="262">
        <f>IF(F43&lt;2001,J59,M52)</f>
        <v>10</v>
      </c>
      <c r="N51" s="262">
        <f>IF(F45&lt;201,J59,N52)</f>
        <v>10</v>
      </c>
      <c r="O51" s="173"/>
    </row>
    <row r="52" spans="2:20" x14ac:dyDescent="0.2">
      <c r="B52" s="199"/>
      <c r="C52" s="199"/>
      <c r="D52" s="199" t="s">
        <v>23</v>
      </c>
      <c r="E52" s="199"/>
      <c r="F52" s="199"/>
      <c r="G52" s="199"/>
      <c r="H52" s="199"/>
      <c r="I52" s="257"/>
      <c r="J52" s="199"/>
      <c r="K52" s="257"/>
      <c r="L52" s="199"/>
      <c r="M52" s="262">
        <f>IF(F43&lt;5001,J60,M53)</f>
        <v>15</v>
      </c>
      <c r="N52" s="262">
        <f>IF(F45&lt;501,J60,N53)</f>
        <v>15</v>
      </c>
      <c r="O52" s="173"/>
    </row>
    <row r="53" spans="2:20" x14ac:dyDescent="0.2">
      <c r="B53" s="173"/>
      <c r="C53" s="199"/>
      <c r="D53" s="173"/>
      <c r="E53" s="173"/>
      <c r="F53" s="199" t="s">
        <v>14</v>
      </c>
      <c r="G53" s="199"/>
      <c r="H53" s="199"/>
      <c r="I53" s="257"/>
      <c r="J53" s="199"/>
      <c r="K53" s="257"/>
      <c r="L53" s="199"/>
      <c r="M53" s="262" t="str">
        <f>IF(F43&gt;=5001,J61,"")</f>
        <v/>
      </c>
      <c r="N53" s="262" t="str">
        <f>IF(F45&gt;=501,J61,"")</f>
        <v/>
      </c>
      <c r="O53" s="173"/>
    </row>
    <row r="54" spans="2:20" x14ac:dyDescent="0.2">
      <c r="B54" s="199"/>
      <c r="C54" s="199"/>
      <c r="D54" s="257" t="s">
        <v>24</v>
      </c>
      <c r="E54" s="257"/>
      <c r="F54" s="173"/>
      <c r="G54" s="173"/>
      <c r="H54" s="257" t="s">
        <v>24</v>
      </c>
      <c r="I54" s="257"/>
      <c r="J54" s="257"/>
      <c r="K54" s="257"/>
      <c r="L54" s="199"/>
      <c r="M54" s="262"/>
      <c r="N54" s="262"/>
      <c r="O54" s="173"/>
    </row>
    <row r="55" spans="2:20" x14ac:dyDescent="0.2">
      <c r="B55" s="199" t="s">
        <v>25</v>
      </c>
      <c r="C55" s="199"/>
      <c r="D55" s="263" t="s">
        <v>26</v>
      </c>
      <c r="E55" s="257"/>
      <c r="F55" s="173"/>
      <c r="G55" s="173"/>
      <c r="H55" s="263" t="s">
        <v>27</v>
      </c>
      <c r="I55" s="173"/>
      <c r="J55" s="263" t="s">
        <v>28</v>
      </c>
      <c r="K55" s="257"/>
      <c r="L55" s="199"/>
      <c r="M55" s="262"/>
      <c r="N55" s="262"/>
      <c r="O55" s="173"/>
    </row>
    <row r="56" spans="2:20" x14ac:dyDescent="0.2">
      <c r="B56" s="199" t="s">
        <v>29</v>
      </c>
      <c r="C56" s="199"/>
      <c r="D56" s="257"/>
      <c r="E56" s="257"/>
      <c r="F56" s="173"/>
      <c r="G56" s="173"/>
      <c r="H56" s="257"/>
      <c r="I56" s="173"/>
      <c r="J56" s="257"/>
      <c r="K56" s="257"/>
      <c r="L56" s="199"/>
      <c r="M56" s="199"/>
      <c r="N56" s="173"/>
      <c r="O56" s="173"/>
    </row>
    <row r="57" spans="2:20" x14ac:dyDescent="0.2">
      <c r="B57" s="199"/>
      <c r="C57" s="199"/>
      <c r="D57" s="264" t="s">
        <v>234</v>
      </c>
      <c r="E57" s="257"/>
      <c r="F57" s="265" t="s">
        <v>55</v>
      </c>
      <c r="G57" s="173"/>
      <c r="H57" s="264" t="s">
        <v>233</v>
      </c>
      <c r="I57" s="173"/>
      <c r="J57" s="257">
        <v>3</v>
      </c>
      <c r="K57" s="257"/>
      <c r="L57" s="199"/>
      <c r="M57" s="199"/>
      <c r="N57" s="199"/>
      <c r="O57" s="199"/>
      <c r="P57" s="199"/>
      <c r="Q57" s="199"/>
      <c r="R57" s="173"/>
      <c r="S57" s="173"/>
    </row>
    <row r="58" spans="2:20" x14ac:dyDescent="0.2">
      <c r="B58" s="199"/>
      <c r="C58" s="199"/>
      <c r="D58" s="257" t="s">
        <v>30</v>
      </c>
      <c r="E58" s="257"/>
      <c r="F58" s="173"/>
      <c r="G58" s="173"/>
      <c r="H58" s="257" t="s">
        <v>31</v>
      </c>
      <c r="I58" s="173"/>
      <c r="J58" s="257">
        <v>7</v>
      </c>
      <c r="K58" s="257"/>
      <c r="L58" s="199"/>
      <c r="M58" s="199"/>
      <c r="N58" s="199"/>
      <c r="O58" s="199"/>
      <c r="P58" s="199"/>
      <c r="Q58" s="199"/>
      <c r="R58" s="199"/>
      <c r="S58" s="173"/>
      <c r="T58" s="173"/>
    </row>
    <row r="59" spans="2:20" x14ac:dyDescent="0.2">
      <c r="B59" s="199"/>
      <c r="C59" s="199"/>
      <c r="D59" s="257" t="s">
        <v>32</v>
      </c>
      <c r="E59" s="257"/>
      <c r="F59" s="173"/>
      <c r="G59" s="173"/>
      <c r="H59" s="257" t="s">
        <v>33</v>
      </c>
      <c r="I59" s="173"/>
      <c r="J59" s="257">
        <v>10</v>
      </c>
      <c r="K59" s="257"/>
      <c r="L59" s="199"/>
      <c r="M59" s="199"/>
      <c r="N59" s="199"/>
      <c r="O59" s="199"/>
      <c r="P59" s="199"/>
      <c r="Q59" s="199"/>
      <c r="R59" s="199"/>
      <c r="S59" s="173"/>
      <c r="T59" s="173"/>
    </row>
    <row r="60" spans="2:20" x14ac:dyDescent="0.2">
      <c r="B60" s="199"/>
      <c r="C60" s="199"/>
      <c r="D60" s="257" t="s">
        <v>34</v>
      </c>
      <c r="E60" s="257"/>
      <c r="F60" s="173"/>
      <c r="G60" s="173"/>
      <c r="H60" s="257" t="s">
        <v>35</v>
      </c>
      <c r="I60" s="173"/>
      <c r="J60" s="257">
        <v>15</v>
      </c>
      <c r="K60" s="257"/>
      <c r="L60" s="199"/>
      <c r="M60" s="199"/>
      <c r="N60" s="199"/>
      <c r="O60" s="199"/>
      <c r="P60" s="199"/>
      <c r="Q60" s="199"/>
      <c r="R60" s="199"/>
      <c r="S60" s="173"/>
      <c r="T60" s="173"/>
    </row>
    <row r="61" spans="2:20" x14ac:dyDescent="0.2">
      <c r="B61" s="199"/>
      <c r="C61" s="199"/>
      <c r="D61" s="264" t="s">
        <v>231</v>
      </c>
      <c r="E61" s="257"/>
      <c r="F61" s="173"/>
      <c r="G61" s="173"/>
      <c r="H61" s="264" t="s">
        <v>232</v>
      </c>
      <c r="I61" s="173"/>
      <c r="J61" s="257">
        <v>20</v>
      </c>
      <c r="K61" s="257"/>
      <c r="L61" s="199"/>
      <c r="M61" s="199"/>
      <c r="N61" s="199"/>
      <c r="O61" s="199"/>
      <c r="P61" s="199"/>
      <c r="Q61" s="199"/>
      <c r="R61" s="199"/>
      <c r="S61" s="173"/>
      <c r="T61" s="173"/>
    </row>
    <row r="62" spans="2:20" x14ac:dyDescent="0.2">
      <c r="B62" s="199"/>
      <c r="C62" s="199"/>
      <c r="D62" s="173"/>
      <c r="E62" s="173"/>
      <c r="F62" s="173"/>
      <c r="G62" s="173"/>
      <c r="H62" s="173"/>
      <c r="I62" s="173"/>
      <c r="J62" s="199"/>
      <c r="K62" s="257"/>
      <c r="L62" s="199"/>
      <c r="M62" s="199"/>
      <c r="N62" s="199"/>
      <c r="O62" s="199"/>
      <c r="P62" s="199"/>
      <c r="Q62" s="199"/>
      <c r="R62" s="199"/>
      <c r="S62" s="173"/>
      <c r="T62" s="173"/>
    </row>
    <row r="63" spans="2:20" x14ac:dyDescent="0.2">
      <c r="B63" s="199"/>
      <c r="C63" s="199"/>
      <c r="D63" s="173"/>
      <c r="E63" s="173"/>
      <c r="F63" s="173"/>
      <c r="G63" s="173"/>
      <c r="H63" s="173"/>
      <c r="I63" s="173"/>
      <c r="J63" s="199"/>
      <c r="K63" s="257"/>
      <c r="L63" s="199"/>
      <c r="M63" s="199"/>
      <c r="N63" s="199"/>
      <c r="O63" s="199"/>
      <c r="P63" s="199"/>
      <c r="Q63" s="199"/>
      <c r="R63" s="199"/>
      <c r="S63" s="173"/>
      <c r="T63" s="173"/>
    </row>
    <row r="64" spans="2:20" x14ac:dyDescent="0.2">
      <c r="B64" s="199"/>
      <c r="C64" s="199"/>
      <c r="D64" s="199"/>
      <c r="E64" s="199"/>
      <c r="F64" s="199"/>
      <c r="H64" s="199"/>
      <c r="I64" s="254" t="s">
        <v>36</v>
      </c>
      <c r="J64" s="255">
        <f>IF(F45&gt;(F43/10),N48,M48)</f>
        <v>0</v>
      </c>
      <c r="K64" s="199"/>
      <c r="L64" s="199"/>
      <c r="M64" s="199"/>
      <c r="N64" s="199"/>
      <c r="O64" s="173"/>
      <c r="P64" s="173"/>
    </row>
    <row r="65" spans="2:20" x14ac:dyDescent="0.2">
      <c r="B65" s="199"/>
      <c r="C65" s="199"/>
      <c r="D65" s="199"/>
      <c r="E65" s="199"/>
      <c r="F65" s="199"/>
      <c r="G65" s="199"/>
      <c r="H65" s="199"/>
      <c r="I65" s="257"/>
      <c r="J65" s="199"/>
      <c r="K65" s="257"/>
      <c r="L65" s="199"/>
      <c r="M65" s="199"/>
      <c r="N65" s="199"/>
      <c r="O65" s="199"/>
      <c r="P65" s="199"/>
      <c r="Q65" s="199"/>
      <c r="R65" s="199"/>
      <c r="S65" s="173"/>
      <c r="T65" s="173"/>
    </row>
    <row r="66" spans="2:20" x14ac:dyDescent="0.2">
      <c r="B66" s="199"/>
      <c r="C66" s="199"/>
      <c r="D66" s="199"/>
      <c r="E66" s="199"/>
      <c r="F66" s="199"/>
      <c r="G66" s="199"/>
      <c r="H66" s="199"/>
      <c r="I66" s="257"/>
      <c r="J66" s="199"/>
      <c r="K66" s="257"/>
      <c r="L66" s="199"/>
      <c r="M66" s="199"/>
      <c r="N66" s="199"/>
      <c r="O66" s="199"/>
      <c r="P66" s="199"/>
      <c r="Q66" s="199"/>
      <c r="R66" s="199"/>
      <c r="S66" s="173"/>
      <c r="T66" s="173"/>
    </row>
    <row r="67" spans="2:20" x14ac:dyDescent="0.2">
      <c r="B67" s="199"/>
      <c r="C67" s="199"/>
      <c r="D67" s="199"/>
      <c r="E67" s="199"/>
      <c r="F67" s="199"/>
      <c r="G67" s="199"/>
      <c r="H67" s="199"/>
      <c r="I67" s="257"/>
      <c r="J67" s="199"/>
      <c r="K67" s="257"/>
      <c r="L67" s="199"/>
      <c r="M67" s="199"/>
      <c r="N67" s="199"/>
      <c r="O67" s="199"/>
      <c r="P67" s="199"/>
      <c r="Q67" s="199"/>
      <c r="R67" s="199"/>
      <c r="S67" s="173"/>
      <c r="T67" s="173"/>
    </row>
    <row r="68" spans="2:20" x14ac:dyDescent="0.2">
      <c r="B68" s="256" t="s">
        <v>37</v>
      </c>
      <c r="C68" s="199"/>
      <c r="D68" s="199"/>
      <c r="E68" s="199"/>
      <c r="F68" s="199"/>
      <c r="G68" s="199"/>
      <c r="H68" s="199"/>
      <c r="I68" s="257"/>
      <c r="J68" s="199"/>
      <c r="K68" s="257"/>
      <c r="L68" s="199"/>
      <c r="M68" s="199"/>
      <c r="N68" s="199"/>
      <c r="O68" s="199"/>
      <c r="P68" s="199"/>
      <c r="Q68" s="199"/>
      <c r="R68" s="199"/>
      <c r="S68" s="173"/>
      <c r="T68" s="173"/>
    </row>
    <row r="69" spans="2:20" x14ac:dyDescent="0.2">
      <c r="B69" s="199"/>
      <c r="C69" s="199"/>
      <c r="D69" s="199"/>
      <c r="E69" s="199"/>
      <c r="F69" s="199"/>
      <c r="G69" s="199"/>
      <c r="H69" s="199"/>
      <c r="I69" s="257"/>
      <c r="J69" s="199"/>
      <c r="K69" s="257"/>
      <c r="L69" s="199"/>
      <c r="M69" s="199"/>
      <c r="N69" s="199"/>
      <c r="O69" s="199"/>
      <c r="P69" s="199"/>
      <c r="Q69" s="199"/>
      <c r="R69" s="199"/>
      <c r="S69" s="173"/>
      <c r="T69" s="173"/>
    </row>
    <row r="70" spans="2:20" x14ac:dyDescent="0.2">
      <c r="B70" s="199"/>
      <c r="C70" s="199"/>
      <c r="D70" s="199"/>
      <c r="E70" s="199"/>
      <c r="F70" s="199"/>
      <c r="G70" s="199"/>
      <c r="H70" s="199"/>
      <c r="I70" s="257"/>
      <c r="J70" s="199"/>
      <c r="K70" s="257"/>
      <c r="L70" s="199"/>
      <c r="M70" s="199"/>
      <c r="N70" s="199"/>
      <c r="O70" s="199"/>
      <c r="P70" s="199"/>
      <c r="Q70" s="199"/>
      <c r="R70" s="199"/>
      <c r="S70" s="173"/>
      <c r="T70" s="173"/>
    </row>
    <row r="71" spans="2:20" x14ac:dyDescent="0.2">
      <c r="B71" s="199"/>
      <c r="C71" s="199" t="s">
        <v>38</v>
      </c>
      <c r="D71" s="199"/>
      <c r="E71" s="199"/>
      <c r="F71" s="199"/>
      <c r="G71" s="199"/>
      <c r="H71" s="199"/>
      <c r="I71" s="257"/>
      <c r="J71" s="199"/>
      <c r="K71" s="257"/>
      <c r="L71" s="199"/>
      <c r="M71" s="199"/>
      <c r="N71" s="199"/>
      <c r="O71" s="199"/>
      <c r="P71" s="199"/>
      <c r="Q71" s="199"/>
      <c r="R71" s="199"/>
      <c r="S71" s="173"/>
      <c r="T71" s="173"/>
    </row>
    <row r="72" spans="2:20" x14ac:dyDescent="0.2">
      <c r="B72" s="199"/>
      <c r="C72" s="199"/>
      <c r="D72" s="199"/>
      <c r="E72" s="199"/>
      <c r="F72" s="199" t="s">
        <v>39</v>
      </c>
      <c r="G72" s="199"/>
      <c r="H72" s="199"/>
      <c r="I72" s="257"/>
      <c r="J72" s="199"/>
      <c r="K72" s="257"/>
      <c r="L72" s="199"/>
      <c r="M72" s="199"/>
      <c r="N72" s="199"/>
      <c r="O72" s="199"/>
      <c r="P72" s="199"/>
      <c r="Q72" s="199"/>
      <c r="R72" s="199"/>
      <c r="S72" s="173"/>
      <c r="T72" s="173"/>
    </row>
    <row r="73" spans="2:20" x14ac:dyDescent="0.2">
      <c r="B73" s="199"/>
      <c r="C73" s="199"/>
      <c r="D73" s="199"/>
      <c r="E73" s="199"/>
      <c r="F73" s="199" t="s">
        <v>40</v>
      </c>
      <c r="G73" s="199"/>
      <c r="H73" s="257"/>
      <c r="I73" s="199"/>
      <c r="J73" s="257"/>
      <c r="K73" s="199"/>
      <c r="L73" s="199"/>
      <c r="M73" s="173"/>
      <c r="N73" s="199"/>
      <c r="O73" s="199"/>
      <c r="P73" s="199"/>
      <c r="Q73" s="199"/>
      <c r="R73" s="199"/>
      <c r="S73" s="173"/>
      <c r="T73" s="173"/>
    </row>
    <row r="74" spans="2:20" x14ac:dyDescent="0.2">
      <c r="B74" s="199"/>
      <c r="C74" s="266"/>
      <c r="D74" s="267" t="s">
        <v>41</v>
      </c>
      <c r="E74" s="199" t="s">
        <v>14</v>
      </c>
      <c r="F74" s="268" t="s">
        <v>42</v>
      </c>
      <c r="G74" s="199"/>
      <c r="H74" s="268" t="s">
        <v>43</v>
      </c>
      <c r="I74" s="173"/>
      <c r="J74" s="268" t="s">
        <v>44</v>
      </c>
      <c r="K74" s="199"/>
      <c r="L74" s="173"/>
      <c r="M74" s="173"/>
      <c r="N74" s="199"/>
      <c r="O74" s="199"/>
      <c r="P74" s="199"/>
      <c r="Q74" s="199"/>
      <c r="R74" s="199"/>
      <c r="S74" s="173"/>
      <c r="T74" s="173"/>
    </row>
    <row r="75" spans="2:20" x14ac:dyDescent="0.2">
      <c r="B75" s="199" t="s">
        <v>14</v>
      </c>
      <c r="C75" s="199"/>
      <c r="D75" s="199"/>
      <c r="E75" s="199"/>
      <c r="F75" s="199"/>
      <c r="G75" s="199"/>
      <c r="H75" s="257"/>
      <c r="I75" s="199"/>
      <c r="J75" s="257"/>
      <c r="K75" s="199"/>
      <c r="L75" s="199"/>
      <c r="M75" s="173"/>
      <c r="N75" s="199"/>
      <c r="O75" s="199"/>
      <c r="P75" s="199"/>
      <c r="Q75" s="199"/>
      <c r="R75" s="199"/>
      <c r="S75" s="173"/>
      <c r="T75" s="173"/>
    </row>
    <row r="76" spans="2:20" x14ac:dyDescent="0.2">
      <c r="B76" s="199"/>
      <c r="C76" s="199"/>
      <c r="D76" s="257"/>
      <c r="E76" s="257"/>
      <c r="F76" s="257"/>
      <c r="G76" s="257"/>
      <c r="H76" s="257"/>
      <c r="I76" s="257"/>
      <c r="J76" s="257"/>
      <c r="K76" s="199"/>
      <c r="L76" s="199"/>
      <c r="M76" s="173"/>
      <c r="N76" s="199"/>
      <c r="O76" s="199"/>
      <c r="P76" s="199"/>
      <c r="Q76" s="199"/>
      <c r="R76" s="199"/>
      <c r="S76" s="173"/>
      <c r="T76" s="173"/>
    </row>
    <row r="77" spans="2:20" x14ac:dyDescent="0.2">
      <c r="B77" s="173"/>
      <c r="C77" s="173"/>
      <c r="D77" s="199" t="s">
        <v>45</v>
      </c>
      <c r="E77" s="257"/>
      <c r="F77" s="269">
        <f>'Traffic &amp; Accidents'!I6</f>
        <v>0</v>
      </c>
      <c r="G77" s="257"/>
      <c r="H77" s="269">
        <f>'Traffic &amp; Accidents'!I7</f>
        <v>0</v>
      </c>
      <c r="I77" s="257"/>
      <c r="J77" s="269">
        <f>'Traffic &amp; Accidents'!I8</f>
        <v>0</v>
      </c>
      <c r="K77" s="199"/>
      <c r="L77" s="199"/>
      <c r="M77" s="173"/>
      <c r="N77" s="199"/>
      <c r="O77" s="199"/>
      <c r="P77" s="199"/>
      <c r="Q77" s="199"/>
      <c r="R77" s="199"/>
      <c r="S77" s="173"/>
      <c r="T77" s="173"/>
    </row>
    <row r="78" spans="2:20" x14ac:dyDescent="0.2">
      <c r="B78" s="173"/>
      <c r="C78" s="199"/>
      <c r="D78" s="199"/>
      <c r="E78" s="257"/>
      <c r="F78" s="270" t="s">
        <v>46</v>
      </c>
      <c r="G78" s="257"/>
      <c r="H78" s="270" t="s">
        <v>47</v>
      </c>
      <c r="I78" s="257"/>
      <c r="J78" s="270" t="s">
        <v>48</v>
      </c>
      <c r="K78" s="173"/>
      <c r="L78" s="173"/>
      <c r="M78" s="173"/>
      <c r="N78" s="199"/>
      <c r="O78" s="199"/>
      <c r="P78" s="199"/>
      <c r="Q78" s="199"/>
      <c r="R78" s="199"/>
      <c r="S78" s="173"/>
      <c r="T78" s="173"/>
    </row>
    <row r="79" spans="2:20" x14ac:dyDescent="0.2">
      <c r="B79" s="173"/>
      <c r="C79" s="199"/>
      <c r="D79" s="199"/>
      <c r="E79" s="257"/>
      <c r="F79" s="257"/>
      <c r="G79" s="257"/>
      <c r="H79" s="257"/>
      <c r="I79" s="257"/>
      <c r="J79" s="257"/>
      <c r="K79" s="199"/>
      <c r="L79" s="199"/>
      <c r="M79" s="173"/>
      <c r="N79" s="199"/>
      <c r="O79" s="199"/>
      <c r="P79" s="199"/>
      <c r="Q79" s="199"/>
      <c r="R79" s="199"/>
      <c r="S79" s="173"/>
      <c r="T79" s="173"/>
    </row>
    <row r="80" spans="2:20" x14ac:dyDescent="0.2">
      <c r="B80" s="173"/>
      <c r="C80" s="173"/>
      <c r="D80" s="199" t="s">
        <v>49</v>
      </c>
      <c r="E80" s="257"/>
      <c r="F80" s="255">
        <f>F77*1</f>
        <v>0</v>
      </c>
      <c r="G80" s="257" t="s">
        <v>50</v>
      </c>
      <c r="H80" s="255">
        <f>H77*2</f>
        <v>0</v>
      </c>
      <c r="I80" s="257" t="s">
        <v>50</v>
      </c>
      <c r="J80" s="255">
        <f>J77*5</f>
        <v>0</v>
      </c>
      <c r="K80" s="257"/>
      <c r="L80" s="173"/>
      <c r="M80" s="173"/>
      <c r="N80" s="199"/>
      <c r="O80" s="199"/>
      <c r="P80" s="199"/>
      <c r="Q80" s="199"/>
      <c r="R80" s="199"/>
      <c r="S80" s="173"/>
      <c r="T80" s="173"/>
    </row>
    <row r="81" spans="2:20" x14ac:dyDescent="0.2">
      <c r="B81" s="199"/>
      <c r="C81" s="199"/>
      <c r="D81" s="199"/>
      <c r="E81" s="199"/>
      <c r="F81" s="199"/>
      <c r="G81" s="199"/>
      <c r="H81" s="199"/>
      <c r="I81" s="257"/>
      <c r="J81" s="199"/>
      <c r="K81" s="257"/>
      <c r="L81" s="199"/>
      <c r="M81" s="199"/>
      <c r="N81" s="199"/>
      <c r="O81" s="199"/>
      <c r="P81" s="199"/>
      <c r="Q81" s="199"/>
      <c r="R81" s="199"/>
      <c r="S81" s="173"/>
      <c r="T81" s="173"/>
    </row>
    <row r="82" spans="2:20" x14ac:dyDescent="0.2">
      <c r="B82" s="199"/>
      <c r="C82" s="199"/>
      <c r="D82" s="199"/>
      <c r="E82" s="199"/>
      <c r="F82" s="199"/>
      <c r="G82" s="199"/>
      <c r="H82" s="199"/>
      <c r="I82" s="257"/>
      <c r="J82" s="199"/>
      <c r="K82" s="257"/>
      <c r="L82" s="199"/>
      <c r="M82" s="199"/>
      <c r="N82" s="199"/>
      <c r="O82" s="199"/>
      <c r="P82" s="199"/>
      <c r="Q82" s="199"/>
      <c r="R82" s="199"/>
      <c r="S82" s="173"/>
      <c r="T82" s="173"/>
    </row>
    <row r="83" spans="2:20" x14ac:dyDescent="0.2">
      <c r="B83" s="199"/>
      <c r="C83" s="173"/>
      <c r="D83" s="199"/>
      <c r="E83" s="199"/>
      <c r="F83" s="199"/>
      <c r="G83" s="199"/>
      <c r="H83" s="199"/>
      <c r="I83" s="173"/>
      <c r="J83" s="173"/>
      <c r="K83" s="173"/>
      <c r="L83" s="173"/>
      <c r="M83" s="173"/>
      <c r="N83" s="199"/>
      <c r="O83" s="199"/>
      <c r="P83" s="199"/>
      <c r="Q83" s="199"/>
      <c r="R83" s="199"/>
      <c r="S83" s="173"/>
      <c r="T83" s="173"/>
    </row>
    <row r="84" spans="2:20" x14ac:dyDescent="0.2">
      <c r="B84" s="199"/>
      <c r="C84" s="199"/>
      <c r="D84" s="199"/>
      <c r="E84" s="199"/>
      <c r="F84" s="199"/>
      <c r="G84" s="271" t="s">
        <v>51</v>
      </c>
      <c r="H84" s="199"/>
      <c r="I84" s="173"/>
      <c r="J84" s="173"/>
      <c r="K84" s="257"/>
      <c r="L84" s="173"/>
      <c r="M84" s="173"/>
      <c r="N84" s="255">
        <f>SUM(F80,H80,J80)</f>
        <v>0</v>
      </c>
      <c r="O84" s="199"/>
      <c r="P84" s="199"/>
      <c r="Q84" s="199"/>
      <c r="R84" s="199"/>
      <c r="S84" s="173"/>
      <c r="T84" s="173"/>
    </row>
    <row r="85" spans="2:20" x14ac:dyDescent="0.2">
      <c r="B85" s="199" t="s">
        <v>14</v>
      </c>
      <c r="C85" s="199"/>
      <c r="D85" s="199"/>
      <c r="E85" s="199"/>
      <c r="F85" s="199"/>
      <c r="G85" s="199"/>
      <c r="H85" s="272" t="s">
        <v>52</v>
      </c>
      <c r="I85" s="257"/>
      <c r="J85" s="173"/>
      <c r="K85" s="257"/>
      <c r="L85" s="199"/>
      <c r="M85" s="199"/>
      <c r="N85" s="199"/>
      <c r="O85" s="199"/>
      <c r="P85" s="199"/>
      <c r="Q85" s="199"/>
      <c r="R85" s="199"/>
      <c r="S85" s="173"/>
      <c r="T85" s="173"/>
    </row>
  </sheetData>
  <sheetProtection password="EC65" sheet="1" objects="1" scenarios="1" selectLockedCells="1"/>
  <mergeCells count="3">
    <mergeCell ref="F3:G3"/>
    <mergeCell ref="C12:E12"/>
    <mergeCell ref="H4:J5"/>
  </mergeCells>
  <conditionalFormatting sqref="J31 J33:J34">
    <cfRule type="expression" dxfId="8" priority="11" stopIfTrue="1">
      <formula>ISERROR(#REF!)</formula>
    </cfRule>
  </conditionalFormatting>
  <conditionalFormatting sqref="J23">
    <cfRule type="expression" dxfId="7" priority="13" stopIfTrue="1">
      <formula>ISERROR(#REF!)</formula>
    </cfRule>
  </conditionalFormatting>
  <conditionalFormatting sqref="J21:J22 J30">
    <cfRule type="expression" dxfId="6" priority="14" stopIfTrue="1">
      <formula>ISERROR(#REF!)</formula>
    </cfRule>
  </conditionalFormatting>
  <conditionalFormatting sqref="M48">
    <cfRule type="cellIs" dxfId="5" priority="2" operator="greaterThan">
      <formula>$N$48</formula>
    </cfRule>
  </conditionalFormatting>
  <conditionalFormatting sqref="N48">
    <cfRule type="cellIs" dxfId="4" priority="1" operator="greaterThan">
      <formula>$M$48</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R66"/>
  <sheetViews>
    <sheetView showGridLines="0" workbookViewId="0">
      <selection activeCell="A24" sqref="A24:A37"/>
    </sheetView>
  </sheetViews>
  <sheetFormatPr defaultColWidth="7.7109375" defaultRowHeight="12.75" x14ac:dyDescent="0.2"/>
  <cols>
    <col min="1" max="16384" width="7.7109375" style="173"/>
  </cols>
  <sheetData>
    <row r="3" spans="2:17" ht="13.5" thickBot="1" x14ac:dyDescent="0.25">
      <c r="B3" s="174"/>
      <c r="C3" s="175"/>
      <c r="D3" s="176"/>
      <c r="E3" s="175"/>
      <c r="F3" s="175"/>
      <c r="G3" s="177"/>
      <c r="H3" s="174"/>
      <c r="I3" s="174"/>
      <c r="J3" s="174"/>
      <c r="K3" s="174"/>
      <c r="L3" s="174"/>
      <c r="M3" s="174"/>
      <c r="N3" s="174"/>
      <c r="O3" s="174"/>
      <c r="P3" s="174"/>
      <c r="Q3" s="178"/>
    </row>
    <row r="4" spans="2:17" x14ac:dyDescent="0.2">
      <c r="B4" s="127"/>
      <c r="C4" s="488" t="s">
        <v>376</v>
      </c>
      <c r="D4" s="488"/>
      <c r="E4" s="488"/>
      <c r="F4" s="488"/>
      <c r="G4" s="488"/>
      <c r="H4" s="488"/>
      <c r="I4" s="484" t="s">
        <v>375</v>
      </c>
      <c r="J4" s="484"/>
      <c r="K4" s="484"/>
      <c r="L4" s="484"/>
      <c r="M4" s="128"/>
      <c r="N4" s="128"/>
      <c r="O4" s="129"/>
      <c r="P4" s="174"/>
      <c r="Q4" s="178"/>
    </row>
    <row r="5" spans="2:17" x14ac:dyDescent="0.2">
      <c r="B5" s="130"/>
      <c r="C5" s="489"/>
      <c r="D5" s="489"/>
      <c r="E5" s="489"/>
      <c r="F5" s="489"/>
      <c r="G5" s="489"/>
      <c r="H5" s="489"/>
      <c r="I5" s="485"/>
      <c r="J5" s="485"/>
      <c r="K5" s="485"/>
      <c r="L5" s="485"/>
      <c r="M5" s="48"/>
      <c r="N5" s="48"/>
      <c r="O5" s="131"/>
      <c r="P5" s="179"/>
      <c r="Q5" s="180"/>
    </row>
    <row r="6" spans="2:17" x14ac:dyDescent="0.2">
      <c r="B6" s="130"/>
      <c r="C6" s="489"/>
      <c r="D6" s="489"/>
      <c r="E6" s="489"/>
      <c r="F6" s="489"/>
      <c r="G6" s="489"/>
      <c r="H6" s="489"/>
      <c r="I6" s="485"/>
      <c r="J6" s="485"/>
      <c r="K6" s="485"/>
      <c r="L6" s="485"/>
      <c r="M6" s="61"/>
      <c r="N6" s="61"/>
      <c r="O6" s="165"/>
      <c r="P6" s="175"/>
      <c r="Q6" s="181"/>
    </row>
    <row r="7" spans="2:17" ht="19.5" x14ac:dyDescent="0.35">
      <c r="B7" s="130"/>
      <c r="C7" s="48"/>
      <c r="D7" s="142" t="s">
        <v>360</v>
      </c>
      <c r="E7" s="16"/>
      <c r="F7" s="21"/>
      <c r="G7" s="486" t="s">
        <v>397</v>
      </c>
      <c r="H7" s="486"/>
      <c r="I7" s="487"/>
      <c r="J7" s="41">
        <f>IF(E7&lt;&gt;"","",Structure!N65)</f>
        <v>0</v>
      </c>
      <c r="K7" s="37"/>
      <c r="L7" s="482" t="s">
        <v>366</v>
      </c>
      <c r="M7" s="482"/>
      <c r="N7" s="482"/>
      <c r="O7" s="483"/>
      <c r="P7" s="175"/>
      <c r="Q7" s="181"/>
    </row>
    <row r="8" spans="2:17" ht="13.5" thickBot="1" x14ac:dyDescent="0.25">
      <c r="B8" s="132"/>
      <c r="C8" s="135"/>
      <c r="D8" s="133"/>
      <c r="E8" s="133"/>
      <c r="F8" s="133"/>
      <c r="G8" s="133"/>
      <c r="H8" s="133"/>
      <c r="I8" s="133"/>
      <c r="J8" s="133"/>
      <c r="K8" s="133"/>
      <c r="L8" s="133"/>
      <c r="M8" s="133"/>
      <c r="N8" s="133"/>
      <c r="O8" s="141"/>
      <c r="P8" s="175"/>
      <c r="Q8" s="181"/>
    </row>
    <row r="23" spans="1:18" ht="11.45" customHeight="1" x14ac:dyDescent="0.2">
      <c r="A23" s="434"/>
      <c r="B23" s="435" t="s">
        <v>358</v>
      </c>
      <c r="C23" s="436"/>
      <c r="D23" s="436"/>
      <c r="E23" s="436"/>
      <c r="F23" s="437"/>
      <c r="G23" s="436"/>
      <c r="H23" s="436"/>
      <c r="I23" s="167"/>
      <c r="J23" s="436"/>
      <c r="K23" s="436"/>
      <c r="L23" s="436"/>
      <c r="M23" s="436"/>
      <c r="N23" s="436"/>
      <c r="O23" s="436"/>
      <c r="P23" s="19"/>
      <c r="Q23" s="199"/>
      <c r="R23" s="199"/>
    </row>
    <row r="24" spans="1:18" ht="11.45" customHeight="1" x14ac:dyDescent="0.2">
      <c r="A24" s="490"/>
      <c r="B24" s="436"/>
      <c r="C24" s="436"/>
      <c r="D24" s="436"/>
      <c r="E24" s="436"/>
      <c r="F24" s="436"/>
      <c r="G24" s="436"/>
      <c r="H24" s="436"/>
      <c r="I24" s="167"/>
      <c r="J24" s="436"/>
      <c r="K24" s="436"/>
      <c r="L24" s="436"/>
      <c r="M24" s="436"/>
      <c r="N24" s="436"/>
      <c r="O24" s="436"/>
      <c r="P24" s="19"/>
      <c r="Q24" s="199"/>
      <c r="R24" s="199"/>
    </row>
    <row r="25" spans="1:18" ht="11.45" customHeight="1" x14ac:dyDescent="0.2">
      <c r="A25" s="490"/>
      <c r="B25" s="436"/>
      <c r="C25" s="436"/>
      <c r="D25" s="436"/>
      <c r="E25" s="436"/>
      <c r="F25" s="436"/>
      <c r="G25" s="436"/>
      <c r="H25" s="436"/>
      <c r="I25" s="167"/>
      <c r="J25" s="436"/>
      <c r="K25" s="167"/>
      <c r="L25" s="436"/>
      <c r="M25" s="436"/>
      <c r="N25" s="436"/>
      <c r="O25" s="436"/>
      <c r="P25" s="19"/>
      <c r="Q25" s="199"/>
      <c r="R25" s="199"/>
    </row>
    <row r="26" spans="1:18" ht="11.45" customHeight="1" x14ac:dyDescent="0.2">
      <c r="A26" s="490"/>
      <c r="B26" s="438" t="s">
        <v>354</v>
      </c>
      <c r="C26" s="436"/>
      <c r="D26" s="436"/>
      <c r="E26" s="436"/>
      <c r="F26" s="436"/>
      <c r="G26" s="436"/>
      <c r="H26" s="436"/>
      <c r="I26" s="167"/>
      <c r="J26" s="436"/>
      <c r="K26" s="167"/>
      <c r="L26" s="436"/>
      <c r="M26" s="436"/>
      <c r="N26" s="436"/>
      <c r="O26" s="436"/>
      <c r="P26" s="19"/>
      <c r="Q26" s="199"/>
      <c r="R26" s="199"/>
    </row>
    <row r="27" spans="1:18" ht="11.45" customHeight="1" x14ac:dyDescent="0.2">
      <c r="A27" s="490"/>
      <c r="B27" s="436"/>
      <c r="C27" s="436"/>
      <c r="D27" s="436"/>
      <c r="E27" s="436"/>
      <c r="F27" s="436"/>
      <c r="G27" s="436"/>
      <c r="H27" s="436"/>
      <c r="I27" s="167"/>
      <c r="J27" s="436"/>
      <c r="K27" s="167"/>
      <c r="L27" s="436"/>
      <c r="M27" s="436"/>
      <c r="N27" s="436"/>
      <c r="O27" s="436"/>
      <c r="P27" s="19"/>
      <c r="Q27" s="199"/>
      <c r="R27" s="199"/>
    </row>
    <row r="28" spans="1:18" ht="11.45" customHeight="1" x14ac:dyDescent="0.2">
      <c r="A28" s="490"/>
      <c r="B28" s="436" t="s">
        <v>14</v>
      </c>
      <c r="C28" s="436" t="s">
        <v>53</v>
      </c>
      <c r="D28" s="436"/>
      <c r="E28" s="436"/>
      <c r="F28" s="436"/>
      <c r="G28" s="436"/>
      <c r="H28" s="436"/>
      <c r="I28" s="167"/>
      <c r="J28" s="436"/>
      <c r="K28" s="167"/>
      <c r="L28" s="436"/>
      <c r="M28" s="436"/>
      <c r="N28" s="436"/>
      <c r="O28" s="436"/>
      <c r="P28" s="19"/>
      <c r="Q28" s="199"/>
      <c r="R28" s="199"/>
    </row>
    <row r="29" spans="1:18" ht="11.45" customHeight="1" x14ac:dyDescent="0.2">
      <c r="A29" s="490"/>
      <c r="B29" s="439"/>
      <c r="C29" s="492" t="s">
        <v>363</v>
      </c>
      <c r="D29" s="491" t="s">
        <v>365</v>
      </c>
      <c r="E29" s="491"/>
      <c r="F29" s="491"/>
      <c r="G29" s="491"/>
      <c r="H29" s="491"/>
      <c r="I29" s="491">
        <v>4</v>
      </c>
      <c r="J29" s="434"/>
      <c r="K29" s="440"/>
      <c r="L29" s="439"/>
      <c r="M29" s="439"/>
      <c r="N29" s="439"/>
      <c r="O29" s="436"/>
      <c r="P29" s="19"/>
      <c r="Q29" s="199"/>
      <c r="R29" s="199"/>
    </row>
    <row r="30" spans="1:18" ht="11.45" customHeight="1" x14ac:dyDescent="0.2">
      <c r="A30" s="490"/>
      <c r="B30" s="439"/>
      <c r="C30" s="493"/>
      <c r="D30" s="491"/>
      <c r="E30" s="491"/>
      <c r="F30" s="491"/>
      <c r="G30" s="491"/>
      <c r="H30" s="491"/>
      <c r="I30" s="491"/>
      <c r="J30" s="439"/>
      <c r="K30" s="441"/>
      <c r="L30" s="439"/>
      <c r="M30" s="439"/>
      <c r="N30" s="439"/>
      <c r="O30" s="436"/>
      <c r="P30" s="19"/>
      <c r="Q30" s="199"/>
      <c r="R30" s="199"/>
    </row>
    <row r="31" spans="1:18" ht="11.45" customHeight="1" x14ac:dyDescent="0.2">
      <c r="A31" s="490"/>
      <c r="B31" s="439"/>
      <c r="C31" s="441"/>
      <c r="D31" s="439"/>
      <c r="E31" s="441"/>
      <c r="F31" s="439"/>
      <c r="G31" s="441"/>
      <c r="H31" s="442"/>
      <c r="I31" s="443" t="s">
        <v>228</v>
      </c>
      <c r="J31" s="439"/>
      <c r="K31" s="444">
        <f>IF(Structure!E7&lt;&gt;0,(100-Structure!E7)/4,0)</f>
        <v>0</v>
      </c>
      <c r="L31" s="434"/>
      <c r="M31" s="434"/>
      <c r="N31" s="434"/>
      <c r="O31" s="436"/>
      <c r="P31" s="19"/>
      <c r="Q31" s="199"/>
      <c r="R31" s="199"/>
    </row>
    <row r="32" spans="1:18" ht="11.45" customHeight="1" x14ac:dyDescent="0.2">
      <c r="A32" s="490"/>
      <c r="B32" s="439"/>
      <c r="C32" s="441"/>
      <c r="D32" s="439"/>
      <c r="E32" s="441"/>
      <c r="F32" s="439"/>
      <c r="G32" s="441"/>
      <c r="H32" s="439"/>
      <c r="I32" s="441"/>
      <c r="J32" s="439"/>
      <c r="K32" s="441"/>
      <c r="L32" s="442"/>
      <c r="M32" s="439"/>
      <c r="N32" s="442"/>
      <c r="O32" s="436"/>
      <c r="P32" s="19"/>
      <c r="Q32" s="199"/>
      <c r="R32" s="199"/>
    </row>
    <row r="33" spans="1:18" ht="11.45" customHeight="1" x14ac:dyDescent="0.2">
      <c r="A33" s="490"/>
      <c r="B33" s="442"/>
      <c r="C33" s="441"/>
      <c r="D33" s="442"/>
      <c r="E33" s="441"/>
      <c r="F33" s="434"/>
      <c r="G33" s="441"/>
      <c r="H33" s="434"/>
      <c r="I33" s="434"/>
      <c r="J33" s="445" t="s">
        <v>54</v>
      </c>
      <c r="K33" s="444">
        <f>IF(K31&gt;25,25,K31)</f>
        <v>0</v>
      </c>
      <c r="L33" s="434" t="s">
        <v>356</v>
      </c>
      <c r="M33" s="434"/>
      <c r="N33" s="434"/>
      <c r="O33" s="436"/>
      <c r="P33" s="19"/>
      <c r="Q33" s="199"/>
      <c r="R33" s="199"/>
    </row>
    <row r="34" spans="1:18" ht="10.15" customHeight="1" x14ac:dyDescent="0.2">
      <c r="A34" s="490"/>
      <c r="B34" s="439"/>
      <c r="C34" s="434"/>
      <c r="D34" s="446"/>
      <c r="E34" s="441"/>
      <c r="F34" s="439"/>
      <c r="G34" s="441"/>
      <c r="H34" s="439"/>
      <c r="I34" s="441"/>
      <c r="J34" s="439"/>
      <c r="K34" s="441"/>
      <c r="L34" s="440"/>
      <c r="M34" s="439"/>
      <c r="N34" s="440"/>
      <c r="O34" s="436"/>
      <c r="P34" s="19"/>
      <c r="Q34" s="199"/>
      <c r="R34" s="199"/>
    </row>
    <row r="35" spans="1:18" ht="11.45" hidden="1" customHeight="1" x14ac:dyDescent="0.2">
      <c r="A35" s="490"/>
      <c r="B35" s="439"/>
      <c r="C35" s="446"/>
      <c r="D35" s="446"/>
      <c r="E35" s="441"/>
      <c r="F35" s="439"/>
      <c r="G35" s="441"/>
      <c r="H35" s="439"/>
      <c r="I35" s="441"/>
      <c r="J35" s="439"/>
      <c r="K35" s="441"/>
      <c r="L35" s="447"/>
      <c r="M35" s="439"/>
      <c r="N35" s="439"/>
      <c r="O35" s="436"/>
      <c r="P35" s="19"/>
      <c r="Q35" s="199"/>
      <c r="R35" s="199"/>
    </row>
    <row r="36" spans="1:18" ht="11.25" customHeight="1" x14ac:dyDescent="0.2">
      <c r="A36" s="490"/>
      <c r="B36" s="439"/>
      <c r="C36" s="446"/>
      <c r="D36" s="446"/>
      <c r="E36" s="441"/>
      <c r="F36" s="434"/>
      <c r="G36" s="434"/>
      <c r="H36" s="439"/>
      <c r="I36" s="441"/>
      <c r="J36" s="439"/>
      <c r="K36" s="441"/>
      <c r="L36" s="439"/>
      <c r="M36" s="439"/>
      <c r="N36" s="439"/>
      <c r="O36" s="436"/>
      <c r="P36" s="19"/>
      <c r="Q36" s="199"/>
      <c r="R36" s="199"/>
    </row>
    <row r="37" spans="1:18" ht="11.45" customHeight="1" x14ac:dyDescent="0.2">
      <c r="A37" s="490"/>
      <c r="B37" s="439"/>
      <c r="C37" s="446"/>
      <c r="D37" s="446"/>
      <c r="E37" s="494" t="s">
        <v>55</v>
      </c>
      <c r="F37" s="494"/>
      <c r="G37" s="434"/>
      <c r="H37" s="434"/>
      <c r="I37" s="434"/>
      <c r="J37" s="439"/>
      <c r="K37" s="441"/>
      <c r="L37" s="439"/>
      <c r="M37" s="439"/>
      <c r="N37" s="439"/>
      <c r="O37" s="436"/>
      <c r="P37" s="19"/>
      <c r="Q37" s="199"/>
      <c r="R37" s="199"/>
    </row>
    <row r="38" spans="1:18" ht="11.45" customHeight="1" x14ac:dyDescent="0.2">
      <c r="A38" s="434"/>
      <c r="B38" s="439"/>
      <c r="C38" s="439"/>
      <c r="D38" s="439"/>
      <c r="E38" s="494"/>
      <c r="F38" s="494"/>
      <c r="G38" s="441"/>
      <c r="H38" s="434"/>
      <c r="I38" s="434"/>
      <c r="J38" s="439"/>
      <c r="K38" s="441"/>
      <c r="L38" s="439"/>
      <c r="M38" s="439"/>
      <c r="N38" s="439"/>
      <c r="O38" s="436"/>
      <c r="P38" s="19"/>
      <c r="Q38" s="199"/>
      <c r="R38" s="199"/>
    </row>
    <row r="39" spans="1:18" ht="11.45" customHeight="1" x14ac:dyDescent="0.2">
      <c r="A39" s="434"/>
      <c r="B39" s="434"/>
      <c r="C39" s="434"/>
      <c r="D39" s="434"/>
      <c r="E39" s="434"/>
      <c r="F39" s="434"/>
      <c r="G39" s="434"/>
      <c r="H39" s="434"/>
      <c r="I39" s="434"/>
      <c r="J39" s="434"/>
      <c r="K39" s="434"/>
      <c r="L39" s="434"/>
      <c r="M39" s="439"/>
      <c r="N39" s="439"/>
      <c r="O39" s="436"/>
      <c r="P39" s="19"/>
      <c r="Q39" s="199"/>
      <c r="R39" s="199"/>
    </row>
    <row r="40" spans="1:18" ht="11.45" customHeight="1" x14ac:dyDescent="0.2">
      <c r="A40" s="434"/>
      <c r="B40" s="434"/>
      <c r="C40" s="434"/>
      <c r="D40" s="434"/>
      <c r="E40" s="434"/>
      <c r="F40" s="434"/>
      <c r="G40" s="434"/>
      <c r="H40" s="434"/>
      <c r="I40" s="434"/>
      <c r="J40" s="434"/>
      <c r="K40" s="434"/>
      <c r="L40" s="434"/>
      <c r="M40" s="448"/>
      <c r="N40" s="448"/>
      <c r="O40" s="436"/>
      <c r="P40" s="19"/>
      <c r="Q40" s="199"/>
      <c r="R40" s="199"/>
    </row>
    <row r="41" spans="1:18" ht="11.45" customHeight="1" x14ac:dyDescent="0.2">
      <c r="A41" s="434"/>
      <c r="B41" s="434"/>
      <c r="C41" s="434"/>
      <c r="D41" s="434"/>
      <c r="E41" s="434"/>
      <c r="F41" s="434"/>
      <c r="G41" s="434"/>
      <c r="H41" s="434"/>
      <c r="I41" s="434"/>
      <c r="J41" s="434"/>
      <c r="K41" s="434"/>
      <c r="L41" s="434"/>
      <c r="M41" s="448"/>
      <c r="N41" s="448"/>
      <c r="O41" s="436"/>
      <c r="P41" s="19"/>
      <c r="Q41" s="199"/>
      <c r="R41" s="199"/>
    </row>
    <row r="42" spans="1:18" ht="11.45" customHeight="1" x14ac:dyDescent="0.2">
      <c r="A42" s="434"/>
      <c r="B42" s="438" t="s">
        <v>355</v>
      </c>
      <c r="C42" s="439"/>
      <c r="D42" s="439"/>
      <c r="E42" s="441"/>
      <c r="F42" s="439"/>
      <c r="G42" s="441"/>
      <c r="H42" s="439"/>
      <c r="I42" s="441"/>
      <c r="J42" s="439"/>
      <c r="K42" s="441"/>
      <c r="L42" s="439"/>
      <c r="M42" s="439"/>
      <c r="N42" s="439"/>
      <c r="O42" s="436"/>
      <c r="P42" s="19"/>
      <c r="Q42" s="199"/>
      <c r="R42" s="199"/>
    </row>
    <row r="43" spans="1:18" ht="11.45" customHeight="1" x14ac:dyDescent="0.2">
      <c r="A43" s="434"/>
      <c r="B43" s="439"/>
      <c r="C43" s="441"/>
      <c r="D43" s="448"/>
      <c r="E43" s="449"/>
      <c r="F43" s="448"/>
      <c r="G43" s="449"/>
      <c r="H43" s="448"/>
      <c r="I43" s="449"/>
      <c r="J43" s="448"/>
      <c r="K43" s="449"/>
      <c r="L43" s="448"/>
      <c r="M43" s="439"/>
      <c r="N43" s="439"/>
      <c r="O43" s="436"/>
      <c r="P43" s="19"/>
      <c r="Q43" s="199"/>
      <c r="R43" s="199"/>
    </row>
    <row r="44" spans="1:18" ht="11.45" customHeight="1" x14ac:dyDescent="0.2">
      <c r="A44" s="434"/>
      <c r="B44" s="439"/>
      <c r="C44" s="450" t="s">
        <v>226</v>
      </c>
      <c r="D44" s="434"/>
      <c r="E44" s="449"/>
      <c r="F44" s="448"/>
      <c r="G44" s="449"/>
      <c r="H44" s="448"/>
      <c r="I44" s="449" t="s">
        <v>227</v>
      </c>
      <c r="J44" s="448"/>
      <c r="K44" s="449"/>
      <c r="L44" s="448"/>
      <c r="M44" s="439"/>
      <c r="N44" s="439"/>
      <c r="O44" s="436"/>
      <c r="P44" s="19"/>
      <c r="Q44" s="199"/>
      <c r="R44" s="199"/>
    </row>
    <row r="45" spans="1:18" ht="11.45" customHeight="1" x14ac:dyDescent="0.2">
      <c r="A45" s="434"/>
      <c r="B45" s="451"/>
      <c r="C45" s="434"/>
      <c r="D45" s="434"/>
      <c r="E45" s="434"/>
      <c r="F45" s="434"/>
      <c r="G45" s="434"/>
      <c r="H45" s="434"/>
      <c r="I45" s="434" t="s">
        <v>28</v>
      </c>
      <c r="J45" s="434"/>
      <c r="K45" s="434" t="s">
        <v>28</v>
      </c>
      <c r="L45" s="439"/>
      <c r="M45" s="439"/>
      <c r="N45" s="439"/>
      <c r="O45" s="436"/>
      <c r="P45" s="19"/>
      <c r="Q45" s="199"/>
      <c r="R45" s="199"/>
    </row>
    <row r="46" spans="1:18" ht="11.45" customHeight="1" x14ac:dyDescent="0.2">
      <c r="A46" s="434"/>
      <c r="B46" s="451"/>
      <c r="C46" s="434"/>
      <c r="D46" s="434"/>
      <c r="E46" s="434"/>
      <c r="F46" s="434"/>
      <c r="G46" s="434"/>
      <c r="H46" s="434"/>
      <c r="I46" s="452" t="s">
        <v>188</v>
      </c>
      <c r="J46" s="434"/>
      <c r="K46" s="452" t="s">
        <v>225</v>
      </c>
      <c r="L46" s="439"/>
      <c r="M46" s="439"/>
      <c r="N46" s="439"/>
      <c r="O46" s="436"/>
      <c r="P46" s="19"/>
      <c r="Q46" s="199"/>
      <c r="R46" s="199"/>
    </row>
    <row r="47" spans="1:18" ht="11.45" customHeight="1" x14ac:dyDescent="0.2">
      <c r="A47" s="434"/>
      <c r="B47" s="451"/>
      <c r="C47" s="434"/>
      <c r="D47" s="434"/>
      <c r="E47" s="434"/>
      <c r="F47" s="434"/>
      <c r="G47" s="434"/>
      <c r="H47" s="434"/>
      <c r="I47" s="453"/>
      <c r="J47" s="434"/>
      <c r="K47" s="434"/>
      <c r="L47" s="439"/>
      <c r="M47" s="439"/>
      <c r="N47" s="439"/>
      <c r="O47" s="436"/>
      <c r="P47" s="19"/>
      <c r="Q47" s="199"/>
      <c r="R47" s="199"/>
    </row>
    <row r="48" spans="1:18" ht="11.45" customHeight="1" x14ac:dyDescent="0.2">
      <c r="A48" s="434"/>
      <c r="B48" s="451"/>
      <c r="C48" s="441" t="s">
        <v>56</v>
      </c>
      <c r="D48" s="448"/>
      <c r="E48" s="441"/>
      <c r="F48" s="439"/>
      <c r="G48" s="441"/>
      <c r="H48" s="439"/>
      <c r="I48" s="440">
        <v>7</v>
      </c>
      <c r="J48" s="454"/>
      <c r="K48" s="440">
        <f>'BR Rehab.'!D12+'BR Rehab.'!H12</f>
        <v>0</v>
      </c>
      <c r="L48" s="439"/>
      <c r="M48" s="436"/>
      <c r="N48" s="436"/>
      <c r="O48" s="436"/>
      <c r="P48" s="19"/>
      <c r="Q48" s="199"/>
      <c r="R48" s="199"/>
    </row>
    <row r="49" spans="1:18" ht="11.45" customHeight="1" x14ac:dyDescent="0.2">
      <c r="A49" s="434"/>
      <c r="B49" s="451"/>
      <c r="C49" s="441" t="s">
        <v>57</v>
      </c>
      <c r="D49" s="455"/>
      <c r="E49" s="441"/>
      <c r="F49" s="439"/>
      <c r="G49" s="441"/>
      <c r="H49" s="439"/>
      <c r="I49" s="440">
        <v>7</v>
      </c>
      <c r="J49" s="454"/>
      <c r="K49" s="440">
        <f>'BR Rehab.'!E25</f>
        <v>0</v>
      </c>
      <c r="L49" s="439"/>
      <c r="M49" s="436"/>
      <c r="N49" s="436"/>
      <c r="O49" s="436"/>
      <c r="P49" s="19"/>
      <c r="Q49" s="199"/>
      <c r="R49" s="199"/>
    </row>
    <row r="50" spans="1:18" ht="11.45" customHeight="1" x14ac:dyDescent="0.2">
      <c r="A50" s="434"/>
      <c r="B50" s="434"/>
      <c r="C50" s="434" t="s">
        <v>58</v>
      </c>
      <c r="D50" s="455"/>
      <c r="E50" s="441"/>
      <c r="F50" s="439"/>
      <c r="G50" s="441"/>
      <c r="H50" s="439"/>
      <c r="I50" s="440">
        <v>7</v>
      </c>
      <c r="J50" s="454"/>
      <c r="K50" s="440">
        <f>'BR Rehab.'!G40</f>
        <v>0</v>
      </c>
      <c r="L50" s="439"/>
      <c r="M50" s="434"/>
      <c r="N50" s="434"/>
      <c r="O50" s="436"/>
      <c r="P50" s="19"/>
      <c r="Q50" s="199"/>
      <c r="R50" s="199"/>
    </row>
    <row r="51" spans="1:18" ht="11.45" customHeight="1" x14ac:dyDescent="0.2">
      <c r="A51" s="434"/>
      <c r="B51" s="439"/>
      <c r="C51" s="434" t="s">
        <v>59</v>
      </c>
      <c r="D51" s="439"/>
      <c r="E51" s="441"/>
      <c r="F51" s="439"/>
      <c r="G51" s="441"/>
      <c r="H51" s="439"/>
      <c r="I51" s="440">
        <v>5</v>
      </c>
      <c r="J51" s="454"/>
      <c r="K51" s="440">
        <f>'BR Rehab.'!I55</f>
        <v>0</v>
      </c>
      <c r="L51" s="436"/>
      <c r="M51" s="436"/>
      <c r="N51" s="436"/>
      <c r="O51" s="436"/>
      <c r="P51" s="19"/>
      <c r="Q51" s="199"/>
      <c r="R51" s="199"/>
    </row>
    <row r="52" spans="1:18" ht="11.45" customHeight="1" x14ac:dyDescent="0.2">
      <c r="A52" s="434"/>
      <c r="B52" s="434"/>
      <c r="C52" s="434" t="s">
        <v>60</v>
      </c>
      <c r="D52" s="434"/>
      <c r="E52" s="434"/>
      <c r="F52" s="434"/>
      <c r="G52" s="434"/>
      <c r="H52" s="434"/>
      <c r="I52" s="440">
        <v>5</v>
      </c>
      <c r="J52" s="454"/>
      <c r="K52" s="440">
        <f>'BR Rehab.'!D53</f>
        <v>0</v>
      </c>
      <c r="L52" s="436"/>
      <c r="M52" s="436"/>
      <c r="N52" s="436"/>
      <c r="O52" s="436"/>
      <c r="P52" s="19"/>
      <c r="Q52" s="199"/>
      <c r="R52" s="199"/>
    </row>
    <row r="53" spans="1:18" ht="11.45" customHeight="1" x14ac:dyDescent="0.2">
      <c r="A53" s="434"/>
      <c r="B53" s="436"/>
      <c r="C53" s="441"/>
      <c r="D53" s="448"/>
      <c r="E53" s="441"/>
      <c r="F53" s="441"/>
      <c r="G53" s="441"/>
      <c r="H53" s="441"/>
      <c r="I53" s="440"/>
      <c r="J53" s="454"/>
      <c r="K53" s="440">
        <f>IF(SUM(K48:K52)&gt;25,25,SUM(K48:K52))</f>
        <v>0</v>
      </c>
      <c r="L53" s="434" t="s">
        <v>346</v>
      </c>
      <c r="M53" s="436"/>
      <c r="N53" s="436"/>
      <c r="O53" s="436"/>
      <c r="P53" s="19"/>
      <c r="Q53" s="199"/>
      <c r="R53" s="199"/>
    </row>
    <row r="54" spans="1:18" ht="11.45" customHeight="1" x14ac:dyDescent="0.2">
      <c r="A54" s="434"/>
      <c r="B54" s="436"/>
      <c r="C54" s="434"/>
      <c r="D54" s="436"/>
      <c r="E54" s="436"/>
      <c r="F54" s="436"/>
      <c r="G54" s="434"/>
      <c r="H54" s="434"/>
      <c r="I54" s="434"/>
      <c r="J54" s="436"/>
      <c r="K54" s="167"/>
      <c r="L54" s="436"/>
      <c r="M54" s="436"/>
      <c r="N54" s="436"/>
      <c r="O54" s="436"/>
      <c r="P54" s="19"/>
      <c r="Q54" s="199"/>
      <c r="R54" s="199"/>
    </row>
    <row r="55" spans="1:18" ht="11.45" customHeight="1" x14ac:dyDescent="0.2">
      <c r="A55" s="434"/>
      <c r="B55" s="436"/>
      <c r="C55" s="436"/>
      <c r="D55" s="436"/>
      <c r="E55" s="436"/>
      <c r="F55" s="436"/>
      <c r="G55" s="436"/>
      <c r="H55" s="436"/>
      <c r="I55" s="167"/>
      <c r="J55" s="436"/>
      <c r="K55" s="167"/>
      <c r="L55" s="436"/>
      <c r="M55" s="436"/>
      <c r="N55" s="436"/>
      <c r="O55" s="436"/>
      <c r="P55" s="19"/>
      <c r="Q55" s="199"/>
      <c r="R55" s="199"/>
    </row>
    <row r="56" spans="1:18" ht="11.45" customHeight="1" x14ac:dyDescent="0.2">
      <c r="A56" s="434"/>
      <c r="B56" s="436"/>
      <c r="C56" s="439"/>
      <c r="D56" s="436"/>
      <c r="E56" s="436"/>
      <c r="F56" s="436"/>
      <c r="G56" s="436"/>
      <c r="H56" s="436"/>
      <c r="I56" s="167"/>
      <c r="J56" s="445" t="s">
        <v>241</v>
      </c>
      <c r="K56" s="456">
        <f>IF(K33=0,K53,"")</f>
        <v>0</v>
      </c>
      <c r="L56" s="457" t="s">
        <v>357</v>
      </c>
      <c r="M56" s="436"/>
      <c r="N56" s="436"/>
      <c r="O56" s="436"/>
      <c r="P56" s="19"/>
      <c r="Q56" s="199"/>
      <c r="R56" s="199"/>
    </row>
    <row r="57" spans="1:18" ht="11.45" customHeight="1" x14ac:dyDescent="0.2">
      <c r="A57" s="434"/>
      <c r="B57" s="436"/>
      <c r="C57" s="458"/>
      <c r="D57" s="436"/>
      <c r="E57" s="436"/>
      <c r="F57" s="436"/>
      <c r="G57" s="436"/>
      <c r="H57" s="458"/>
      <c r="I57" s="446"/>
      <c r="J57" s="434"/>
      <c r="K57" s="436"/>
      <c r="L57" s="167"/>
      <c r="M57" s="436"/>
      <c r="N57" s="434"/>
      <c r="O57" s="436"/>
      <c r="P57" s="19"/>
      <c r="Q57" s="199"/>
      <c r="R57" s="199"/>
    </row>
    <row r="58" spans="1:18" ht="11.45" customHeight="1" x14ac:dyDescent="0.2">
      <c r="A58" s="434"/>
      <c r="B58" s="436"/>
      <c r="C58" s="458"/>
      <c r="D58" s="436"/>
      <c r="E58" s="436"/>
      <c r="F58" s="434"/>
      <c r="G58" s="436"/>
      <c r="H58" s="459"/>
      <c r="I58" s="434"/>
      <c r="J58" s="436"/>
      <c r="K58" s="167"/>
      <c r="L58" s="440"/>
      <c r="M58" s="436"/>
      <c r="N58" s="434"/>
      <c r="O58" s="436"/>
      <c r="P58" s="19"/>
      <c r="Q58" s="199"/>
      <c r="R58" s="199"/>
    </row>
    <row r="59" spans="1:18" ht="11.45" customHeight="1" x14ac:dyDescent="0.2">
      <c r="A59" s="434"/>
      <c r="B59" s="436"/>
      <c r="C59" s="458"/>
      <c r="D59" s="436"/>
      <c r="E59" s="436"/>
      <c r="F59" s="436"/>
      <c r="G59" s="436"/>
      <c r="H59" s="458"/>
      <c r="I59" s="446"/>
      <c r="J59" s="436"/>
      <c r="K59" s="167"/>
      <c r="L59" s="436"/>
      <c r="M59" s="436"/>
      <c r="N59" s="436"/>
      <c r="O59" s="436"/>
      <c r="P59" s="19"/>
      <c r="Q59" s="199"/>
      <c r="R59" s="199"/>
    </row>
    <row r="60" spans="1:18" ht="11.45" customHeight="1" x14ac:dyDescent="0.2">
      <c r="A60" s="434"/>
      <c r="B60" s="436"/>
      <c r="C60" s="458"/>
      <c r="D60" s="436"/>
      <c r="E60" s="436"/>
      <c r="F60" s="436"/>
      <c r="G60" s="436"/>
      <c r="H60" s="458"/>
      <c r="I60" s="446"/>
      <c r="J60" s="436"/>
      <c r="K60" s="167"/>
      <c r="L60" s="436"/>
      <c r="M60" s="436"/>
      <c r="N60" s="436"/>
      <c r="O60" s="436"/>
      <c r="P60" s="19"/>
      <c r="Q60" s="199"/>
      <c r="R60" s="199"/>
    </row>
    <row r="61" spans="1:18" ht="11.45" customHeight="1" x14ac:dyDescent="0.2">
      <c r="A61" s="434"/>
      <c r="B61" s="436"/>
      <c r="C61" s="458"/>
      <c r="D61" s="436"/>
      <c r="E61" s="436"/>
      <c r="F61" s="436"/>
      <c r="G61" s="436"/>
      <c r="H61" s="458"/>
      <c r="I61" s="446"/>
      <c r="J61" s="436"/>
      <c r="K61" s="167"/>
      <c r="L61" s="436"/>
      <c r="M61" s="436"/>
      <c r="N61" s="436"/>
      <c r="O61" s="436"/>
      <c r="P61" s="19"/>
      <c r="Q61" s="199"/>
      <c r="R61" s="199"/>
    </row>
    <row r="62" spans="1:18" ht="11.45" customHeight="1" x14ac:dyDescent="0.2">
      <c r="A62" s="434"/>
      <c r="B62" s="436" t="s">
        <v>61</v>
      </c>
      <c r="C62" s="436"/>
      <c r="D62" s="436"/>
      <c r="E62" s="436"/>
      <c r="F62" s="436"/>
      <c r="G62" s="434"/>
      <c r="H62" s="434"/>
      <c r="I62" s="167"/>
      <c r="J62" s="436"/>
      <c r="K62" s="167"/>
      <c r="L62" s="436"/>
      <c r="M62" s="436"/>
      <c r="N62" s="434"/>
      <c r="O62" s="436"/>
      <c r="P62" s="19"/>
      <c r="Q62" s="199"/>
      <c r="R62" s="199"/>
    </row>
    <row r="63" spans="1:18" ht="11.45" customHeight="1" x14ac:dyDescent="0.2">
      <c r="A63" s="434"/>
      <c r="B63" s="436"/>
      <c r="C63" s="436"/>
      <c r="D63" s="436"/>
      <c r="E63" s="436"/>
      <c r="F63" s="436"/>
      <c r="G63" s="436"/>
      <c r="H63" s="436"/>
      <c r="I63" s="167"/>
      <c r="J63" s="436"/>
      <c r="K63" s="167"/>
      <c r="L63" s="443"/>
      <c r="M63" s="434"/>
      <c r="N63" s="434"/>
      <c r="O63" s="436"/>
      <c r="P63" s="19"/>
      <c r="Q63" s="199"/>
      <c r="R63" s="199"/>
    </row>
    <row r="64" spans="1:18" ht="11.45" customHeight="1" x14ac:dyDescent="0.2">
      <c r="A64" s="434"/>
      <c r="B64" s="436"/>
      <c r="C64" s="436"/>
      <c r="D64" s="436"/>
      <c r="E64" s="436"/>
      <c r="F64" s="436"/>
      <c r="G64" s="436"/>
      <c r="H64" s="436"/>
      <c r="I64" s="167"/>
      <c r="J64" s="436"/>
      <c r="K64" s="167"/>
      <c r="L64" s="436"/>
      <c r="M64" s="436"/>
      <c r="N64" s="460"/>
      <c r="O64" s="436"/>
      <c r="P64" s="19"/>
      <c r="Q64" s="199"/>
      <c r="R64" s="199"/>
    </row>
    <row r="65" spans="1:16" ht="11.45" customHeight="1" x14ac:dyDescent="0.2">
      <c r="A65" s="434"/>
      <c r="B65" s="436"/>
      <c r="C65" s="436"/>
      <c r="D65" s="436"/>
      <c r="E65" s="436"/>
      <c r="F65" s="436"/>
      <c r="G65" s="434"/>
      <c r="H65" s="436"/>
      <c r="I65" s="167"/>
      <c r="J65" s="436"/>
      <c r="K65" s="167"/>
      <c r="L65" s="436"/>
      <c r="M65" s="461" t="s">
        <v>54</v>
      </c>
      <c r="N65" s="462">
        <f>IF(K33=0,K56,K33)</f>
        <v>0</v>
      </c>
      <c r="O65" s="434"/>
      <c r="P65" s="20"/>
    </row>
    <row r="66" spans="1:16" ht="11.45" customHeight="1" x14ac:dyDescent="0.2">
      <c r="A66" s="434"/>
      <c r="B66" s="434"/>
      <c r="C66" s="436"/>
      <c r="D66" s="436"/>
      <c r="E66" s="436"/>
      <c r="F66" s="436"/>
      <c r="G66" s="436"/>
      <c r="H66" s="436"/>
      <c r="I66" s="436"/>
      <c r="J66" s="436"/>
      <c r="K66" s="167"/>
      <c r="L66" s="436"/>
      <c r="M66" s="436"/>
      <c r="N66" s="436"/>
      <c r="O66" s="434"/>
      <c r="P66" s="20"/>
    </row>
  </sheetData>
  <sheetProtection algorithmName="SHA-512" hashValue="/IPF1ax7n26BYJu9BnZUgxme+CnD9dt6ZOOWNJy8qoxZC2+8VmOzR8/xkwFVeh16E059t0njEpF+xdgOVzUdOA==" saltValue="AnlML1d6BaaMVa0lrK1Dvg==" spinCount="100000" sheet="1" objects="1" scenarios="1" selectLockedCells="1"/>
  <mergeCells count="9">
    <mergeCell ref="L7:O7"/>
    <mergeCell ref="I4:L6"/>
    <mergeCell ref="G7:I7"/>
    <mergeCell ref="C4:H6"/>
    <mergeCell ref="A24:A37"/>
    <mergeCell ref="D29:H30"/>
    <mergeCell ref="I29:I30"/>
    <mergeCell ref="C29:C30"/>
    <mergeCell ref="E37:F38"/>
  </mergeCells>
  <hyperlinks>
    <hyperlink ref="I4:K6" location="'BR Rehab.'!C8" display="'BR Rehab.'!C8" xr:uid="{00000000-0004-0000-0200-000000000000}"/>
    <hyperlink ref="L7:N7" location="'BR Rehab.'!C8" display="From Rehab. Worksheet" xr:uid="{00000000-0004-0000-0200-000001000000}"/>
  </hyperlinks>
  <pageMargins left="0.7" right="0.7" top="0.75" bottom="0.75" header="0.3" footer="0.3"/>
  <drawing r:id="rId1"/>
  <legacyDrawing r:id="rId2"/>
  <oleObjects>
    <mc:AlternateContent xmlns:mc="http://schemas.openxmlformats.org/markup-compatibility/2006">
      <mc:Choice Requires="x14">
        <oleObject progId="Equation" shapeId="18433" r:id="rId3">
          <objectPr defaultSize="0" autoLine="0" dde="1" r:id="rId4">
            <anchor moveWithCells="1">
              <from>
                <xdr:col>7</xdr:col>
                <xdr:colOff>381000</xdr:colOff>
                <xdr:row>28</xdr:row>
                <xdr:rowOff>38100</xdr:rowOff>
              </from>
              <to>
                <xdr:col>8</xdr:col>
                <xdr:colOff>76200</xdr:colOff>
                <xdr:row>29</xdr:row>
                <xdr:rowOff>76200</xdr:rowOff>
              </to>
            </anchor>
          </objectPr>
        </oleObject>
      </mc:Choice>
      <mc:Fallback>
        <oleObject progId="Equation" shapeId="18433" r:id="rId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218"/>
  <sheetViews>
    <sheetView showGridLines="0" workbookViewId="0">
      <selection activeCell="C17" sqref="C17"/>
    </sheetView>
  </sheetViews>
  <sheetFormatPr defaultRowHeight="12.75" x14ac:dyDescent="0.2"/>
  <cols>
    <col min="1" max="16384" width="9.140625" style="174"/>
  </cols>
  <sheetData>
    <row r="1" spans="2:13" ht="13.5" thickBot="1" x14ac:dyDescent="0.25"/>
    <row r="2" spans="2:13" x14ac:dyDescent="0.2">
      <c r="B2" s="287"/>
      <c r="C2" s="288"/>
      <c r="D2" s="288"/>
      <c r="E2" s="288"/>
      <c r="F2" s="288"/>
      <c r="G2" s="288"/>
      <c r="H2" s="288"/>
      <c r="I2" s="288"/>
      <c r="J2" s="288"/>
      <c r="K2" s="288"/>
      <c r="L2" s="289"/>
    </row>
    <row r="3" spans="2:13" x14ac:dyDescent="0.2">
      <c r="B3" s="290"/>
      <c r="C3" s="291"/>
      <c r="D3" s="291"/>
      <c r="E3" s="291"/>
      <c r="F3" s="291"/>
      <c r="G3" s="496" t="s">
        <v>331</v>
      </c>
      <c r="H3" s="496"/>
      <c r="I3" s="496"/>
      <c r="J3" s="291"/>
      <c r="K3" s="291"/>
      <c r="L3" s="292"/>
    </row>
    <row r="4" spans="2:13" x14ac:dyDescent="0.2">
      <c r="B4" s="290"/>
      <c r="C4" s="39" t="s">
        <v>88</v>
      </c>
      <c r="D4" s="38">
        <f>'1 LANE BR RATING SUMMARY'!R19</f>
        <v>20</v>
      </c>
      <c r="E4" s="291"/>
      <c r="F4" s="291"/>
      <c r="G4" s="42"/>
      <c r="H4" s="42"/>
      <c r="I4" s="42"/>
      <c r="J4" s="291"/>
      <c r="K4" s="291"/>
      <c r="L4" s="292"/>
    </row>
    <row r="5" spans="2:13" x14ac:dyDescent="0.2">
      <c r="B5" s="290"/>
      <c r="C5" s="291"/>
      <c r="D5" s="291"/>
      <c r="E5" s="291"/>
      <c r="F5" s="291"/>
      <c r="G5" s="171" t="s">
        <v>72</v>
      </c>
      <c r="H5" s="25" t="s">
        <v>73</v>
      </c>
      <c r="I5" s="25" t="s">
        <v>74</v>
      </c>
      <c r="J5" s="291"/>
      <c r="K5" s="291"/>
      <c r="L5" s="292"/>
    </row>
    <row r="6" spans="2:13" x14ac:dyDescent="0.2">
      <c r="B6" s="290"/>
      <c r="C6" s="291"/>
      <c r="D6" s="291"/>
      <c r="E6" s="291"/>
      <c r="F6" s="291"/>
      <c r="G6" s="171"/>
      <c r="H6" s="25"/>
      <c r="I6" s="25"/>
      <c r="J6" s="291"/>
      <c r="K6" s="291"/>
      <c r="L6" s="292"/>
    </row>
    <row r="7" spans="2:13" x14ac:dyDescent="0.2">
      <c r="B7" s="130"/>
      <c r="C7" s="61" t="s">
        <v>224</v>
      </c>
      <c r="D7" s="61"/>
      <c r="E7" s="61"/>
      <c r="F7" s="48"/>
      <c r="G7" s="275" t="s">
        <v>316</v>
      </c>
      <c r="H7" s="275"/>
      <c r="I7" s="275"/>
      <c r="J7" s="275"/>
      <c r="K7" s="275"/>
      <c r="L7" s="279"/>
      <c r="M7" s="175"/>
    </row>
    <row r="8" spans="2:13" x14ac:dyDescent="0.2">
      <c r="B8" s="130"/>
      <c r="C8" s="79"/>
      <c r="D8" s="48"/>
      <c r="E8" s="48"/>
      <c r="F8" s="48"/>
      <c r="G8" s="48"/>
      <c r="H8" s="48"/>
      <c r="I8" s="48"/>
      <c r="J8" s="48"/>
      <c r="K8" s="48"/>
      <c r="L8" s="131"/>
      <c r="M8" s="183"/>
    </row>
    <row r="9" spans="2:13" x14ac:dyDescent="0.2">
      <c r="B9" s="130"/>
      <c r="C9" s="276" t="s">
        <v>301</v>
      </c>
      <c r="D9" s="276"/>
      <c r="E9" s="276"/>
      <c r="F9" s="276"/>
      <c r="G9" s="276" t="s">
        <v>166</v>
      </c>
      <c r="H9" s="276"/>
      <c r="I9" s="276"/>
      <c r="J9" s="48"/>
      <c r="K9" s="48"/>
      <c r="L9" s="280"/>
      <c r="M9" s="184"/>
    </row>
    <row r="10" spans="2:13" x14ac:dyDescent="0.2">
      <c r="B10" s="130"/>
      <c r="C10" s="277">
        <f>Geometry!X49</f>
        <v>115</v>
      </c>
      <c r="D10" s="26" t="s">
        <v>303</v>
      </c>
      <c r="E10" s="48"/>
      <c r="F10" s="48"/>
      <c r="G10" s="48"/>
      <c r="H10" s="38">
        <f>Geometry!Q99</f>
        <v>0</v>
      </c>
      <c r="I10" s="26" t="s">
        <v>304</v>
      </c>
      <c r="J10" s="48"/>
      <c r="K10" s="48"/>
      <c r="L10" s="131"/>
      <c r="M10" s="185"/>
    </row>
    <row r="11" spans="2:13" ht="12.75" customHeight="1" x14ac:dyDescent="0.2">
      <c r="B11" s="130"/>
      <c r="C11" s="278"/>
      <c r="D11" s="26"/>
      <c r="E11" s="48"/>
      <c r="F11" s="48"/>
      <c r="G11" s="48"/>
      <c r="H11" s="169"/>
      <c r="I11" s="26"/>
      <c r="J11" s="48"/>
      <c r="K11" s="48"/>
      <c r="L11" s="131"/>
      <c r="M11" s="186"/>
    </row>
    <row r="12" spans="2:13" x14ac:dyDescent="0.2">
      <c r="B12" s="274"/>
      <c r="C12" s="61"/>
      <c r="D12" s="171" t="s">
        <v>311</v>
      </c>
      <c r="E12" s="48"/>
      <c r="F12" s="48"/>
      <c r="G12" s="48"/>
      <c r="H12" s="48"/>
      <c r="I12" s="48"/>
      <c r="J12" s="171" t="s">
        <v>311</v>
      </c>
      <c r="K12" s="48"/>
      <c r="L12" s="131"/>
      <c r="M12" s="189"/>
    </row>
    <row r="13" spans="2:13" ht="14.25" customHeight="1" x14ac:dyDescent="0.2">
      <c r="B13" s="497" t="s">
        <v>179</v>
      </c>
      <c r="C13" s="293" t="s">
        <v>364</v>
      </c>
      <c r="D13" s="41">
        <f>IF(Geometry!N68*E27&gt;5,5,Geometry!N68*E27)</f>
        <v>0</v>
      </c>
      <c r="E13" s="48"/>
      <c r="F13" s="48"/>
      <c r="G13" s="25" t="s">
        <v>312</v>
      </c>
      <c r="H13" s="48"/>
      <c r="I13" s="294" t="s">
        <v>395</v>
      </c>
      <c r="J13" s="41" t="e">
        <f>IF(Geometry!N126*K13&gt;5,5,Geometry!N126*K13)</f>
        <v>#VALUE!</v>
      </c>
      <c r="K13" s="249" t="str">
        <f>IF(J27&lt;0.005,"",J27)</f>
        <v/>
      </c>
      <c r="L13" s="281"/>
    </row>
    <row r="14" spans="2:13" x14ac:dyDescent="0.2">
      <c r="B14" s="497"/>
      <c r="C14" s="61"/>
      <c r="D14" s="67"/>
      <c r="E14" s="48"/>
      <c r="F14" s="48"/>
      <c r="G14" s="25"/>
      <c r="H14" s="48"/>
      <c r="I14" s="88"/>
      <c r="J14" s="67"/>
      <c r="K14" s="48"/>
      <c r="L14" s="192"/>
      <c r="M14" s="175"/>
    </row>
    <row r="15" spans="2:13" x14ac:dyDescent="0.2">
      <c r="B15" s="497"/>
      <c r="C15" s="26" t="s">
        <v>137</v>
      </c>
      <c r="D15" s="28" t="s">
        <v>305</v>
      </c>
      <c r="E15" s="25" t="s">
        <v>306</v>
      </c>
      <c r="F15" s="25"/>
      <c r="G15" s="48"/>
      <c r="H15" s="168" t="s">
        <v>167</v>
      </c>
      <c r="I15" s="46" t="s">
        <v>305</v>
      </c>
      <c r="J15" s="25" t="s">
        <v>318</v>
      </c>
      <c r="K15" s="25"/>
      <c r="L15" s="193"/>
      <c r="M15" s="176"/>
    </row>
    <row r="16" spans="2:13" ht="12.75" customHeight="1" x14ac:dyDescent="0.2">
      <c r="B16" s="497"/>
      <c r="C16" s="143" t="s">
        <v>150</v>
      </c>
      <c r="D16" s="90" t="s">
        <v>150</v>
      </c>
      <c r="E16" s="27" t="s">
        <v>307</v>
      </c>
      <c r="F16" s="27"/>
      <c r="G16" s="144" t="s">
        <v>362</v>
      </c>
      <c r="H16" s="145" t="s">
        <v>235</v>
      </c>
      <c r="I16" s="146" t="s">
        <v>167</v>
      </c>
      <c r="J16" s="27" t="s">
        <v>307</v>
      </c>
      <c r="K16" s="27"/>
      <c r="L16" s="194"/>
      <c r="M16" s="186"/>
    </row>
    <row r="17" spans="2:14" x14ac:dyDescent="0.2">
      <c r="B17" s="147">
        <v>1</v>
      </c>
      <c r="C17" s="198"/>
      <c r="D17" s="198"/>
      <c r="E17" s="30" t="str">
        <f>IF(AND(D17&gt;=C17,C17&lt;C10,D17&lt;&gt;0),F17,"")</f>
        <v/>
      </c>
      <c r="F17" s="182">
        <f>IF(D17&gt;C10,1,(D17-C17)/(C10-C17))</f>
        <v>0</v>
      </c>
      <c r="G17" s="198"/>
      <c r="H17" s="198"/>
      <c r="I17" s="198"/>
      <c r="J17" s="30" t="str">
        <f>IF(AND(I17&lt;=G17,G17&gt;H10,I17&lt;&gt;0),K17,"")</f>
        <v/>
      </c>
      <c r="K17" s="29" t="e">
        <f>IF(I17&lt;H10,1,(G17-I17)/(G17-H10)*(H17/H27))</f>
        <v>#DIV/0!</v>
      </c>
      <c r="L17" s="193"/>
      <c r="M17" s="176"/>
    </row>
    <row r="18" spans="2:14" x14ac:dyDescent="0.2">
      <c r="B18" s="147">
        <v>2</v>
      </c>
      <c r="C18" s="198"/>
      <c r="D18" s="198"/>
      <c r="E18" s="30" t="str">
        <f>IF(AND(D18&gt;=C18,C18&lt;C10,D18&lt;&gt;0),F18,"")</f>
        <v/>
      </c>
      <c r="F18" s="182">
        <f>IF(D18&gt;C10,1,(D18-C18)/(C10-C18))</f>
        <v>0</v>
      </c>
      <c r="G18" s="198"/>
      <c r="H18" s="198"/>
      <c r="I18" s="198"/>
      <c r="J18" s="30" t="str">
        <f>IF(AND(I18&lt;=G18,G18&gt;H10,I18&lt;&gt;0),K18,"")</f>
        <v/>
      </c>
      <c r="K18" s="29" t="e">
        <f>IF(I18&lt;H10,1,(G18-I18)/(G18-H10)*(H18/H27))</f>
        <v>#DIV/0!</v>
      </c>
      <c r="L18" s="193"/>
      <c r="M18" s="176"/>
    </row>
    <row r="19" spans="2:14" x14ac:dyDescent="0.2">
      <c r="B19" s="147">
        <v>3</v>
      </c>
      <c r="C19" s="198"/>
      <c r="D19" s="198"/>
      <c r="E19" s="30" t="str">
        <f>IF(AND(D19&gt;=C19,C19&lt;C10,D19&lt;&gt;0),F19,"")</f>
        <v/>
      </c>
      <c r="F19" s="182">
        <f>IF(D19&gt;C10,1,(D19-C19)/(C10-C19))</f>
        <v>0</v>
      </c>
      <c r="G19" s="198"/>
      <c r="H19" s="198"/>
      <c r="I19" s="198"/>
      <c r="J19" s="30" t="str">
        <f>IF(AND(I19&lt;=G19,G19&gt;H10,I19&lt;&gt;0),K19,"")</f>
        <v/>
      </c>
      <c r="K19" s="29" t="e">
        <f>IF(I19&lt;H10,1,(G19-I19)/(G19-H10)*(H19/H27))</f>
        <v>#DIV/0!</v>
      </c>
      <c r="L19" s="193"/>
      <c r="M19" s="176"/>
    </row>
    <row r="20" spans="2:14" x14ac:dyDescent="0.2">
      <c r="B20" s="147">
        <v>4</v>
      </c>
      <c r="C20" s="198"/>
      <c r="D20" s="198"/>
      <c r="E20" s="30" t="str">
        <f>IF(AND(D20&gt;=C20,C20&lt;C10,D20&lt;&gt;0),F20,"")</f>
        <v/>
      </c>
      <c r="F20" s="182">
        <f>IF(D20&gt;C10,1,(D20-C20)/(C10-C20))</f>
        <v>0</v>
      </c>
      <c r="G20" s="198"/>
      <c r="H20" s="198"/>
      <c r="I20" s="198"/>
      <c r="J20" s="30" t="str">
        <f>IF(AND(I20&lt;=G20,G20&gt;H10,I20&lt;&gt;0),K20,"")</f>
        <v/>
      </c>
      <c r="K20" s="29" t="e">
        <f>IF(I20&lt;H10,1,(G20-I20)/(G20-H10)*(H20/H27))</f>
        <v>#DIV/0!</v>
      </c>
      <c r="L20" s="193"/>
      <c r="M20" s="176"/>
    </row>
    <row r="21" spans="2:14" x14ac:dyDescent="0.2">
      <c r="B21" s="147">
        <v>5</v>
      </c>
      <c r="C21" s="198"/>
      <c r="D21" s="198"/>
      <c r="E21" s="30" t="str">
        <f>IF(AND(D21&gt;=C21,C21&lt;C10,D21&lt;&gt;0),F21,"")</f>
        <v/>
      </c>
      <c r="F21" s="182">
        <f>IF(D21&gt;C10,1,(D21-C21)/(C10-C21))</f>
        <v>0</v>
      </c>
      <c r="G21" s="198"/>
      <c r="H21" s="198"/>
      <c r="I21" s="198"/>
      <c r="J21" s="30" t="str">
        <f>IF(AND(I21&lt;=G21,G21&gt;H10,I21&lt;&gt;0),K21,"")</f>
        <v/>
      </c>
      <c r="K21" s="29" t="e">
        <f>IF(I21&lt;H10,1,(G21-I21)/(G21-H10)*(H21/H27))</f>
        <v>#DIV/0!</v>
      </c>
      <c r="L21" s="193"/>
      <c r="M21" s="176"/>
    </row>
    <row r="22" spans="2:14" x14ac:dyDescent="0.2">
      <c r="B22" s="147">
        <v>6</v>
      </c>
      <c r="C22" s="198"/>
      <c r="D22" s="198"/>
      <c r="E22" s="30" t="str">
        <f>IF(AND(D22&gt;=C22,C22&lt;C10,D22&lt;&gt;0),F22,"")</f>
        <v/>
      </c>
      <c r="F22" s="182">
        <f>IF(D22&gt;C10,1,(D22-C22)/(C10-C22))</f>
        <v>0</v>
      </c>
      <c r="G22" s="198"/>
      <c r="H22" s="198"/>
      <c r="I22" s="198"/>
      <c r="J22" s="30" t="str">
        <f>IF(AND(I22&lt;=G22,G22&gt;H10,I22&lt;&gt;0),K22,"")</f>
        <v/>
      </c>
      <c r="K22" s="29" t="e">
        <f>IF(I22&lt;H10,1,(G22-I22)/(G22-H10)*(H22/H27))</f>
        <v>#DIV/0!</v>
      </c>
      <c r="L22" s="193"/>
      <c r="M22" s="176"/>
    </row>
    <row r="23" spans="2:14" x14ac:dyDescent="0.2">
      <c r="B23" s="147">
        <v>7</v>
      </c>
      <c r="C23" s="198"/>
      <c r="D23" s="198"/>
      <c r="E23" s="30" t="str">
        <f>IF(AND(D23&gt;=C23,C23&lt;C10,D23&lt;&gt;0),F23,"")</f>
        <v/>
      </c>
      <c r="F23" s="182">
        <f>IF(D23&gt;C10,1,(D23-C23)/(C10-C23))</f>
        <v>0</v>
      </c>
      <c r="G23" s="198"/>
      <c r="H23" s="198"/>
      <c r="I23" s="198"/>
      <c r="J23" s="30" t="str">
        <f>IF(AND(I23&lt;=G23,G23&gt;H10,I23&lt;&gt;0),K23,"")</f>
        <v/>
      </c>
      <c r="K23" s="29" t="e">
        <f>IF(I23&lt;H10,1,(G23-I23)/(G23-H10)*(H23/H27))</f>
        <v>#DIV/0!</v>
      </c>
      <c r="L23" s="193"/>
      <c r="M23" s="176"/>
    </row>
    <row r="24" spans="2:14" x14ac:dyDescent="0.2">
      <c r="B24" s="147">
        <v>8</v>
      </c>
      <c r="C24" s="198"/>
      <c r="D24" s="198"/>
      <c r="E24" s="30" t="str">
        <f>IF(AND(D24&gt;=C24,C24&lt;C10,D24&lt;&gt;0),F24,"")</f>
        <v/>
      </c>
      <c r="F24" s="182">
        <f>IF(D24&gt;C10,1,(D24-C24)/(C10-C24))</f>
        <v>0</v>
      </c>
      <c r="G24" s="198"/>
      <c r="H24" s="198"/>
      <c r="I24" s="198"/>
      <c r="J24" s="30" t="str">
        <f>IF(AND(I24&lt;=G24,G24&gt;H10,I24&lt;&gt;0),K24,"")</f>
        <v/>
      </c>
      <c r="K24" s="29" t="e">
        <f>IF(I24&lt;H10,1,(G24-I24)/(G24-H10)*(H24/H27))</f>
        <v>#DIV/0!</v>
      </c>
      <c r="L24" s="193"/>
      <c r="M24" s="176"/>
    </row>
    <row r="25" spans="2:14" x14ac:dyDescent="0.2">
      <c r="B25" s="147">
        <v>9</v>
      </c>
      <c r="C25" s="198"/>
      <c r="D25" s="198"/>
      <c r="E25" s="30" t="str">
        <f>IF(AND(D25&gt;=C25,C25&lt;C10,D25&lt;&gt;0),F25,"")</f>
        <v/>
      </c>
      <c r="F25" s="182">
        <f>IF(D25&gt;C10,1,(D25-C25)/(C10-C25))</f>
        <v>0</v>
      </c>
      <c r="G25" s="198"/>
      <c r="H25" s="198"/>
      <c r="I25" s="198"/>
      <c r="J25" s="30" t="str">
        <f>IF(AND(I25&lt;=G25,G25&gt;H10,I25&lt;&gt;0),K25,"")</f>
        <v/>
      </c>
      <c r="K25" s="29" t="e">
        <f>IF(I25&lt;H10,1,(G25-I25)/(G25-H10)*(H25/H27))</f>
        <v>#DIV/0!</v>
      </c>
      <c r="L25" s="193"/>
      <c r="M25" s="176"/>
    </row>
    <row r="26" spans="2:14" x14ac:dyDescent="0.2">
      <c r="B26" s="148">
        <v>10</v>
      </c>
      <c r="C26" s="198"/>
      <c r="D26" s="198"/>
      <c r="E26" s="30" t="str">
        <f>IF(AND(D26&gt;=C26,C26&lt;C10,D26&lt;&gt;0),F26,"")</f>
        <v/>
      </c>
      <c r="F26" s="182">
        <f>IF(D26&gt;C10,1,(D26-C26)/(C10-C26))</f>
        <v>0</v>
      </c>
      <c r="G26" s="198"/>
      <c r="H26" s="198"/>
      <c r="I26" s="198"/>
      <c r="J26" s="30" t="str">
        <f>IF(AND(I26&lt;=G26,G26&gt;H10,I26&lt;&gt;0),K26,"")</f>
        <v/>
      </c>
      <c r="K26" s="29" t="e">
        <f>IF(I26&lt;H10,1,(G26-I26)/(G26-H10)*(H26/H27))</f>
        <v>#DIV/0!</v>
      </c>
      <c r="L26" s="193"/>
      <c r="M26" s="176"/>
    </row>
    <row r="27" spans="2:14" x14ac:dyDescent="0.2">
      <c r="B27" s="130"/>
      <c r="C27" s="169"/>
      <c r="D27" s="77" t="s">
        <v>310</v>
      </c>
      <c r="E27" s="149">
        <f>IF(SUM(F17:F26)=0,0,AVERAGE(E17:E26))</f>
        <v>0</v>
      </c>
      <c r="F27" s="169"/>
      <c r="G27" s="169"/>
      <c r="H27" s="169">
        <f>SUM(H17:H26)</f>
        <v>0</v>
      </c>
      <c r="I27" s="77" t="s">
        <v>317</v>
      </c>
      <c r="J27" s="31">
        <f>IF(SUM(J17:J26)=0,0.0000001,(SUM(J17:J26)))</f>
        <v>9.9999999999999995E-8</v>
      </c>
      <c r="K27" s="48"/>
      <c r="L27" s="193"/>
      <c r="M27" s="176"/>
    </row>
    <row r="28" spans="2:14" x14ac:dyDescent="0.2">
      <c r="B28" s="290"/>
      <c r="C28" s="291"/>
      <c r="D28" s="291"/>
      <c r="E28" s="291"/>
      <c r="F28" s="291"/>
      <c r="G28" s="291"/>
      <c r="H28" s="291"/>
      <c r="I28" s="291"/>
      <c r="J28" s="291"/>
      <c r="K28" s="291"/>
      <c r="L28" s="292"/>
    </row>
    <row r="29" spans="2:14" x14ac:dyDescent="0.2">
      <c r="B29" s="290"/>
      <c r="C29" s="291"/>
      <c r="D29" s="291"/>
      <c r="E29" s="291"/>
      <c r="F29" s="291"/>
      <c r="G29" s="291"/>
      <c r="H29" s="291"/>
      <c r="I29" s="291"/>
      <c r="J29" s="291"/>
      <c r="K29" s="291"/>
      <c r="L29" s="292"/>
    </row>
    <row r="30" spans="2:14" x14ac:dyDescent="0.2">
      <c r="B30" s="130"/>
      <c r="C30" s="79" t="s">
        <v>313</v>
      </c>
      <c r="D30" s="48"/>
      <c r="E30" s="48"/>
      <c r="F30" s="48"/>
      <c r="G30" s="48"/>
      <c r="H30" s="48"/>
      <c r="I30" s="48"/>
      <c r="J30" s="48"/>
      <c r="K30" s="196"/>
      <c r="L30" s="131"/>
      <c r="M30" s="188"/>
      <c r="N30" s="175"/>
    </row>
    <row r="31" spans="2:14" x14ac:dyDescent="0.2">
      <c r="B31" s="130"/>
      <c r="C31" s="48"/>
      <c r="D31" s="48"/>
      <c r="E31" s="25" t="s">
        <v>315</v>
      </c>
      <c r="F31" s="25"/>
      <c r="G31" s="25" t="s">
        <v>314</v>
      </c>
      <c r="H31" s="25" t="s">
        <v>152</v>
      </c>
      <c r="I31" s="48"/>
      <c r="J31" s="48"/>
      <c r="K31" s="48"/>
      <c r="L31" s="131"/>
      <c r="M31" s="190"/>
      <c r="N31" s="187"/>
    </row>
    <row r="32" spans="2:14" x14ac:dyDescent="0.2">
      <c r="B32" s="130"/>
      <c r="C32" s="48"/>
      <c r="D32" s="47" t="s">
        <v>296</v>
      </c>
      <c r="E32" s="16"/>
      <c r="F32" s="169"/>
      <c r="G32" s="18"/>
      <c r="H32" s="32">
        <f>Geometry!AJ164</f>
        <v>11</v>
      </c>
      <c r="I32" s="89" t="str">
        <f>IF(AND(G32&lt;&gt;0,G32&lt;H32),"May req. WSDOT Approval","")</f>
        <v/>
      </c>
      <c r="J32" s="48"/>
      <c r="K32" s="164" t="s">
        <v>392</v>
      </c>
      <c r="L32" s="195"/>
    </row>
    <row r="33" spans="2:27" x14ac:dyDescent="0.2">
      <c r="B33" s="130"/>
      <c r="C33" s="48"/>
      <c r="D33" s="47" t="s">
        <v>295</v>
      </c>
      <c r="E33" s="16"/>
      <c r="F33" s="169"/>
      <c r="G33" s="18"/>
      <c r="H33" s="32">
        <f>Geometry!AJ174</f>
        <v>4</v>
      </c>
      <c r="I33" s="89" t="str">
        <f>IF(AND(G33&lt;&gt;0,G33&lt;H33),"May req. WSDOT Approval","")</f>
        <v/>
      </c>
      <c r="J33" s="48"/>
      <c r="K33" s="41">
        <f>'1 LANE BR RATING SUMMARY'!M40</f>
        <v>0</v>
      </c>
      <c r="L33" s="195" t="s">
        <v>308</v>
      </c>
    </row>
    <row r="34" spans="2:27" x14ac:dyDescent="0.2">
      <c r="B34" s="130"/>
      <c r="C34" s="48"/>
      <c r="D34" s="47" t="s">
        <v>129</v>
      </c>
      <c r="E34" s="33">
        <f>(E32+(E33*2))</f>
        <v>0</v>
      </c>
      <c r="F34" s="34"/>
      <c r="G34" s="33">
        <f>(G32+(G33*2))</f>
        <v>0</v>
      </c>
      <c r="H34" s="463">
        <f>(H32+(H33*2))</f>
        <v>19</v>
      </c>
      <c r="I34" s="46" t="str">
        <f>IF(AND(G34&lt;&gt;0,H34&gt;G34),"Pts Reduced as % short of standard","")</f>
        <v/>
      </c>
      <c r="J34" s="48"/>
      <c r="K34" s="67"/>
      <c r="L34" s="195"/>
    </row>
    <row r="35" spans="2:27" ht="13.5" thickBot="1" x14ac:dyDescent="0.25">
      <c r="B35" s="295"/>
      <c r="C35" s="296"/>
      <c r="D35" s="296"/>
      <c r="E35" s="296"/>
      <c r="F35" s="296"/>
      <c r="G35" s="296"/>
      <c r="H35" s="133"/>
      <c r="I35" s="296"/>
      <c r="J35" s="296"/>
      <c r="K35" s="296"/>
      <c r="L35" s="297"/>
    </row>
    <row r="38" spans="2:27" x14ac:dyDescent="0.2">
      <c r="H38" s="464"/>
    </row>
    <row r="44" spans="2:27" x14ac:dyDescent="0.2">
      <c r="B44" s="298" t="s">
        <v>62</v>
      </c>
      <c r="C44" s="299"/>
      <c r="D44" s="299"/>
      <c r="E44" s="299"/>
      <c r="F44" s="299"/>
      <c r="G44" s="299"/>
      <c r="H44" s="299"/>
      <c r="I44" s="300"/>
      <c r="J44" s="299"/>
      <c r="K44" s="300"/>
      <c r="L44" s="299"/>
      <c r="M44" s="299"/>
      <c r="N44" s="299"/>
      <c r="O44" s="301"/>
      <c r="P44" s="302"/>
      <c r="Q44" s="303"/>
      <c r="R44" s="304"/>
      <c r="S44" s="304"/>
      <c r="T44" s="304"/>
      <c r="U44" s="304"/>
      <c r="V44" s="304"/>
      <c r="W44" s="304"/>
      <c r="X44" s="304"/>
      <c r="Y44" s="305"/>
      <c r="Z44" s="304"/>
      <c r="AA44" s="306"/>
    </row>
    <row r="45" spans="2:27" x14ac:dyDescent="0.2">
      <c r="B45" s="299"/>
      <c r="C45" s="299"/>
      <c r="D45" s="299"/>
      <c r="E45" s="299"/>
      <c r="F45" s="299"/>
      <c r="G45" s="299"/>
      <c r="H45" s="299"/>
      <c r="I45" s="300"/>
      <c r="J45" s="299"/>
      <c r="K45" s="300"/>
      <c r="L45" s="299"/>
      <c r="M45" s="299"/>
      <c r="N45" s="299"/>
      <c r="O45" s="301"/>
      <c r="P45" s="302"/>
      <c r="Q45" s="307"/>
      <c r="R45" s="308" t="s">
        <v>140</v>
      </c>
      <c r="S45" s="309"/>
      <c r="T45" s="309"/>
      <c r="U45" s="309"/>
      <c r="V45" s="309"/>
      <c r="W45" s="309"/>
      <c r="X45" s="309"/>
      <c r="Y45" s="309"/>
      <c r="Z45" s="310"/>
      <c r="AA45" s="311"/>
    </row>
    <row r="46" spans="2:27" x14ac:dyDescent="0.2">
      <c r="B46" s="312"/>
      <c r="C46" s="299" t="s">
        <v>63</v>
      </c>
      <c r="D46" s="299"/>
      <c r="E46" s="299"/>
      <c r="F46" s="299"/>
      <c r="G46" s="299"/>
      <c r="H46" s="299"/>
      <c r="I46" s="300"/>
      <c r="J46" s="299"/>
      <c r="K46" s="300"/>
      <c r="L46" s="299"/>
      <c r="M46" s="299"/>
      <c r="N46" s="299"/>
      <c r="O46" s="301"/>
      <c r="P46" s="302"/>
      <c r="Q46" s="307"/>
      <c r="R46" s="310"/>
      <c r="S46" s="310"/>
      <c r="T46" s="310"/>
      <c r="U46" s="310"/>
      <c r="V46" s="310"/>
      <c r="W46" s="310"/>
      <c r="X46" s="310"/>
      <c r="Y46" s="313"/>
      <c r="Z46" s="310"/>
      <c r="AA46" s="311"/>
    </row>
    <row r="47" spans="2:27" x14ac:dyDescent="0.2">
      <c r="B47" s="312"/>
      <c r="C47" s="299" t="s">
        <v>64</v>
      </c>
      <c r="D47" s="299"/>
      <c r="E47" s="299"/>
      <c r="F47" s="299"/>
      <c r="G47" s="299"/>
      <c r="H47" s="299"/>
      <c r="I47" s="300"/>
      <c r="J47" s="299"/>
      <c r="K47" s="300"/>
      <c r="L47" s="299"/>
      <c r="M47" s="299"/>
      <c r="N47" s="299"/>
      <c r="O47" s="301"/>
      <c r="P47" s="302"/>
      <c r="Q47" s="314">
        <f>'Traffic &amp; Accidents'!D7</f>
        <v>0</v>
      </c>
      <c r="R47" s="310" t="s">
        <v>133</v>
      </c>
      <c r="S47" s="310"/>
      <c r="T47" s="315" t="s">
        <v>136</v>
      </c>
      <c r="U47" s="315"/>
      <c r="V47" s="315"/>
      <c r="W47" s="313"/>
      <c r="X47" s="310" t="s">
        <v>141</v>
      </c>
      <c r="Y47" s="316"/>
      <c r="Z47" s="313"/>
      <c r="AA47" s="311"/>
    </row>
    <row r="48" spans="2:27" x14ac:dyDescent="0.2">
      <c r="B48" s="317" t="s">
        <v>65</v>
      </c>
      <c r="C48" s="317"/>
      <c r="D48" s="317"/>
      <c r="E48" s="317"/>
      <c r="F48" s="317"/>
      <c r="G48" s="317"/>
      <c r="H48" s="317"/>
      <c r="I48" s="318" t="s">
        <v>236</v>
      </c>
      <c r="J48" s="317"/>
      <c r="K48" s="319"/>
      <c r="L48" s="317"/>
      <c r="M48" s="317"/>
      <c r="N48" s="317"/>
      <c r="O48" s="301"/>
      <c r="P48" s="302"/>
      <c r="Q48" s="320"/>
      <c r="R48" s="310"/>
      <c r="S48" s="310"/>
      <c r="T48" s="58">
        <f>IF(Q50&lt;&gt;0,U48,T49)</f>
        <v>20</v>
      </c>
      <c r="U48" s="58">
        <f>IF(Q47&lt;400,40,V48)</f>
        <v>40</v>
      </c>
      <c r="V48" s="58">
        <f>IF(Q47&lt;(2001),50,60)</f>
        <v>50</v>
      </c>
      <c r="W48" s="313"/>
      <c r="X48" s="310"/>
      <c r="Y48" s="321"/>
      <c r="Z48" s="310"/>
      <c r="AA48" s="311"/>
    </row>
    <row r="49" spans="2:27" x14ac:dyDescent="0.2">
      <c r="B49" s="317"/>
      <c r="C49" s="317"/>
      <c r="D49" s="317"/>
      <c r="E49" s="301"/>
      <c r="F49" s="317"/>
      <c r="G49" s="317"/>
      <c r="H49" s="317"/>
      <c r="I49" s="318" t="s">
        <v>237</v>
      </c>
      <c r="J49" s="317"/>
      <c r="K49" s="319"/>
      <c r="L49" s="317"/>
      <c r="M49" s="317"/>
      <c r="N49" s="317"/>
      <c r="O49" s="301"/>
      <c r="P49" s="302"/>
      <c r="Q49" s="60" t="s">
        <v>84</v>
      </c>
      <c r="R49" s="58"/>
      <c r="S49" s="58"/>
      <c r="T49" s="58">
        <f>IF(Q51&lt;&gt;0,U49,T50)</f>
        <v>20</v>
      </c>
      <c r="U49" s="58">
        <f>IF(Q47&lt;(400),30,V49)</f>
        <v>30</v>
      </c>
      <c r="V49" s="58">
        <f>IF(Q47&lt;(2001),40,50)</f>
        <v>40</v>
      </c>
      <c r="W49" s="313"/>
      <c r="X49" s="322">
        <f>IF(U53=Geometry!L54,Geometry!M54,X50)</f>
        <v>115</v>
      </c>
      <c r="Y49" s="323"/>
      <c r="Z49" s="310"/>
      <c r="AA49" s="311"/>
    </row>
    <row r="50" spans="2:27" x14ac:dyDescent="0.2">
      <c r="B50" s="317"/>
      <c r="C50" s="317"/>
      <c r="D50" s="317"/>
      <c r="E50" s="317" t="s">
        <v>66</v>
      </c>
      <c r="F50" s="317"/>
      <c r="G50" s="317"/>
      <c r="H50" s="317"/>
      <c r="I50" s="319"/>
      <c r="J50" s="317"/>
      <c r="K50" s="319"/>
      <c r="L50" s="317"/>
      <c r="M50" s="317"/>
      <c r="N50" s="317"/>
      <c r="O50" s="301"/>
      <c r="P50" s="302"/>
      <c r="Q50" s="314">
        <f>Geometry!G4</f>
        <v>0</v>
      </c>
      <c r="R50" s="58" t="s">
        <v>142</v>
      </c>
      <c r="S50" s="58"/>
      <c r="T50" s="58">
        <f>U50</f>
        <v>20</v>
      </c>
      <c r="U50" s="58">
        <f>IF(Q47&lt;(400),20,V50)</f>
        <v>20</v>
      </c>
      <c r="V50" s="58">
        <f>IF(Q47&lt;(2001),30,40)</f>
        <v>30</v>
      </c>
      <c r="W50" s="313"/>
      <c r="X50" s="304">
        <f>IF(U53=Geometry!L55,Geometry!M55,X51)</f>
        <v>115</v>
      </c>
      <c r="Y50" s="323"/>
      <c r="Z50" s="310"/>
      <c r="AA50" s="311"/>
    </row>
    <row r="51" spans="2:27" x14ac:dyDescent="0.2">
      <c r="B51" s="299"/>
      <c r="C51" s="299"/>
      <c r="D51" s="299"/>
      <c r="E51" s="299"/>
      <c r="F51" s="299"/>
      <c r="G51" s="299"/>
      <c r="H51" s="299"/>
      <c r="I51" s="300"/>
      <c r="J51" s="299"/>
      <c r="K51" s="300"/>
      <c r="L51" s="299"/>
      <c r="M51" s="299"/>
      <c r="N51" s="299"/>
      <c r="O51" s="301"/>
      <c r="P51" s="302"/>
      <c r="Q51" s="314">
        <f>Geometry!H4</f>
        <v>0</v>
      </c>
      <c r="R51" s="58" t="s">
        <v>90</v>
      </c>
      <c r="S51" s="58"/>
      <c r="T51" s="313"/>
      <c r="U51" s="313"/>
      <c r="V51" s="313"/>
      <c r="W51" s="313"/>
      <c r="X51" s="310">
        <f>IF(U53=Geometry!L56,Geometry!M56,X52)</f>
        <v>115</v>
      </c>
      <c r="Y51" s="323"/>
      <c r="Z51" s="310"/>
      <c r="AA51" s="311"/>
    </row>
    <row r="52" spans="2:27" x14ac:dyDescent="0.2">
      <c r="B52" s="299"/>
      <c r="C52" s="299"/>
      <c r="D52" s="299"/>
      <c r="E52" s="312"/>
      <c r="F52" s="299"/>
      <c r="G52" s="299"/>
      <c r="H52" s="324" t="s">
        <v>67</v>
      </c>
      <c r="I52" s="300"/>
      <c r="J52" s="299"/>
      <c r="K52" s="300"/>
      <c r="L52" s="286"/>
      <c r="M52" s="286" t="s">
        <v>154</v>
      </c>
      <c r="N52" s="299"/>
      <c r="O52" s="301"/>
      <c r="P52" s="302"/>
      <c r="Q52" s="314">
        <f>Geometry!I4</f>
        <v>0</v>
      </c>
      <c r="R52" s="58" t="s">
        <v>143</v>
      </c>
      <c r="S52" s="58"/>
      <c r="T52" s="313"/>
      <c r="U52" s="325" t="s">
        <v>144</v>
      </c>
      <c r="V52" s="313"/>
      <c r="W52" s="313"/>
      <c r="X52" s="310">
        <f>IF(U53=Geometry!L57,Geometry!M57,X53)</f>
        <v>115</v>
      </c>
      <c r="Y52" s="323"/>
      <c r="Z52" s="310"/>
      <c r="AA52" s="311"/>
    </row>
    <row r="53" spans="2:27" x14ac:dyDescent="0.2">
      <c r="B53" s="299"/>
      <c r="C53" s="299"/>
      <c r="D53" s="312"/>
      <c r="E53" s="312"/>
      <c r="F53" s="299"/>
      <c r="G53" s="299"/>
      <c r="H53" s="299"/>
      <c r="I53" s="312"/>
      <c r="J53" s="299"/>
      <c r="K53" s="300"/>
      <c r="L53" s="326" t="s">
        <v>146</v>
      </c>
      <c r="M53" s="327" t="s">
        <v>156</v>
      </c>
      <c r="N53" s="299"/>
      <c r="O53" s="301"/>
      <c r="P53" s="302"/>
      <c r="Q53" s="60"/>
      <c r="R53" s="58"/>
      <c r="S53" s="58"/>
      <c r="T53" s="313"/>
      <c r="U53" s="328">
        <f>T48</f>
        <v>20</v>
      </c>
      <c r="V53" s="313"/>
      <c r="W53" s="313"/>
      <c r="X53" s="310">
        <f>IF(U53=Geometry!L58,Geometry!M58,0)</f>
        <v>115</v>
      </c>
      <c r="Y53" s="323"/>
      <c r="Z53" s="310"/>
      <c r="AA53" s="311"/>
    </row>
    <row r="54" spans="2:27" x14ac:dyDescent="0.2">
      <c r="B54" s="299"/>
      <c r="C54" s="324" t="s">
        <v>68</v>
      </c>
      <c r="D54" s="312"/>
      <c r="E54" s="312"/>
      <c r="F54" s="329" t="s">
        <v>69</v>
      </c>
      <c r="G54" s="329"/>
      <c r="H54" s="329" t="s">
        <v>70</v>
      </c>
      <c r="I54" s="329"/>
      <c r="J54" s="329" t="s">
        <v>71</v>
      </c>
      <c r="K54" s="300"/>
      <c r="L54" s="330">
        <v>60</v>
      </c>
      <c r="M54" s="330">
        <v>1340</v>
      </c>
      <c r="N54" s="299"/>
      <c r="O54" s="301"/>
      <c r="P54" s="302"/>
      <c r="Q54" s="60"/>
      <c r="R54" s="58"/>
      <c r="S54" s="58"/>
      <c r="T54" s="310"/>
      <c r="U54" s="313"/>
      <c r="V54" s="313"/>
      <c r="W54" s="313"/>
      <c r="X54" s="313"/>
      <c r="Y54" s="313"/>
      <c r="Z54" s="310"/>
      <c r="AA54" s="311"/>
    </row>
    <row r="55" spans="2:27" x14ac:dyDescent="0.2">
      <c r="B55" s="299"/>
      <c r="C55" s="299"/>
      <c r="D55" s="312"/>
      <c r="E55" s="312"/>
      <c r="F55" s="300"/>
      <c r="G55" s="300"/>
      <c r="H55" s="300"/>
      <c r="I55" s="300"/>
      <c r="J55" s="300"/>
      <c r="K55" s="300"/>
      <c r="L55" s="330">
        <v>50</v>
      </c>
      <c r="M55" s="330">
        <v>835</v>
      </c>
      <c r="N55" s="299"/>
      <c r="O55" s="301"/>
      <c r="P55" s="302"/>
      <c r="Q55" s="331"/>
      <c r="R55" s="332"/>
      <c r="S55" s="332" t="s">
        <v>145</v>
      </c>
      <c r="T55" s="332" t="s">
        <v>146</v>
      </c>
      <c r="U55" s="333"/>
      <c r="V55" s="332"/>
      <c r="W55" s="332"/>
      <c r="X55" s="332"/>
      <c r="Y55" s="332"/>
      <c r="Z55" s="310"/>
      <c r="AA55" s="311"/>
    </row>
    <row r="56" spans="2:27" x14ac:dyDescent="0.2">
      <c r="B56" s="299"/>
      <c r="C56" s="299" t="s">
        <v>72</v>
      </c>
      <c r="D56" s="312"/>
      <c r="E56" s="312"/>
      <c r="F56" s="330">
        <v>40</v>
      </c>
      <c r="G56" s="300"/>
      <c r="H56" s="300">
        <v>50</v>
      </c>
      <c r="I56" s="300"/>
      <c r="J56" s="334">
        <v>60</v>
      </c>
      <c r="K56" s="300"/>
      <c r="L56" s="330">
        <v>40</v>
      </c>
      <c r="M56" s="330">
        <v>510</v>
      </c>
      <c r="N56" s="299"/>
      <c r="O56" s="301"/>
      <c r="P56" s="302"/>
      <c r="Q56" s="331"/>
      <c r="R56" s="332" t="s">
        <v>147</v>
      </c>
      <c r="S56" s="332" t="s">
        <v>138</v>
      </c>
      <c r="T56" s="332" t="s">
        <v>148</v>
      </c>
      <c r="U56" s="332" t="s">
        <v>139</v>
      </c>
      <c r="V56" s="332"/>
      <c r="W56" s="332"/>
      <c r="X56" s="332"/>
      <c r="Y56" s="332"/>
      <c r="Z56" s="310"/>
      <c r="AA56" s="311"/>
    </row>
    <row r="57" spans="2:27" x14ac:dyDescent="0.2">
      <c r="B57" s="299"/>
      <c r="C57" s="299" t="s">
        <v>73</v>
      </c>
      <c r="D57" s="312"/>
      <c r="E57" s="312"/>
      <c r="F57" s="330">
        <v>30</v>
      </c>
      <c r="G57" s="300"/>
      <c r="H57" s="300">
        <v>40</v>
      </c>
      <c r="I57" s="300"/>
      <c r="J57" s="335">
        <v>50</v>
      </c>
      <c r="K57" s="300"/>
      <c r="L57" s="330">
        <v>30</v>
      </c>
      <c r="M57" s="330">
        <v>275</v>
      </c>
      <c r="N57" s="299"/>
      <c r="O57" s="301"/>
      <c r="P57" s="302"/>
      <c r="Q57" s="336" t="s">
        <v>149</v>
      </c>
      <c r="R57" s="337" t="s">
        <v>150</v>
      </c>
      <c r="S57" s="337" t="s">
        <v>146</v>
      </c>
      <c r="T57" s="337" t="s">
        <v>151</v>
      </c>
      <c r="U57" s="337" t="s">
        <v>153</v>
      </c>
      <c r="V57" s="337"/>
      <c r="W57" s="337"/>
      <c r="X57" s="337"/>
      <c r="Y57" s="337"/>
      <c r="Z57" s="310"/>
      <c r="AA57" s="311"/>
    </row>
    <row r="58" spans="2:27" x14ac:dyDescent="0.2">
      <c r="B58" s="299"/>
      <c r="C58" s="299" t="s">
        <v>74</v>
      </c>
      <c r="D58" s="312"/>
      <c r="E58" s="312"/>
      <c r="F58" s="338">
        <v>20</v>
      </c>
      <c r="G58" s="300"/>
      <c r="H58" s="300">
        <v>30</v>
      </c>
      <c r="I58" s="300"/>
      <c r="J58" s="339">
        <v>40</v>
      </c>
      <c r="K58" s="300"/>
      <c r="L58" s="330">
        <v>20</v>
      </c>
      <c r="M58" s="330">
        <v>115</v>
      </c>
      <c r="N58" s="299"/>
      <c r="O58" s="301"/>
      <c r="P58" s="302"/>
      <c r="Q58" s="340">
        <v>1</v>
      </c>
      <c r="R58" s="314">
        <f>Geometry!C17</f>
        <v>0</v>
      </c>
      <c r="S58" s="341">
        <f t="shared" ref="S58:S67" si="0">R76</f>
        <v>90</v>
      </c>
      <c r="T58" s="341">
        <f>IF(U53&gt;S58,U53-S58,U53-S58)</f>
        <v>-70</v>
      </c>
      <c r="U58" s="342">
        <f t="shared" ref="U58:U67" si="1">IF(T58&gt;=0,1,0)</f>
        <v>0</v>
      </c>
      <c r="V58" s="342"/>
      <c r="W58" s="342"/>
      <c r="X58" s="342"/>
      <c r="Y58" s="342"/>
      <c r="Z58" s="310"/>
      <c r="AA58" s="311"/>
    </row>
    <row r="59" spans="2:27" ht="12.75" customHeight="1" x14ac:dyDescent="0.2">
      <c r="B59" s="299"/>
      <c r="C59" s="299"/>
      <c r="D59" s="299"/>
      <c r="E59" s="299"/>
      <c r="F59" s="299"/>
      <c r="G59" s="299"/>
      <c r="H59" s="299"/>
      <c r="I59" s="300"/>
      <c r="J59" s="299"/>
      <c r="K59" s="300"/>
      <c r="L59" s="299"/>
      <c r="M59" s="299"/>
      <c r="N59" s="299"/>
      <c r="O59" s="301"/>
      <c r="P59" s="302"/>
      <c r="Q59" s="340">
        <v>2</v>
      </c>
      <c r="R59" s="314">
        <f>Geometry!C18</f>
        <v>0</v>
      </c>
      <c r="S59" s="341">
        <f t="shared" si="0"/>
        <v>90</v>
      </c>
      <c r="T59" s="341">
        <f>IF(U53&gt;S59,U53-S59,U53-S59)</f>
        <v>-70</v>
      </c>
      <c r="U59" s="342">
        <f t="shared" si="1"/>
        <v>0</v>
      </c>
      <c r="V59" s="342"/>
      <c r="W59" s="342"/>
      <c r="X59" s="342"/>
      <c r="Y59" s="342"/>
      <c r="Z59" s="310"/>
      <c r="AA59" s="311"/>
    </row>
    <row r="60" spans="2:27" x14ac:dyDescent="0.2">
      <c r="B60" s="317"/>
      <c r="C60" s="343"/>
      <c r="D60" s="317"/>
      <c r="E60" s="317"/>
      <c r="F60" s="317"/>
      <c r="G60" s="317"/>
      <c r="H60" s="317"/>
      <c r="I60" s="319"/>
      <c r="J60" s="317"/>
      <c r="K60" s="319"/>
      <c r="L60" s="317"/>
      <c r="M60" s="317"/>
      <c r="N60" s="317"/>
      <c r="O60" s="301"/>
      <c r="P60" s="302"/>
      <c r="Q60" s="340">
        <v>3</v>
      </c>
      <c r="R60" s="314">
        <f>Geometry!C19</f>
        <v>0</v>
      </c>
      <c r="S60" s="341">
        <f t="shared" si="0"/>
        <v>90</v>
      </c>
      <c r="T60" s="341">
        <f>IF(U53&gt;S60,U53-S60,U53-S60)</f>
        <v>-70</v>
      </c>
      <c r="U60" s="342">
        <f t="shared" si="1"/>
        <v>0</v>
      </c>
      <c r="V60" s="342"/>
      <c r="W60" s="342"/>
      <c r="X60" s="342"/>
      <c r="Y60" s="342"/>
      <c r="Z60" s="310"/>
      <c r="AA60" s="311"/>
    </row>
    <row r="61" spans="2:27" x14ac:dyDescent="0.2">
      <c r="B61" s="301"/>
      <c r="C61" s="343" t="s">
        <v>28</v>
      </c>
      <c r="D61" s="344" t="s">
        <v>75</v>
      </c>
      <c r="E61" s="345"/>
      <c r="F61" s="317"/>
      <c r="G61" s="317"/>
      <c r="H61" s="317"/>
      <c r="I61" s="319"/>
      <c r="J61" s="317"/>
      <c r="K61" s="319"/>
      <c r="L61" s="317"/>
      <c r="M61" s="317"/>
      <c r="N61" s="317"/>
      <c r="O61" s="301"/>
      <c r="P61" s="302"/>
      <c r="Q61" s="340">
        <v>4</v>
      </c>
      <c r="R61" s="314">
        <f>Geometry!C20</f>
        <v>0</v>
      </c>
      <c r="S61" s="341">
        <f t="shared" si="0"/>
        <v>90</v>
      </c>
      <c r="T61" s="341">
        <f>IF(U53&gt;S61,U53-S61,U53-S61)</f>
        <v>-70</v>
      </c>
      <c r="U61" s="342">
        <f t="shared" si="1"/>
        <v>0</v>
      </c>
      <c r="V61" s="342"/>
      <c r="W61" s="342"/>
      <c r="X61" s="342"/>
      <c r="Y61" s="342"/>
      <c r="Z61" s="310"/>
      <c r="AA61" s="311"/>
    </row>
    <row r="62" spans="2:27" x14ac:dyDescent="0.2">
      <c r="B62" s="301"/>
      <c r="C62" s="317"/>
      <c r="D62" s="317"/>
      <c r="E62" s="317"/>
      <c r="F62" s="317"/>
      <c r="G62" s="317"/>
      <c r="H62" s="317"/>
      <c r="I62" s="319"/>
      <c r="J62" s="317"/>
      <c r="K62" s="319"/>
      <c r="L62" s="317"/>
      <c r="M62" s="317"/>
      <c r="N62" s="317"/>
      <c r="O62" s="301"/>
      <c r="P62" s="302"/>
      <c r="Q62" s="340">
        <v>5</v>
      </c>
      <c r="R62" s="314">
        <f>Geometry!C21</f>
        <v>0</v>
      </c>
      <c r="S62" s="341">
        <f t="shared" si="0"/>
        <v>90</v>
      </c>
      <c r="T62" s="341">
        <f>IF(U53&gt;S62,U53-S62,U53-S62)</f>
        <v>-70</v>
      </c>
      <c r="U62" s="342">
        <f t="shared" si="1"/>
        <v>0</v>
      </c>
      <c r="V62" s="342"/>
      <c r="W62" s="342"/>
      <c r="X62" s="342"/>
      <c r="Y62" s="342"/>
      <c r="Z62" s="310"/>
      <c r="AA62" s="311"/>
    </row>
    <row r="63" spans="2:27" x14ac:dyDescent="0.2">
      <c r="B63" s="301"/>
      <c r="C63" s="319">
        <v>0</v>
      </c>
      <c r="D63" s="317" t="s">
        <v>76</v>
      </c>
      <c r="E63" s="317"/>
      <c r="F63" s="317"/>
      <c r="G63" s="317"/>
      <c r="H63" s="317"/>
      <c r="I63" s="319"/>
      <c r="J63" s="317"/>
      <c r="K63" s="319"/>
      <c r="L63" s="317"/>
      <c r="M63" s="317"/>
      <c r="N63" s="317"/>
      <c r="O63" s="301"/>
      <c r="P63" s="302"/>
      <c r="Q63" s="340">
        <v>6</v>
      </c>
      <c r="R63" s="314">
        <f>Geometry!C22</f>
        <v>0</v>
      </c>
      <c r="S63" s="341">
        <f t="shared" si="0"/>
        <v>90</v>
      </c>
      <c r="T63" s="341">
        <f>IF(U53&gt;S63,U53-S63,U53-S63)</f>
        <v>-70</v>
      </c>
      <c r="U63" s="342">
        <f t="shared" si="1"/>
        <v>0</v>
      </c>
      <c r="V63" s="342"/>
      <c r="W63" s="342"/>
      <c r="X63" s="342"/>
      <c r="Y63" s="342"/>
      <c r="Z63" s="310"/>
      <c r="AA63" s="311"/>
    </row>
    <row r="64" spans="2:27" x14ac:dyDescent="0.2">
      <c r="B64" s="301"/>
      <c r="C64" s="319">
        <v>5</v>
      </c>
      <c r="D64" s="317" t="s">
        <v>77</v>
      </c>
      <c r="E64" s="317"/>
      <c r="F64" s="317"/>
      <c r="G64" s="317"/>
      <c r="H64" s="317"/>
      <c r="I64" s="319"/>
      <c r="J64" s="317"/>
      <c r="K64" s="319"/>
      <c r="L64" s="317"/>
      <c r="M64" s="317"/>
      <c r="N64" s="317"/>
      <c r="O64" s="301"/>
      <c r="P64" s="302"/>
      <c r="Q64" s="340">
        <v>7</v>
      </c>
      <c r="R64" s="314">
        <f>Geometry!C23</f>
        <v>0</v>
      </c>
      <c r="S64" s="341">
        <f t="shared" si="0"/>
        <v>90</v>
      </c>
      <c r="T64" s="341">
        <f>IF(U53&gt;S64,U53-S64,U53-S64)</f>
        <v>-70</v>
      </c>
      <c r="U64" s="342">
        <f t="shared" si="1"/>
        <v>0</v>
      </c>
      <c r="V64" s="342"/>
      <c r="W64" s="342"/>
      <c r="X64" s="342"/>
      <c r="Y64" s="342"/>
      <c r="Z64" s="310"/>
      <c r="AA64" s="311"/>
    </row>
    <row r="65" spans="2:27" x14ac:dyDescent="0.2">
      <c r="B65" s="301"/>
      <c r="C65" s="319"/>
      <c r="D65" s="317"/>
      <c r="E65" s="317"/>
      <c r="F65" s="317"/>
      <c r="G65" s="317"/>
      <c r="H65" s="317"/>
      <c r="I65" s="319"/>
      <c r="J65" s="317"/>
      <c r="K65" s="319"/>
      <c r="L65" s="317"/>
      <c r="M65" s="317"/>
      <c r="N65" s="317"/>
      <c r="O65" s="301"/>
      <c r="P65" s="302"/>
      <c r="Q65" s="340">
        <v>8</v>
      </c>
      <c r="R65" s="314">
        <f>Geometry!C24</f>
        <v>0</v>
      </c>
      <c r="S65" s="341">
        <f t="shared" si="0"/>
        <v>90</v>
      </c>
      <c r="T65" s="341">
        <f>IF(U53&gt;S65,U53-S65,U53-S65)</f>
        <v>-70</v>
      </c>
      <c r="U65" s="342">
        <f t="shared" si="1"/>
        <v>0</v>
      </c>
      <c r="V65" s="342"/>
      <c r="W65" s="342"/>
      <c r="X65" s="342"/>
      <c r="Y65" s="342"/>
      <c r="Z65" s="58"/>
      <c r="AA65" s="311"/>
    </row>
    <row r="66" spans="2:27" x14ac:dyDescent="0.2">
      <c r="B66" s="301"/>
      <c r="C66" s="319"/>
      <c r="D66" s="317"/>
      <c r="E66" s="317"/>
      <c r="F66" s="317"/>
      <c r="G66" s="317"/>
      <c r="H66" s="317"/>
      <c r="I66" s="319"/>
      <c r="J66" s="317"/>
      <c r="K66" s="319"/>
      <c r="L66" s="317"/>
      <c r="M66" s="317"/>
      <c r="N66" s="317"/>
      <c r="O66" s="301"/>
      <c r="P66" s="302"/>
      <c r="Q66" s="340">
        <v>9</v>
      </c>
      <c r="R66" s="314">
        <f>Geometry!C25</f>
        <v>0</v>
      </c>
      <c r="S66" s="341">
        <f t="shared" si="0"/>
        <v>90</v>
      </c>
      <c r="T66" s="341">
        <f>IF(U53&gt;S66,U53-S66,U53-S66)</f>
        <v>-70</v>
      </c>
      <c r="U66" s="342">
        <f t="shared" si="1"/>
        <v>0</v>
      </c>
      <c r="V66" s="342"/>
      <c r="W66" s="342"/>
      <c r="X66" s="342"/>
      <c r="Y66" s="342"/>
      <c r="Z66" s="346"/>
      <c r="AA66" s="311"/>
    </row>
    <row r="67" spans="2:27" ht="13.5" thickBot="1" x14ac:dyDescent="0.25">
      <c r="B67" s="317"/>
      <c r="C67" s="317"/>
      <c r="D67" s="317"/>
      <c r="E67" s="317"/>
      <c r="F67" s="317"/>
      <c r="G67" s="317"/>
      <c r="H67" s="317"/>
      <c r="I67" s="319"/>
      <c r="J67" s="317"/>
      <c r="K67" s="319"/>
      <c r="L67" s="317"/>
      <c r="M67" s="317"/>
      <c r="N67" s="317"/>
      <c r="O67" s="301"/>
      <c r="P67" s="302"/>
      <c r="Q67" s="340">
        <v>10</v>
      </c>
      <c r="R67" s="314">
        <f>Geometry!C26</f>
        <v>0</v>
      </c>
      <c r="S67" s="341">
        <f t="shared" si="0"/>
        <v>90</v>
      </c>
      <c r="T67" s="341">
        <f>IF(U53&gt;S67,U53-S67,U53-S67)</f>
        <v>-70</v>
      </c>
      <c r="U67" s="342">
        <f t="shared" si="1"/>
        <v>0</v>
      </c>
      <c r="V67" s="342"/>
      <c r="W67" s="342"/>
      <c r="X67" s="342"/>
      <c r="Y67" s="342"/>
      <c r="Z67" s="346"/>
      <c r="AA67" s="311"/>
    </row>
    <row r="68" spans="2:27" ht="13.5" thickBot="1" x14ac:dyDescent="0.25">
      <c r="B68" s="299"/>
      <c r="C68" s="312"/>
      <c r="D68" s="299"/>
      <c r="E68" s="299"/>
      <c r="F68" s="299"/>
      <c r="G68" s="347" t="s">
        <v>78</v>
      </c>
      <c r="H68" s="301"/>
      <c r="I68" s="312"/>
      <c r="J68" s="299"/>
      <c r="K68" s="300"/>
      <c r="L68" s="299"/>
      <c r="M68" s="299"/>
      <c r="N68" s="348">
        <f>IF(Geometry!U68&lt;&gt;0,5,0)</f>
        <v>0</v>
      </c>
      <c r="O68" s="301"/>
      <c r="P68" s="302"/>
      <c r="Q68" s="340"/>
      <c r="R68" s="342"/>
      <c r="S68" s="341"/>
      <c r="T68" s="341"/>
      <c r="U68" s="349">
        <f>IF(SUM(U58:U67)&gt;0,3,0)</f>
        <v>0</v>
      </c>
      <c r="V68" s="342"/>
      <c r="W68" s="342"/>
      <c r="X68" s="342"/>
      <c r="Y68" s="342"/>
      <c r="Z68" s="346"/>
      <c r="AA68" s="311"/>
    </row>
    <row r="69" spans="2:27" x14ac:dyDescent="0.2">
      <c r="B69" s="299"/>
      <c r="C69" s="299"/>
      <c r="D69" s="299"/>
      <c r="E69" s="299"/>
      <c r="F69" s="299"/>
      <c r="G69" s="299"/>
      <c r="H69" s="299"/>
      <c r="I69" s="300"/>
      <c r="J69" s="299"/>
      <c r="K69" s="300"/>
      <c r="L69" s="299"/>
      <c r="M69" s="299"/>
      <c r="N69" s="299"/>
      <c r="O69" s="301"/>
      <c r="P69" s="302"/>
      <c r="Q69" s="340"/>
      <c r="R69" s="342"/>
      <c r="S69" s="341"/>
      <c r="T69" s="341"/>
      <c r="U69" s="342" t="s">
        <v>359</v>
      </c>
      <c r="V69" s="342"/>
      <c r="W69" s="342"/>
      <c r="X69" s="342"/>
      <c r="Y69" s="342"/>
      <c r="Z69" s="346"/>
      <c r="AA69" s="350"/>
    </row>
    <row r="70" spans="2:27" x14ac:dyDescent="0.2">
      <c r="B70" s="301"/>
      <c r="C70" s="301"/>
      <c r="D70" s="301"/>
      <c r="E70" s="301"/>
      <c r="F70" s="301"/>
      <c r="G70" s="301"/>
      <c r="H70" s="301"/>
      <c r="I70" s="301"/>
      <c r="J70" s="301"/>
      <c r="K70" s="301"/>
      <c r="L70" s="301"/>
      <c r="M70" s="301"/>
      <c r="N70" s="283"/>
      <c r="O70" s="284"/>
      <c r="P70" s="191"/>
      <c r="Q70" s="340"/>
      <c r="R70" s="342"/>
      <c r="S70" s="341"/>
      <c r="T70" s="341"/>
      <c r="U70" s="342"/>
      <c r="V70" s="342"/>
      <c r="W70" s="342"/>
      <c r="X70" s="342"/>
      <c r="Y70" s="342"/>
      <c r="Z70" s="346"/>
      <c r="AA70" s="350"/>
    </row>
    <row r="71" spans="2:27" x14ac:dyDescent="0.2">
      <c r="B71" s="301"/>
      <c r="C71" s="301"/>
      <c r="D71" s="301"/>
      <c r="E71" s="301"/>
      <c r="F71" s="301"/>
      <c r="G71" s="301"/>
      <c r="H71" s="301"/>
      <c r="I71" s="301"/>
      <c r="J71" s="301"/>
      <c r="K71" s="301"/>
      <c r="L71" s="301"/>
      <c r="M71" s="301"/>
      <c r="N71" s="283"/>
      <c r="O71" s="284"/>
      <c r="P71" s="191"/>
      <c r="Q71" s="340"/>
      <c r="R71" s="342"/>
      <c r="S71" s="341"/>
      <c r="T71" s="341"/>
      <c r="U71" s="342"/>
      <c r="V71" s="342"/>
      <c r="W71" s="342"/>
      <c r="X71" s="342"/>
      <c r="Y71" s="342"/>
      <c r="Z71" s="346"/>
      <c r="AA71" s="350"/>
    </row>
    <row r="72" spans="2:27" x14ac:dyDescent="0.2">
      <c r="B72" s="301"/>
      <c r="C72" s="301"/>
      <c r="D72" s="301"/>
      <c r="E72" s="301"/>
      <c r="F72" s="301"/>
      <c r="G72" s="301"/>
      <c r="H72" s="301"/>
      <c r="I72" s="301"/>
      <c r="J72" s="301"/>
      <c r="K72" s="301"/>
      <c r="L72" s="301"/>
      <c r="M72" s="301"/>
      <c r="N72" s="283"/>
      <c r="O72" s="284"/>
      <c r="P72" s="191"/>
      <c r="Q72" s="307"/>
      <c r="R72" s="310"/>
      <c r="S72" s="310"/>
      <c r="T72" s="310"/>
      <c r="U72" s="43"/>
      <c r="V72" s="351"/>
      <c r="W72" s="351"/>
      <c r="X72" s="351"/>
      <c r="Y72" s="352"/>
      <c r="Z72" s="346"/>
      <c r="AA72" s="350"/>
    </row>
    <row r="73" spans="2:27" x14ac:dyDescent="0.2">
      <c r="B73" s="301"/>
      <c r="C73" s="301"/>
      <c r="D73" s="301"/>
      <c r="E73" s="301"/>
      <c r="F73" s="301"/>
      <c r="G73" s="301"/>
      <c r="H73" s="301"/>
      <c r="I73" s="301"/>
      <c r="J73" s="301"/>
      <c r="K73" s="301"/>
      <c r="L73" s="301"/>
      <c r="M73" s="301"/>
      <c r="N73" s="283"/>
      <c r="O73" s="284"/>
      <c r="P73" s="175"/>
      <c r="Q73" s="307"/>
      <c r="R73" s="353"/>
      <c r="S73" s="310"/>
      <c r="T73" s="310"/>
      <c r="U73" s="310"/>
      <c r="V73" s="310"/>
      <c r="W73" s="310"/>
      <c r="X73" s="310"/>
      <c r="Y73" s="310"/>
      <c r="Z73" s="346"/>
      <c r="AA73" s="350"/>
    </row>
    <row r="74" spans="2:27" x14ac:dyDescent="0.2">
      <c r="B74" s="301"/>
      <c r="C74" s="301"/>
      <c r="D74" s="301"/>
      <c r="E74" s="301"/>
      <c r="F74" s="301"/>
      <c r="G74" s="301"/>
      <c r="H74" s="301"/>
      <c r="I74" s="301"/>
      <c r="J74" s="301"/>
      <c r="K74" s="301"/>
      <c r="L74" s="301"/>
      <c r="M74" s="301"/>
      <c r="N74" s="283"/>
      <c r="O74" s="284"/>
      <c r="Q74" s="354" t="s">
        <v>149</v>
      </c>
      <c r="R74" s="355" t="s">
        <v>157</v>
      </c>
      <c r="S74" s="310"/>
      <c r="T74" s="310"/>
      <c r="U74" s="310"/>
      <c r="V74" s="310"/>
      <c r="W74" s="310"/>
      <c r="X74" s="310"/>
      <c r="Y74" s="310"/>
      <c r="Z74" s="313"/>
      <c r="AA74" s="356"/>
    </row>
    <row r="75" spans="2:27" x14ac:dyDescent="0.2">
      <c r="B75" s="301"/>
      <c r="C75" s="301"/>
      <c r="D75" s="301"/>
      <c r="E75" s="301"/>
      <c r="F75" s="301"/>
      <c r="G75" s="301"/>
      <c r="H75" s="301"/>
      <c r="I75" s="301"/>
      <c r="J75" s="301"/>
      <c r="K75" s="301"/>
      <c r="L75" s="301"/>
      <c r="M75" s="301"/>
      <c r="N75" s="283"/>
      <c r="O75" s="284"/>
      <c r="Q75" s="307"/>
      <c r="R75" s="310"/>
      <c r="S75" s="310"/>
      <c r="T75" s="310"/>
      <c r="U75" s="310"/>
      <c r="V75" s="310"/>
      <c r="W75" s="310"/>
      <c r="X75" s="310"/>
      <c r="Y75" s="310"/>
      <c r="Z75" s="313"/>
      <c r="AA75" s="356"/>
    </row>
    <row r="76" spans="2:27" x14ac:dyDescent="0.2">
      <c r="B76" s="301"/>
      <c r="C76" s="301"/>
      <c r="D76" s="301"/>
      <c r="E76" s="301"/>
      <c r="F76" s="301"/>
      <c r="G76" s="301"/>
      <c r="H76" s="301"/>
      <c r="I76" s="301"/>
      <c r="J76" s="301"/>
      <c r="K76" s="301"/>
      <c r="L76" s="301"/>
      <c r="M76" s="301"/>
      <c r="N76" s="283"/>
      <c r="O76" s="284"/>
      <c r="Q76" s="340">
        <v>1</v>
      </c>
      <c r="R76" s="357">
        <f t="shared" ref="R76:R81" si="2">IF(AND(R58&gt;0,R58&lt;=115),(R58/115)*20,S76)</f>
        <v>90</v>
      </c>
      <c r="S76" s="358">
        <f t="shared" ref="S76:S81" si="3">IF(AND(R58&gt;115,R58&lt;=275),20+((R58-115)/160)*10,T76)</f>
        <v>90</v>
      </c>
      <c r="T76" s="358">
        <f t="shared" ref="T76:T81" si="4">IF(AND(R58&gt;275,R58&lt;=510),30+((R58-275)/235)*10,U76)</f>
        <v>90</v>
      </c>
      <c r="U76" s="358">
        <f t="shared" ref="U76:U81" si="5">IF(AND(R58&gt;510,R58&lt;=835),40+((R58-510)/325)*10,V76)</f>
        <v>90</v>
      </c>
      <c r="V76" s="358">
        <f t="shared" ref="V76:V81" si="6">IF(AND(R58&gt;835,R58&lt;=1340),50+((R58-835)/505)*10,W76)</f>
        <v>90</v>
      </c>
      <c r="W76" s="358">
        <f t="shared" ref="W76:W81" si="7">IF(R58&gt;1340,65,90)</f>
        <v>90</v>
      </c>
      <c r="X76" s="310"/>
      <c r="Y76" s="310"/>
      <c r="Z76" s="313"/>
      <c r="AA76" s="356"/>
    </row>
    <row r="77" spans="2:27" x14ac:dyDescent="0.2">
      <c r="B77" s="301"/>
      <c r="C77" s="301"/>
      <c r="D77" s="301"/>
      <c r="E77" s="301"/>
      <c r="F77" s="301"/>
      <c r="G77" s="301"/>
      <c r="H77" s="301"/>
      <c r="I77" s="301"/>
      <c r="J77" s="301"/>
      <c r="K77" s="301"/>
      <c r="L77" s="301"/>
      <c r="M77" s="301"/>
      <c r="N77" s="283"/>
      <c r="O77" s="284"/>
      <c r="Q77" s="340">
        <v>2</v>
      </c>
      <c r="R77" s="357">
        <f t="shared" si="2"/>
        <v>90</v>
      </c>
      <c r="S77" s="358">
        <f t="shared" si="3"/>
        <v>90</v>
      </c>
      <c r="T77" s="358">
        <f t="shared" si="4"/>
        <v>90</v>
      </c>
      <c r="U77" s="358">
        <f t="shared" si="5"/>
        <v>90</v>
      </c>
      <c r="V77" s="358">
        <f t="shared" si="6"/>
        <v>90</v>
      </c>
      <c r="W77" s="358">
        <f t="shared" si="7"/>
        <v>90</v>
      </c>
      <c r="X77" s="310"/>
      <c r="Y77" s="310"/>
      <c r="Z77" s="313"/>
      <c r="AA77" s="356"/>
    </row>
    <row r="78" spans="2:27" x14ac:dyDescent="0.2">
      <c r="B78" s="301"/>
      <c r="C78" s="301"/>
      <c r="D78" s="301"/>
      <c r="E78" s="301"/>
      <c r="F78" s="301"/>
      <c r="G78" s="301"/>
      <c r="H78" s="301"/>
      <c r="I78" s="301"/>
      <c r="J78" s="301"/>
      <c r="K78" s="301"/>
      <c r="L78" s="301"/>
      <c r="M78" s="301"/>
      <c r="N78" s="283"/>
      <c r="O78" s="284"/>
      <c r="Q78" s="340">
        <v>3</v>
      </c>
      <c r="R78" s="357">
        <f t="shared" si="2"/>
        <v>90</v>
      </c>
      <c r="S78" s="358">
        <f t="shared" si="3"/>
        <v>90</v>
      </c>
      <c r="T78" s="358">
        <f t="shared" si="4"/>
        <v>90</v>
      </c>
      <c r="U78" s="358">
        <f t="shared" si="5"/>
        <v>90</v>
      </c>
      <c r="V78" s="358">
        <f t="shared" si="6"/>
        <v>90</v>
      </c>
      <c r="W78" s="358">
        <f t="shared" si="7"/>
        <v>90</v>
      </c>
      <c r="X78" s="310"/>
      <c r="Y78" s="310"/>
      <c r="Z78" s="313"/>
      <c r="AA78" s="356"/>
    </row>
    <row r="79" spans="2:27" x14ac:dyDescent="0.2">
      <c r="B79" s="301"/>
      <c r="C79" s="301"/>
      <c r="D79" s="301"/>
      <c r="E79" s="301"/>
      <c r="F79" s="301"/>
      <c r="G79" s="301"/>
      <c r="H79" s="301"/>
      <c r="I79" s="301"/>
      <c r="J79" s="301"/>
      <c r="K79" s="301"/>
      <c r="L79" s="301"/>
      <c r="M79" s="301"/>
      <c r="N79" s="283"/>
      <c r="O79" s="284"/>
      <c r="Q79" s="340">
        <v>4</v>
      </c>
      <c r="R79" s="357">
        <f t="shared" si="2"/>
        <v>90</v>
      </c>
      <c r="S79" s="358">
        <f t="shared" si="3"/>
        <v>90</v>
      </c>
      <c r="T79" s="358">
        <f t="shared" si="4"/>
        <v>90</v>
      </c>
      <c r="U79" s="358">
        <f t="shared" si="5"/>
        <v>90</v>
      </c>
      <c r="V79" s="358">
        <f t="shared" si="6"/>
        <v>90</v>
      </c>
      <c r="W79" s="358">
        <f t="shared" si="7"/>
        <v>90</v>
      </c>
      <c r="X79" s="310"/>
      <c r="Y79" s="310"/>
      <c r="Z79" s="313"/>
      <c r="AA79" s="356"/>
    </row>
    <row r="80" spans="2:27" x14ac:dyDescent="0.2">
      <c r="B80" s="301"/>
      <c r="C80" s="301"/>
      <c r="D80" s="301"/>
      <c r="E80" s="301"/>
      <c r="F80" s="301"/>
      <c r="G80" s="301"/>
      <c r="H80" s="301"/>
      <c r="I80" s="301"/>
      <c r="J80" s="301"/>
      <c r="K80" s="301"/>
      <c r="L80" s="301"/>
      <c r="M80" s="301"/>
      <c r="N80" s="283"/>
      <c r="O80" s="284"/>
      <c r="P80" s="175"/>
      <c r="Q80" s="340">
        <v>5</v>
      </c>
      <c r="R80" s="357">
        <f t="shared" si="2"/>
        <v>90</v>
      </c>
      <c r="S80" s="358">
        <f t="shared" si="3"/>
        <v>90</v>
      </c>
      <c r="T80" s="358">
        <f t="shared" si="4"/>
        <v>90</v>
      </c>
      <c r="U80" s="358">
        <f t="shared" si="5"/>
        <v>90</v>
      </c>
      <c r="V80" s="358">
        <f t="shared" si="6"/>
        <v>90</v>
      </c>
      <c r="W80" s="358">
        <f t="shared" si="7"/>
        <v>90</v>
      </c>
      <c r="X80" s="310"/>
      <c r="Y80" s="310"/>
      <c r="Z80" s="313"/>
      <c r="AA80" s="356"/>
    </row>
    <row r="81" spans="2:27" x14ac:dyDescent="0.2">
      <c r="B81" s="301"/>
      <c r="C81" s="301"/>
      <c r="D81" s="301"/>
      <c r="E81" s="301"/>
      <c r="F81" s="301"/>
      <c r="G81" s="301"/>
      <c r="H81" s="301"/>
      <c r="I81" s="301"/>
      <c r="J81" s="301"/>
      <c r="K81" s="301"/>
      <c r="L81" s="301"/>
      <c r="M81" s="301"/>
      <c r="N81" s="283"/>
      <c r="O81" s="284"/>
      <c r="Q81" s="340">
        <v>6</v>
      </c>
      <c r="R81" s="357">
        <f t="shared" si="2"/>
        <v>90</v>
      </c>
      <c r="S81" s="358">
        <f t="shared" si="3"/>
        <v>90</v>
      </c>
      <c r="T81" s="358">
        <f t="shared" si="4"/>
        <v>90</v>
      </c>
      <c r="U81" s="358">
        <f t="shared" si="5"/>
        <v>90</v>
      </c>
      <c r="V81" s="358">
        <f t="shared" si="6"/>
        <v>90</v>
      </c>
      <c r="W81" s="358">
        <f t="shared" si="7"/>
        <v>90</v>
      </c>
      <c r="X81" s="310"/>
      <c r="Y81" s="310"/>
      <c r="Z81" s="313"/>
      <c r="AA81" s="356"/>
    </row>
    <row r="82" spans="2:27" x14ac:dyDescent="0.2">
      <c r="B82" s="301"/>
      <c r="C82" s="301"/>
      <c r="D82" s="301"/>
      <c r="E82" s="301"/>
      <c r="F82" s="301"/>
      <c r="G82" s="301"/>
      <c r="H82" s="301"/>
      <c r="I82" s="301"/>
      <c r="J82" s="301"/>
      <c r="K82" s="301"/>
      <c r="L82" s="301"/>
      <c r="M82" s="301"/>
      <c r="N82" s="283"/>
      <c r="O82" s="284"/>
      <c r="Q82" s="340">
        <v>7</v>
      </c>
      <c r="R82" s="357">
        <f>IF(AND(R60&gt;0,R60&lt;=115),(R60/115)*20,S82)</f>
        <v>90</v>
      </c>
      <c r="S82" s="358">
        <f>IF(AND(R60&gt;115,R60&lt;=275),20+((R60-115)/160)*10,T82)</f>
        <v>90</v>
      </c>
      <c r="T82" s="358">
        <f>IF(AND(R60&gt;275,R60&lt;=510),30+((R60-275)/235)*10,U82)</f>
        <v>90</v>
      </c>
      <c r="U82" s="358">
        <f>IF(AND(R60&gt;510,R60&lt;=835),40+((R60-510)/325)*10,V82)</f>
        <v>90</v>
      </c>
      <c r="V82" s="358">
        <f>IF(AND(R60&gt;835,R60&lt;=1340),50+((R60-835)/505)*10,W82)</f>
        <v>90</v>
      </c>
      <c r="W82" s="358">
        <f>IF(R60&gt;1340,65,90)</f>
        <v>90</v>
      </c>
      <c r="X82" s="310"/>
      <c r="Y82" s="310"/>
      <c r="Z82" s="313"/>
      <c r="AA82" s="356"/>
    </row>
    <row r="83" spans="2:27" x14ac:dyDescent="0.2">
      <c r="B83" s="301"/>
      <c r="C83" s="301"/>
      <c r="D83" s="301"/>
      <c r="E83" s="301"/>
      <c r="F83" s="301"/>
      <c r="G83" s="301"/>
      <c r="H83" s="301"/>
      <c r="I83" s="301"/>
      <c r="J83" s="301"/>
      <c r="K83" s="301"/>
      <c r="L83" s="301"/>
      <c r="M83" s="301"/>
      <c r="N83" s="283"/>
      <c r="O83" s="284"/>
      <c r="Q83" s="340">
        <v>8</v>
      </c>
      <c r="R83" s="357">
        <f t="shared" ref="R83:R89" si="8">IF(AND(R65&gt;0,R65&lt;=115),(R65/115)*20,S83)</f>
        <v>90</v>
      </c>
      <c r="S83" s="358">
        <f t="shared" ref="S83:S89" si="9">IF(AND(R65&gt;115,R65&lt;=275),20+((R65-115)/160)*10,T83)</f>
        <v>90</v>
      </c>
      <c r="T83" s="358">
        <f t="shared" ref="T83:T89" si="10">IF(AND(R65&gt;275,R65&lt;=510),30+((R65-275)/235)*10,U83)</f>
        <v>90</v>
      </c>
      <c r="U83" s="358">
        <f t="shared" ref="U83:U89" si="11">IF(AND(R65&gt;510,R65&lt;=835),40+((R65-510)/325)*10,V83)</f>
        <v>90</v>
      </c>
      <c r="V83" s="358">
        <f t="shared" ref="V83:V89" si="12">IF(AND(R65&gt;835,R65&lt;=1340),50+((R65-835)/505)*10,W83)</f>
        <v>90</v>
      </c>
      <c r="W83" s="358">
        <f t="shared" ref="W83:W89" si="13">IF(R65&gt;1340,65,90)</f>
        <v>90</v>
      </c>
      <c r="X83" s="310"/>
      <c r="Y83" s="58"/>
      <c r="Z83" s="313"/>
      <c r="AA83" s="356"/>
    </row>
    <row r="84" spans="2:27" x14ac:dyDescent="0.2">
      <c r="B84" s="301"/>
      <c r="C84" s="301"/>
      <c r="D84" s="301"/>
      <c r="E84" s="301"/>
      <c r="F84" s="301"/>
      <c r="G84" s="301"/>
      <c r="H84" s="301"/>
      <c r="I84" s="301"/>
      <c r="J84" s="301"/>
      <c r="K84" s="301"/>
      <c r="L84" s="301"/>
      <c r="M84" s="301"/>
      <c r="N84" s="283"/>
      <c r="O84" s="284"/>
      <c r="Q84" s="340">
        <v>9</v>
      </c>
      <c r="R84" s="357">
        <f t="shared" si="8"/>
        <v>90</v>
      </c>
      <c r="S84" s="358">
        <f t="shared" si="9"/>
        <v>90</v>
      </c>
      <c r="T84" s="358">
        <f t="shared" si="10"/>
        <v>90</v>
      </c>
      <c r="U84" s="358">
        <f t="shared" si="11"/>
        <v>90</v>
      </c>
      <c r="V84" s="358">
        <f t="shared" si="12"/>
        <v>90</v>
      </c>
      <c r="W84" s="358">
        <f t="shared" si="13"/>
        <v>90</v>
      </c>
      <c r="X84" s="310"/>
      <c r="Y84" s="346"/>
      <c r="Z84" s="313"/>
      <c r="AA84" s="356"/>
    </row>
    <row r="85" spans="2:27" x14ac:dyDescent="0.2">
      <c r="B85" s="301"/>
      <c r="C85" s="301"/>
      <c r="D85" s="301"/>
      <c r="E85" s="301"/>
      <c r="F85" s="301"/>
      <c r="G85" s="301"/>
      <c r="H85" s="301"/>
      <c r="I85" s="301"/>
      <c r="J85" s="301"/>
      <c r="K85" s="301"/>
      <c r="L85" s="301"/>
      <c r="M85" s="301"/>
      <c r="N85" s="283"/>
      <c r="O85" s="284"/>
      <c r="Q85" s="340">
        <v>10</v>
      </c>
      <c r="R85" s="357">
        <f t="shared" si="8"/>
        <v>90</v>
      </c>
      <c r="S85" s="358">
        <f t="shared" si="9"/>
        <v>90</v>
      </c>
      <c r="T85" s="358">
        <f t="shared" si="10"/>
        <v>90</v>
      </c>
      <c r="U85" s="358">
        <f t="shared" si="11"/>
        <v>90</v>
      </c>
      <c r="V85" s="358">
        <f t="shared" si="12"/>
        <v>90</v>
      </c>
      <c r="W85" s="358">
        <f t="shared" si="13"/>
        <v>90</v>
      </c>
      <c r="X85" s="310"/>
      <c r="Y85" s="346"/>
      <c r="Z85" s="313"/>
      <c r="AA85" s="356"/>
    </row>
    <row r="86" spans="2:27" x14ac:dyDescent="0.2">
      <c r="B86" s="301"/>
      <c r="C86" s="301"/>
      <c r="D86" s="301"/>
      <c r="E86" s="301"/>
      <c r="F86" s="301"/>
      <c r="G86" s="301"/>
      <c r="H86" s="301"/>
      <c r="I86" s="301"/>
      <c r="J86" s="301"/>
      <c r="K86" s="301"/>
      <c r="L86" s="301"/>
      <c r="M86" s="301"/>
      <c r="N86" s="283"/>
      <c r="O86" s="284"/>
      <c r="Q86" s="340">
        <v>11</v>
      </c>
      <c r="R86" s="357">
        <f t="shared" si="8"/>
        <v>90</v>
      </c>
      <c r="S86" s="358">
        <f t="shared" si="9"/>
        <v>90</v>
      </c>
      <c r="T86" s="358">
        <f t="shared" si="10"/>
        <v>90</v>
      </c>
      <c r="U86" s="358">
        <f t="shared" si="11"/>
        <v>90</v>
      </c>
      <c r="V86" s="358">
        <f t="shared" si="12"/>
        <v>90</v>
      </c>
      <c r="W86" s="358">
        <f t="shared" si="13"/>
        <v>90</v>
      </c>
      <c r="X86" s="310"/>
      <c r="Y86" s="346"/>
      <c r="Z86" s="313"/>
      <c r="AA86" s="356"/>
    </row>
    <row r="87" spans="2:27" x14ac:dyDescent="0.2">
      <c r="B87" s="301"/>
      <c r="C87" s="301"/>
      <c r="D87" s="301"/>
      <c r="E87" s="301"/>
      <c r="F87" s="301"/>
      <c r="G87" s="301"/>
      <c r="H87" s="301"/>
      <c r="I87" s="301"/>
      <c r="J87" s="301"/>
      <c r="K87" s="301"/>
      <c r="L87" s="301"/>
      <c r="M87" s="301"/>
      <c r="N87" s="283"/>
      <c r="O87" s="284"/>
      <c r="Q87" s="340">
        <v>12</v>
      </c>
      <c r="R87" s="357">
        <f t="shared" si="8"/>
        <v>90</v>
      </c>
      <c r="S87" s="358">
        <f t="shared" si="9"/>
        <v>90</v>
      </c>
      <c r="T87" s="358">
        <f t="shared" si="10"/>
        <v>90</v>
      </c>
      <c r="U87" s="358">
        <f t="shared" si="11"/>
        <v>90</v>
      </c>
      <c r="V87" s="358">
        <f t="shared" si="12"/>
        <v>90</v>
      </c>
      <c r="W87" s="358">
        <f t="shared" si="13"/>
        <v>90</v>
      </c>
      <c r="X87" s="310"/>
      <c r="Y87" s="346"/>
      <c r="Z87" s="313"/>
      <c r="AA87" s="356"/>
    </row>
    <row r="88" spans="2:27" x14ac:dyDescent="0.2">
      <c r="B88" s="301"/>
      <c r="C88" s="301"/>
      <c r="D88" s="301"/>
      <c r="E88" s="301"/>
      <c r="F88" s="301"/>
      <c r="G88" s="301"/>
      <c r="H88" s="301"/>
      <c r="I88" s="301"/>
      <c r="J88" s="301"/>
      <c r="K88" s="301"/>
      <c r="L88" s="301"/>
      <c r="M88" s="301"/>
      <c r="N88" s="283"/>
      <c r="O88" s="284"/>
      <c r="Q88" s="340">
        <v>13</v>
      </c>
      <c r="R88" s="357">
        <f t="shared" si="8"/>
        <v>90</v>
      </c>
      <c r="S88" s="358">
        <f t="shared" si="9"/>
        <v>90</v>
      </c>
      <c r="T88" s="358">
        <f t="shared" si="10"/>
        <v>90</v>
      </c>
      <c r="U88" s="358">
        <f t="shared" si="11"/>
        <v>90</v>
      </c>
      <c r="V88" s="358">
        <f t="shared" si="12"/>
        <v>90</v>
      </c>
      <c r="W88" s="358">
        <f t="shared" si="13"/>
        <v>90</v>
      </c>
      <c r="X88" s="310"/>
      <c r="Y88" s="346"/>
      <c r="Z88" s="313"/>
      <c r="AA88" s="356"/>
    </row>
    <row r="89" spans="2:27" x14ac:dyDescent="0.2">
      <c r="B89" s="301"/>
      <c r="C89" s="301"/>
      <c r="D89" s="301"/>
      <c r="E89" s="301"/>
      <c r="F89" s="301"/>
      <c r="G89" s="301"/>
      <c r="H89" s="301"/>
      <c r="I89" s="301"/>
      <c r="J89" s="301"/>
      <c r="K89" s="301"/>
      <c r="L89" s="301"/>
      <c r="M89" s="301"/>
      <c r="N89" s="283"/>
      <c r="O89" s="284"/>
      <c r="Q89" s="340">
        <v>14</v>
      </c>
      <c r="R89" s="357">
        <f t="shared" si="8"/>
        <v>90</v>
      </c>
      <c r="S89" s="358">
        <f t="shared" si="9"/>
        <v>90</v>
      </c>
      <c r="T89" s="358">
        <f t="shared" si="10"/>
        <v>90</v>
      </c>
      <c r="U89" s="358">
        <f t="shared" si="11"/>
        <v>90</v>
      </c>
      <c r="V89" s="358">
        <f t="shared" si="12"/>
        <v>90</v>
      </c>
      <c r="W89" s="358">
        <f t="shared" si="13"/>
        <v>90</v>
      </c>
      <c r="X89" s="310"/>
      <c r="Y89" s="346"/>
      <c r="Z89" s="313"/>
      <c r="AA89" s="356"/>
    </row>
    <row r="90" spans="2:27" x14ac:dyDescent="0.2">
      <c r="B90" s="301"/>
      <c r="C90" s="301"/>
      <c r="D90" s="301"/>
      <c r="E90" s="301"/>
      <c r="F90" s="301"/>
      <c r="G90" s="301"/>
      <c r="H90" s="301"/>
      <c r="I90" s="301"/>
      <c r="J90" s="301"/>
      <c r="K90" s="301"/>
      <c r="L90" s="301"/>
      <c r="M90" s="301"/>
      <c r="N90" s="283"/>
      <c r="O90" s="284"/>
      <c r="Q90" s="359"/>
      <c r="R90" s="360"/>
      <c r="S90" s="360"/>
      <c r="T90" s="360"/>
      <c r="U90" s="360"/>
      <c r="V90" s="360"/>
      <c r="W90" s="360"/>
      <c r="X90" s="360"/>
      <c r="Y90" s="360"/>
      <c r="Z90" s="361"/>
      <c r="AA90" s="362"/>
    </row>
    <row r="91" spans="2:27" x14ac:dyDescent="0.2">
      <c r="B91" s="301"/>
      <c r="C91" s="301"/>
      <c r="D91" s="301"/>
      <c r="E91" s="301"/>
      <c r="F91" s="301"/>
      <c r="G91" s="301"/>
      <c r="H91" s="301"/>
      <c r="I91" s="301"/>
      <c r="J91" s="301"/>
      <c r="K91" s="301"/>
      <c r="L91" s="301"/>
      <c r="M91" s="301"/>
      <c r="N91" s="283"/>
      <c r="O91" s="284"/>
      <c r="Q91" s="363"/>
      <c r="R91" s="247"/>
      <c r="S91" s="247"/>
      <c r="T91" s="247"/>
      <c r="U91" s="247"/>
      <c r="V91" s="247"/>
      <c r="W91" s="247"/>
      <c r="X91" s="247"/>
      <c r="Y91" s="247"/>
      <c r="Z91" s="247"/>
      <c r="AA91" s="247"/>
    </row>
    <row r="92" spans="2:27" x14ac:dyDescent="0.2">
      <c r="B92" s="301"/>
      <c r="C92" s="301"/>
      <c r="D92" s="301"/>
      <c r="E92" s="301"/>
      <c r="F92" s="301"/>
      <c r="G92" s="301"/>
      <c r="H92" s="301"/>
      <c r="I92" s="301"/>
      <c r="J92" s="301"/>
      <c r="K92" s="301"/>
      <c r="L92" s="301"/>
      <c r="M92" s="301"/>
      <c r="N92" s="283"/>
      <c r="O92" s="284"/>
    </row>
    <row r="93" spans="2:27" x14ac:dyDescent="0.2">
      <c r="B93" s="301"/>
      <c r="C93" s="301"/>
      <c r="D93" s="301"/>
      <c r="E93" s="301"/>
      <c r="F93" s="301"/>
      <c r="G93" s="301"/>
      <c r="H93" s="301"/>
      <c r="I93" s="301"/>
      <c r="J93" s="301"/>
      <c r="K93" s="301"/>
      <c r="L93" s="301"/>
      <c r="M93" s="301"/>
      <c r="N93" s="283"/>
      <c r="O93" s="284"/>
    </row>
    <row r="94" spans="2:27" x14ac:dyDescent="0.2">
      <c r="B94" s="301"/>
      <c r="C94" s="301"/>
      <c r="D94" s="301"/>
      <c r="E94" s="301"/>
      <c r="F94" s="301"/>
      <c r="G94" s="301"/>
      <c r="H94" s="301"/>
      <c r="I94" s="301"/>
      <c r="J94" s="301"/>
      <c r="K94" s="301"/>
      <c r="L94" s="301"/>
      <c r="M94" s="301"/>
      <c r="N94" s="283"/>
      <c r="O94" s="284"/>
    </row>
    <row r="95" spans="2:27" x14ac:dyDescent="0.2">
      <c r="B95" s="301"/>
      <c r="C95" s="301"/>
      <c r="D95" s="301"/>
      <c r="E95" s="301"/>
      <c r="F95" s="301"/>
      <c r="G95" s="301"/>
      <c r="H95" s="301"/>
      <c r="I95" s="301"/>
      <c r="J95" s="301"/>
      <c r="K95" s="301"/>
      <c r="L95" s="301"/>
      <c r="M95" s="301"/>
      <c r="N95" s="283"/>
      <c r="O95" s="284"/>
    </row>
    <row r="96" spans="2:27" x14ac:dyDescent="0.2">
      <c r="B96" s="301"/>
      <c r="C96" s="301"/>
      <c r="D96" s="301"/>
      <c r="E96" s="301"/>
      <c r="F96" s="301"/>
      <c r="G96" s="301"/>
      <c r="H96" s="301"/>
      <c r="I96" s="301"/>
      <c r="J96" s="301"/>
      <c r="K96" s="301"/>
      <c r="L96" s="301"/>
      <c r="M96" s="301"/>
      <c r="N96" s="283"/>
      <c r="O96" s="284"/>
    </row>
    <row r="97" spans="1:28" x14ac:dyDescent="0.2">
      <c r="B97" s="301"/>
      <c r="C97" s="301"/>
      <c r="D97" s="301"/>
      <c r="E97" s="301"/>
      <c r="F97" s="301"/>
      <c r="G97" s="301"/>
      <c r="H97" s="301"/>
      <c r="I97" s="301"/>
      <c r="J97" s="301"/>
      <c r="K97" s="301"/>
      <c r="L97" s="301"/>
      <c r="M97" s="301"/>
      <c r="N97" s="283"/>
      <c r="O97" s="284"/>
    </row>
    <row r="98" spans="1:28" x14ac:dyDescent="0.2">
      <c r="A98" s="495"/>
      <c r="B98" s="298" t="s">
        <v>79</v>
      </c>
      <c r="C98" s="299"/>
      <c r="D98" s="299"/>
      <c r="E98" s="299"/>
      <c r="F98" s="299"/>
      <c r="G98" s="299"/>
      <c r="H98" s="299"/>
      <c r="I98" s="300"/>
      <c r="J98" s="299"/>
      <c r="K98" s="300"/>
      <c r="L98" s="299"/>
      <c r="M98" s="299"/>
      <c r="N98" s="299"/>
      <c r="O98" s="317"/>
    </row>
    <row r="99" spans="1:28" x14ac:dyDescent="0.2">
      <c r="A99" s="495"/>
      <c r="B99" s="299"/>
      <c r="C99" s="299"/>
      <c r="D99" s="299"/>
      <c r="E99" s="299"/>
      <c r="F99" s="299"/>
      <c r="G99" s="299"/>
      <c r="H99" s="299"/>
      <c r="I99" s="300"/>
      <c r="J99" s="299"/>
      <c r="K99" s="300"/>
      <c r="L99" s="299"/>
      <c r="M99" s="299"/>
      <c r="N99" s="299"/>
      <c r="O99" s="317"/>
      <c r="Q99" s="364">
        <f>IF(OR('1 LANE BR RATING SUMMARY'!D13=7,'1 LANE BR RATING SUMMARY'!D13=8),Q103,Q109)</f>
        <v>0</v>
      </c>
      <c r="R99" s="43" t="s">
        <v>394</v>
      </c>
      <c r="S99" s="43"/>
      <c r="T99" s="247"/>
      <c r="U99" s="247"/>
      <c r="V99" s="247"/>
      <c r="W99" s="247"/>
      <c r="X99" s="247"/>
      <c r="Y99" s="247"/>
      <c r="Z99" s="247"/>
      <c r="AA99" s="247"/>
      <c r="AB99" s="247"/>
    </row>
    <row r="100" spans="1:28" x14ac:dyDescent="0.2">
      <c r="A100" s="495"/>
      <c r="B100" s="312"/>
      <c r="C100" s="312"/>
      <c r="D100" s="299" t="s">
        <v>63</v>
      </c>
      <c r="E100" s="299"/>
      <c r="F100" s="299"/>
      <c r="G100" s="299"/>
      <c r="H100" s="299"/>
      <c r="I100" s="299"/>
      <c r="J100" s="300"/>
      <c r="K100" s="299"/>
      <c r="L100" s="300"/>
      <c r="M100" s="299"/>
      <c r="N100" s="299"/>
      <c r="O100" s="317"/>
      <c r="Q100" s="43"/>
      <c r="R100" s="43"/>
      <c r="S100" s="43"/>
      <c r="T100" s="247"/>
      <c r="U100" s="247"/>
      <c r="V100" s="247"/>
      <c r="W100" s="247"/>
      <c r="X100" s="247"/>
      <c r="Y100" s="247"/>
      <c r="Z100" s="247"/>
      <c r="AA100" s="247"/>
      <c r="AB100" s="247"/>
    </row>
    <row r="101" spans="1:28" x14ac:dyDescent="0.2">
      <c r="A101" s="495"/>
      <c r="B101" s="312"/>
      <c r="C101" s="312"/>
      <c r="D101" s="312"/>
      <c r="E101" s="299" t="s">
        <v>80</v>
      </c>
      <c r="F101" s="299"/>
      <c r="G101" s="299"/>
      <c r="H101" s="299"/>
      <c r="I101" s="299"/>
      <c r="J101" s="300"/>
      <c r="K101" s="299"/>
      <c r="L101" s="300"/>
      <c r="M101" s="299"/>
      <c r="N101" s="299"/>
      <c r="O101" s="299"/>
      <c r="Q101" s="365"/>
      <c r="R101" s="366" t="s">
        <v>158</v>
      </c>
      <c r="S101" s="367"/>
      <c r="T101" s="247"/>
      <c r="U101" s="247"/>
      <c r="V101" s="247"/>
      <c r="W101" s="247"/>
      <c r="X101" s="247"/>
      <c r="Y101" s="247"/>
      <c r="Z101" s="247"/>
      <c r="AA101" s="247"/>
      <c r="AB101" s="247"/>
    </row>
    <row r="102" spans="1:28" x14ac:dyDescent="0.2">
      <c r="A102" s="495"/>
      <c r="B102" s="299"/>
      <c r="C102" s="312"/>
      <c r="D102" s="312"/>
      <c r="E102" s="299"/>
      <c r="F102" s="299"/>
      <c r="G102" s="299"/>
      <c r="H102" s="299"/>
      <c r="I102" s="299"/>
      <c r="J102" s="300"/>
      <c r="K102" s="299"/>
      <c r="L102" s="300"/>
      <c r="M102" s="299"/>
      <c r="N102" s="299"/>
      <c r="O102" s="299"/>
      <c r="Q102" s="340"/>
      <c r="R102" s="346"/>
      <c r="S102" s="350"/>
      <c r="T102" s="247"/>
      <c r="U102" s="247"/>
      <c r="V102" s="247"/>
      <c r="W102" s="247"/>
      <c r="X102" s="247"/>
      <c r="Y102" s="247"/>
      <c r="Z102" s="247"/>
      <c r="AA102" s="247"/>
      <c r="AB102" s="247"/>
    </row>
    <row r="103" spans="1:28" x14ac:dyDescent="0.2">
      <c r="A103" s="495"/>
      <c r="B103" s="299"/>
      <c r="C103" s="299"/>
      <c r="D103" s="298" t="s">
        <v>82</v>
      </c>
      <c r="E103" s="299"/>
      <c r="F103" s="299"/>
      <c r="G103" s="299" t="s">
        <v>81</v>
      </c>
      <c r="H103" s="299"/>
      <c r="I103" s="299"/>
      <c r="J103" s="300"/>
      <c r="K103" s="299"/>
      <c r="L103" s="300"/>
      <c r="M103" s="299"/>
      <c r="N103" s="299"/>
      <c r="O103" s="299"/>
      <c r="Q103" s="328">
        <f>IF(Geometry!Q50&lt;&gt;0,R103,Q104)</f>
        <v>0</v>
      </c>
      <c r="R103" s="346">
        <f>IF(Geometry!Q47&lt;400,Geometry!D108,S103)</f>
        <v>7</v>
      </c>
      <c r="S103" s="350">
        <f>IF(Geometry!Q47&lt;2001,Geometry!E108,Geometry!F108)</f>
        <v>6</v>
      </c>
      <c r="T103" s="247" t="s">
        <v>393</v>
      </c>
      <c r="U103" s="247"/>
      <c r="V103" s="247"/>
      <c r="W103" s="247"/>
      <c r="X103" s="247"/>
      <c r="Y103" s="247"/>
      <c r="Z103" s="247"/>
      <c r="AA103" s="247"/>
      <c r="AB103" s="247"/>
    </row>
    <row r="104" spans="1:28" x14ac:dyDescent="0.2">
      <c r="A104" s="495"/>
      <c r="B104" s="317"/>
      <c r="C104" s="299"/>
      <c r="D104" s="301"/>
      <c r="E104" s="299"/>
      <c r="F104" s="299"/>
      <c r="G104" s="299"/>
      <c r="H104" s="299"/>
      <c r="I104" s="299"/>
      <c r="J104" s="298" t="s">
        <v>83</v>
      </c>
      <c r="K104" s="368"/>
      <c r="L104" s="300"/>
      <c r="M104" s="299"/>
      <c r="N104" s="299"/>
      <c r="O104" s="299"/>
      <c r="Q104" s="340">
        <f>IF(Geometry!Q51&lt;&gt;0,R104,Q105)</f>
        <v>0</v>
      </c>
      <c r="R104" s="346">
        <f>IF(Geometry!Q47&lt;400,Geometry!D109,S104)</f>
        <v>9</v>
      </c>
      <c r="S104" s="350">
        <f>IF(Geometry!Q47&lt;2001,Geometry!E109,Geometry!F109)</f>
        <v>8</v>
      </c>
      <c r="T104" s="48"/>
      <c r="U104" s="48"/>
      <c r="V104" s="48"/>
      <c r="W104" s="247"/>
      <c r="X104" s="247"/>
      <c r="Y104" s="247"/>
      <c r="Z104" s="247"/>
      <c r="AA104" s="247"/>
      <c r="AB104" s="247"/>
    </row>
    <row r="105" spans="1:28" x14ac:dyDescent="0.2">
      <c r="A105" s="495"/>
      <c r="B105" s="317"/>
      <c r="C105" s="317"/>
      <c r="D105" s="369"/>
      <c r="E105" s="370" t="s">
        <v>158</v>
      </c>
      <c r="F105" s="369"/>
      <c r="G105" s="369"/>
      <c r="H105" s="371"/>
      <c r="I105" s="371"/>
      <c r="J105" s="372"/>
      <c r="K105" s="371"/>
      <c r="L105" s="372"/>
      <c r="M105" s="371"/>
      <c r="N105" s="317"/>
      <c r="O105" s="299"/>
      <c r="Q105" s="373">
        <f>IF(Geometry!Q52&lt;&gt;0,R105,0)</f>
        <v>0</v>
      </c>
      <c r="R105" s="374">
        <f>IF(Geometry!Q47&lt;400,Geometry!D110,S105)</f>
        <v>12</v>
      </c>
      <c r="S105" s="362">
        <f>IF(Geometry!Q47&lt;2001,Geometry!E110,Geometry!F110)</f>
        <v>10</v>
      </c>
      <c r="T105" s="375"/>
      <c r="U105" s="375"/>
      <c r="V105" s="375"/>
      <c r="W105" s="160"/>
      <c r="X105" s="247"/>
      <c r="Y105" s="247"/>
      <c r="Z105" s="247"/>
      <c r="AA105" s="247"/>
      <c r="AB105" s="247"/>
    </row>
    <row r="106" spans="1:28" x14ac:dyDescent="0.2">
      <c r="A106" s="495"/>
      <c r="B106" s="376" t="s">
        <v>84</v>
      </c>
      <c r="C106" s="301"/>
      <c r="D106" s="369"/>
      <c r="E106" s="377" t="s">
        <v>238</v>
      </c>
      <c r="F106" s="369"/>
      <c r="G106" s="369"/>
      <c r="H106" s="371"/>
      <c r="I106" s="371" t="s">
        <v>160</v>
      </c>
      <c r="J106" s="371" t="s">
        <v>161</v>
      </c>
      <c r="K106" s="371"/>
      <c r="L106" s="378" t="s">
        <v>160</v>
      </c>
      <c r="M106" s="371" t="s">
        <v>161</v>
      </c>
      <c r="N106" s="317"/>
      <c r="O106" s="317"/>
      <c r="Q106" s="43"/>
      <c r="R106" s="43"/>
      <c r="S106" s="43"/>
      <c r="T106" s="37"/>
      <c r="U106" s="37"/>
      <c r="V106" s="37"/>
      <c r="W106" s="160"/>
      <c r="X106" s="247"/>
      <c r="Y106" s="247"/>
      <c r="Z106" s="247"/>
      <c r="AA106" s="247"/>
      <c r="AB106" s="247"/>
    </row>
    <row r="107" spans="1:28" x14ac:dyDescent="0.2">
      <c r="A107" s="495"/>
      <c r="B107" s="317" t="s">
        <v>87</v>
      </c>
      <c r="C107" s="317"/>
      <c r="D107" s="379" t="s">
        <v>69</v>
      </c>
      <c r="E107" s="379" t="s">
        <v>155</v>
      </c>
      <c r="F107" s="379" t="s">
        <v>71</v>
      </c>
      <c r="G107" s="379"/>
      <c r="H107" s="371"/>
      <c r="I107" s="380" t="s">
        <v>162</v>
      </c>
      <c r="J107" s="380" t="s">
        <v>163</v>
      </c>
      <c r="K107" s="372"/>
      <c r="L107" s="380" t="s">
        <v>162</v>
      </c>
      <c r="M107" s="380" t="s">
        <v>163</v>
      </c>
      <c r="N107" s="380"/>
      <c r="O107" s="317"/>
      <c r="Q107" s="381"/>
      <c r="R107" s="382" t="s">
        <v>159</v>
      </c>
      <c r="S107" s="383"/>
      <c r="T107" s="37"/>
      <c r="U107" s="37"/>
      <c r="V107" s="37"/>
      <c r="W107" s="160"/>
      <c r="X107" s="384">
        <f>IF(Geometry!U53=Geometry!I110,Geometry!J110,X108)</f>
        <v>115</v>
      </c>
      <c r="Y107" s="43" t="s">
        <v>178</v>
      </c>
      <c r="Z107" s="43"/>
      <c r="AA107" s="43"/>
      <c r="AB107" s="247"/>
    </row>
    <row r="108" spans="1:28" x14ac:dyDescent="0.2">
      <c r="A108" s="495"/>
      <c r="B108" s="317" t="s">
        <v>89</v>
      </c>
      <c r="C108" s="317"/>
      <c r="D108" s="369">
        <v>7</v>
      </c>
      <c r="E108" s="369">
        <v>6</v>
      </c>
      <c r="F108" s="370">
        <v>5</v>
      </c>
      <c r="G108" s="370"/>
      <c r="H108" s="385"/>
      <c r="I108" s="372">
        <v>10</v>
      </c>
      <c r="J108" s="386" t="s">
        <v>164</v>
      </c>
      <c r="K108" s="372"/>
      <c r="L108" s="372">
        <v>35</v>
      </c>
      <c r="M108" s="386">
        <v>250</v>
      </c>
      <c r="N108" s="387"/>
      <c r="O108" s="301"/>
      <c r="Q108" s="340"/>
      <c r="R108" s="346"/>
      <c r="S108" s="350"/>
      <c r="T108" s="37"/>
      <c r="U108" s="37"/>
      <c r="V108" s="37"/>
      <c r="W108" s="247"/>
      <c r="X108" s="43" t="str">
        <f>IF(Geometry!U53=Geometry!I112,Geometry!J112,X109)</f>
        <v/>
      </c>
      <c r="Y108" s="43"/>
      <c r="Z108" s="43"/>
      <c r="AA108" s="43"/>
      <c r="AB108" s="247"/>
    </row>
    <row r="109" spans="1:28" x14ac:dyDescent="0.2">
      <c r="A109" s="495"/>
      <c r="B109" s="317" t="s">
        <v>90</v>
      </c>
      <c r="C109" s="317"/>
      <c r="D109" s="369">
        <v>9</v>
      </c>
      <c r="E109" s="369">
        <v>8</v>
      </c>
      <c r="F109" s="369">
        <v>7</v>
      </c>
      <c r="G109" s="369"/>
      <c r="H109" s="371"/>
      <c r="I109" s="372">
        <v>15</v>
      </c>
      <c r="J109" s="386">
        <v>80</v>
      </c>
      <c r="K109" s="372"/>
      <c r="L109" s="372">
        <v>40</v>
      </c>
      <c r="M109" s="386">
        <v>305</v>
      </c>
      <c r="N109" s="387"/>
      <c r="O109" s="301"/>
      <c r="Q109" s="328">
        <f>IF(Geometry!Q50&lt;&gt;0,R109,Q110)</f>
        <v>0</v>
      </c>
      <c r="R109" s="346">
        <f>IF(Geometry!Q47&lt;400,Geometry!D115,S109)</f>
        <v>5</v>
      </c>
      <c r="S109" s="350">
        <f>IF(Geometry!Q47&lt;2001,Geometry!E115,Geometry!F115)</f>
        <v>4</v>
      </c>
      <c r="T109" s="247" t="s">
        <v>393</v>
      </c>
      <c r="U109" s="48"/>
      <c r="V109" s="48"/>
      <c r="W109" s="247"/>
      <c r="X109" s="43" t="str">
        <f>IF(Geometry!U53=Geometry!L109,Geometry!M109,X110)</f>
        <v/>
      </c>
      <c r="Y109" s="43"/>
      <c r="Z109" s="43"/>
      <c r="AA109" s="43"/>
      <c r="AB109" s="247"/>
    </row>
    <row r="110" spans="1:28" x14ac:dyDescent="0.2">
      <c r="A110" s="495"/>
      <c r="B110" s="317" t="s">
        <v>91</v>
      </c>
      <c r="C110" s="317"/>
      <c r="D110" s="369">
        <v>12</v>
      </c>
      <c r="E110" s="369">
        <v>10</v>
      </c>
      <c r="F110" s="369">
        <v>10</v>
      </c>
      <c r="G110" s="369"/>
      <c r="H110" s="371"/>
      <c r="I110" s="372">
        <v>20</v>
      </c>
      <c r="J110" s="386">
        <v>115</v>
      </c>
      <c r="K110" s="372"/>
      <c r="L110" s="372">
        <v>45</v>
      </c>
      <c r="M110" s="386">
        <v>360</v>
      </c>
      <c r="N110" s="387"/>
      <c r="O110" s="317"/>
      <c r="Q110" s="340">
        <f>IF(Geometry!Q51&lt;&gt;0,R110,Q111)</f>
        <v>0</v>
      </c>
      <c r="R110" s="346">
        <f>IF(Geometry!Q47&lt;400,Geometry!D116,S110)</f>
        <v>6</v>
      </c>
      <c r="S110" s="350">
        <f>IF(Geometry!Q47&lt;2001,Geometry!E116,Geometry!F116)</f>
        <v>5</v>
      </c>
      <c r="T110" s="48"/>
      <c r="U110" s="77"/>
      <c r="V110" s="48"/>
      <c r="W110" s="247"/>
      <c r="X110" s="43" t="str">
        <f>IF(Geometry!U53=Geometry!L111,Geometry!M111,X111)</f>
        <v/>
      </c>
      <c r="Y110" s="43"/>
      <c r="Z110" s="43"/>
      <c r="AA110" s="43"/>
      <c r="AB110" s="247"/>
    </row>
    <row r="111" spans="1:28" x14ac:dyDescent="0.2">
      <c r="A111" s="495"/>
      <c r="B111" s="301"/>
      <c r="C111" s="301"/>
      <c r="D111" s="385"/>
      <c r="E111" s="385"/>
      <c r="F111" s="385"/>
      <c r="G111" s="385"/>
      <c r="H111" s="371"/>
      <c r="I111" s="372">
        <v>25</v>
      </c>
      <c r="J111" s="386">
        <v>155</v>
      </c>
      <c r="K111" s="372"/>
      <c r="L111" s="372">
        <v>50</v>
      </c>
      <c r="M111" s="386">
        <v>425</v>
      </c>
      <c r="N111" s="387"/>
      <c r="O111" s="388"/>
      <c r="Q111" s="373">
        <f>IF(Geometry!Q52&lt;&gt;0,R111,0)</f>
        <v>0</v>
      </c>
      <c r="R111" s="374">
        <f>IF(Geometry!Q47&lt;400,Geometry!D117,S111)</f>
        <v>8</v>
      </c>
      <c r="S111" s="362">
        <f>IF(Geometry!Q47&lt;2001,Geometry!E117,Geometry!F117)</f>
        <v>7</v>
      </c>
      <c r="T111" s="48"/>
      <c r="U111" s="169"/>
      <c r="V111" s="48"/>
      <c r="W111" s="247"/>
      <c r="X111" s="43" t="str">
        <f>IF(Geometry!U53=Geometry!L113,Geometry!M113,"")</f>
        <v/>
      </c>
      <c r="Y111" s="43"/>
      <c r="Z111" s="43"/>
      <c r="AA111" s="43"/>
      <c r="AB111" s="247"/>
    </row>
    <row r="112" spans="1:28" x14ac:dyDescent="0.2">
      <c r="A112" s="495"/>
      <c r="B112" s="301"/>
      <c r="C112" s="301"/>
      <c r="D112" s="389"/>
      <c r="E112" s="370" t="s">
        <v>159</v>
      </c>
      <c r="F112" s="389"/>
      <c r="G112" s="389"/>
      <c r="H112" s="385"/>
      <c r="I112" s="372">
        <v>30</v>
      </c>
      <c r="J112" s="386">
        <v>200</v>
      </c>
      <c r="K112" s="372"/>
      <c r="L112" s="372">
        <v>55</v>
      </c>
      <c r="M112" s="386">
        <v>495</v>
      </c>
      <c r="N112" s="387"/>
      <c r="O112" s="301"/>
      <c r="Q112" s="390"/>
      <c r="R112" s="390"/>
      <c r="S112" s="390"/>
      <c r="T112" s="391"/>
      <c r="U112" s="391"/>
      <c r="V112" s="391"/>
      <c r="W112" s="247"/>
      <c r="X112" s="247"/>
      <c r="Y112" s="247"/>
      <c r="Z112" s="247"/>
      <c r="AA112" s="247"/>
      <c r="AB112" s="247"/>
    </row>
    <row r="113" spans="1:28" x14ac:dyDescent="0.2">
      <c r="A113" s="495"/>
      <c r="B113" s="301"/>
      <c r="C113" s="301"/>
      <c r="D113" s="389"/>
      <c r="E113" s="377" t="s">
        <v>239</v>
      </c>
      <c r="F113" s="389"/>
      <c r="G113" s="389"/>
      <c r="H113" s="371"/>
      <c r="I113" s="371"/>
      <c r="J113" s="371"/>
      <c r="K113" s="371"/>
      <c r="L113" s="372">
        <v>60</v>
      </c>
      <c r="M113" s="386">
        <v>570</v>
      </c>
      <c r="N113" s="387"/>
      <c r="O113" s="388"/>
      <c r="Q113" s="390"/>
      <c r="R113" s="390"/>
      <c r="S113" s="390"/>
      <c r="T113" s="392"/>
      <c r="U113" s="392"/>
      <c r="V113" s="392"/>
      <c r="W113" s="247"/>
      <c r="X113" s="247"/>
      <c r="Y113" s="247"/>
      <c r="Z113" s="247"/>
      <c r="AA113" s="247"/>
      <c r="AB113" s="247"/>
    </row>
    <row r="114" spans="1:28" x14ac:dyDescent="0.2">
      <c r="A114" s="495"/>
      <c r="B114" s="301"/>
      <c r="C114" s="301"/>
      <c r="D114" s="393" t="s">
        <v>85</v>
      </c>
      <c r="E114" s="393" t="s">
        <v>70</v>
      </c>
      <c r="F114" s="393" t="s">
        <v>71</v>
      </c>
      <c r="G114" s="393"/>
      <c r="H114" s="371"/>
      <c r="I114" s="371"/>
      <c r="J114" s="372"/>
      <c r="K114" s="371"/>
      <c r="L114" s="372"/>
      <c r="M114" s="371"/>
      <c r="N114" s="317"/>
      <c r="O114" s="301"/>
      <c r="Q114" s="390"/>
      <c r="R114" s="390"/>
      <c r="S114" s="394" t="s">
        <v>173</v>
      </c>
      <c r="T114" s="247"/>
      <c r="U114" s="247"/>
      <c r="V114" s="247"/>
      <c r="W114" s="247"/>
      <c r="X114" s="390"/>
      <c r="Y114" s="390"/>
      <c r="Z114" s="394" t="s">
        <v>175</v>
      </c>
      <c r="AA114" s="247"/>
      <c r="AB114" s="247"/>
    </row>
    <row r="115" spans="1:28" x14ac:dyDescent="0.2">
      <c r="A115" s="495"/>
      <c r="B115" s="317" t="s">
        <v>89</v>
      </c>
      <c r="C115" s="301"/>
      <c r="D115" s="370">
        <v>5</v>
      </c>
      <c r="E115" s="370">
        <v>4</v>
      </c>
      <c r="F115" s="370">
        <v>3</v>
      </c>
      <c r="G115" s="370"/>
      <c r="H115" s="371"/>
      <c r="I115" s="371"/>
      <c r="J115" s="372"/>
      <c r="K115" s="371"/>
      <c r="L115" s="372"/>
      <c r="M115" s="371"/>
      <c r="N115" s="317"/>
      <c r="O115" s="317"/>
      <c r="Q115" s="390"/>
      <c r="R115" s="390"/>
      <c r="S115" s="390"/>
      <c r="T115" s="247"/>
      <c r="U115" s="247"/>
      <c r="V115" s="247"/>
      <c r="W115" s="247"/>
      <c r="X115" s="390"/>
      <c r="Y115" s="390"/>
      <c r="Z115" s="390"/>
      <c r="AA115" s="247"/>
      <c r="AB115" s="247"/>
    </row>
    <row r="116" spans="1:28" x14ac:dyDescent="0.2">
      <c r="A116" s="495"/>
      <c r="B116" s="317" t="s">
        <v>90</v>
      </c>
      <c r="C116" s="301"/>
      <c r="D116" s="370">
        <v>6</v>
      </c>
      <c r="E116" s="370">
        <v>5</v>
      </c>
      <c r="F116" s="370">
        <v>4</v>
      </c>
      <c r="G116" s="370"/>
      <c r="H116" s="371"/>
      <c r="I116" s="371"/>
      <c r="J116" s="372"/>
      <c r="K116" s="371"/>
      <c r="L116" s="372"/>
      <c r="M116" s="371"/>
      <c r="N116" s="317"/>
      <c r="O116" s="317"/>
      <c r="Q116" s="43"/>
      <c r="R116" s="43" t="s">
        <v>176</v>
      </c>
      <c r="S116" s="43" t="s">
        <v>137</v>
      </c>
      <c r="T116" s="70" t="s">
        <v>170</v>
      </c>
      <c r="U116" s="43" t="s">
        <v>171</v>
      </c>
      <c r="V116" s="247"/>
      <c r="W116" s="247"/>
      <c r="X116" s="43"/>
      <c r="Y116" s="43" t="s">
        <v>177</v>
      </c>
      <c r="Z116" s="43" t="s">
        <v>137</v>
      </c>
      <c r="AA116" s="70" t="s">
        <v>170</v>
      </c>
      <c r="AB116" s="43" t="s">
        <v>171</v>
      </c>
    </row>
    <row r="117" spans="1:28" x14ac:dyDescent="0.2">
      <c r="A117" s="495"/>
      <c r="B117" s="317" t="s">
        <v>91</v>
      </c>
      <c r="C117" s="301"/>
      <c r="D117" s="370">
        <v>8</v>
      </c>
      <c r="E117" s="370">
        <v>7</v>
      </c>
      <c r="F117" s="370">
        <v>6</v>
      </c>
      <c r="G117" s="370"/>
      <c r="H117" s="371"/>
      <c r="I117" s="371"/>
      <c r="J117" s="372"/>
      <c r="K117" s="371"/>
      <c r="L117" s="372"/>
      <c r="M117" s="371"/>
      <c r="N117" s="317"/>
      <c r="O117" s="317"/>
      <c r="Q117" s="43"/>
      <c r="R117" s="43" t="s">
        <v>169</v>
      </c>
      <c r="S117" s="43" t="s">
        <v>168</v>
      </c>
      <c r="T117" s="70" t="s">
        <v>167</v>
      </c>
      <c r="U117" s="70" t="s">
        <v>169</v>
      </c>
      <c r="V117" s="162"/>
      <c r="W117" s="363"/>
      <c r="X117" s="43"/>
      <c r="Y117" s="43" t="s">
        <v>169</v>
      </c>
      <c r="Z117" s="43" t="s">
        <v>174</v>
      </c>
      <c r="AA117" s="70" t="s">
        <v>174</v>
      </c>
      <c r="AB117" s="70" t="s">
        <v>169</v>
      </c>
    </row>
    <row r="118" spans="1:28" x14ac:dyDescent="0.2">
      <c r="A118" s="495"/>
      <c r="B118" s="317"/>
      <c r="C118" s="317"/>
      <c r="D118" s="317"/>
      <c r="E118" s="317"/>
      <c r="F118" s="317"/>
      <c r="G118" s="317"/>
      <c r="H118" s="317"/>
      <c r="I118" s="319"/>
      <c r="J118" s="317"/>
      <c r="K118" s="319"/>
      <c r="L118" s="317"/>
      <c r="M118" s="317"/>
      <c r="N118" s="317"/>
      <c r="O118" s="317"/>
      <c r="Q118" s="350">
        <v>1</v>
      </c>
      <c r="R118" s="328">
        <f>Geometry!H17</f>
        <v>0</v>
      </c>
      <c r="S118" s="328">
        <f>Geometry!G17</f>
        <v>0</v>
      </c>
      <c r="T118" s="395">
        <f>Q99</f>
        <v>0</v>
      </c>
      <c r="U118" s="70">
        <f t="shared" ref="U118:U127" si="14">IF(S118&gt;T118,R118,0)</f>
        <v>0</v>
      </c>
      <c r="V118" s="396"/>
      <c r="W118" s="396"/>
      <c r="X118" s="350">
        <v>1</v>
      </c>
      <c r="Y118" s="328">
        <f>Geometry!M17</f>
        <v>0</v>
      </c>
      <c r="Z118" s="328">
        <f>Geometry!L17</f>
        <v>0</v>
      </c>
      <c r="AA118" s="364">
        <f>X107</f>
        <v>115</v>
      </c>
      <c r="AB118" s="70">
        <f t="shared" ref="AB118:AB127" si="15">IF(Z118&lt;AA118,Y118,0)</f>
        <v>0</v>
      </c>
    </row>
    <row r="119" spans="1:28" x14ac:dyDescent="0.2">
      <c r="A119" s="495"/>
      <c r="B119" s="317"/>
      <c r="C119" s="317"/>
      <c r="D119" s="317"/>
      <c r="E119" s="317"/>
      <c r="F119" s="317"/>
      <c r="G119" s="317"/>
      <c r="H119" s="317"/>
      <c r="I119" s="319"/>
      <c r="J119" s="317"/>
      <c r="K119" s="319"/>
      <c r="L119" s="317"/>
      <c r="M119" s="317"/>
      <c r="N119" s="317"/>
      <c r="O119" s="317"/>
      <c r="Q119" s="350">
        <v>2</v>
      </c>
      <c r="R119" s="328">
        <f>Geometry!H18</f>
        <v>0</v>
      </c>
      <c r="S119" s="328">
        <f>Geometry!G18</f>
        <v>0</v>
      </c>
      <c r="T119" s="395">
        <f>Q99</f>
        <v>0</v>
      </c>
      <c r="U119" s="70">
        <f t="shared" si="14"/>
        <v>0</v>
      </c>
      <c r="V119" s="396"/>
      <c r="W119" s="396"/>
      <c r="X119" s="350">
        <v>2</v>
      </c>
      <c r="Y119" s="328">
        <f>Geometry!M18</f>
        <v>0</v>
      </c>
      <c r="Z119" s="328">
        <f>Geometry!L18</f>
        <v>0</v>
      </c>
      <c r="AA119" s="364">
        <f>X107</f>
        <v>115</v>
      </c>
      <c r="AB119" s="70">
        <f t="shared" si="15"/>
        <v>0</v>
      </c>
    </row>
    <row r="120" spans="1:28" x14ac:dyDescent="0.2">
      <c r="A120" s="495"/>
      <c r="B120" s="301"/>
      <c r="C120" s="376" t="s">
        <v>5</v>
      </c>
      <c r="D120" s="301"/>
      <c r="E120" s="376" t="s">
        <v>92</v>
      </c>
      <c r="F120" s="317"/>
      <c r="G120" s="317"/>
      <c r="H120" s="317"/>
      <c r="I120" s="319"/>
      <c r="J120" s="317"/>
      <c r="K120" s="319"/>
      <c r="L120" s="317"/>
      <c r="M120" s="317"/>
      <c r="N120" s="317"/>
      <c r="O120" s="317"/>
      <c r="Q120" s="350">
        <v>3</v>
      </c>
      <c r="R120" s="328">
        <f>Geometry!H19</f>
        <v>0</v>
      </c>
      <c r="S120" s="328">
        <f>Geometry!G19</f>
        <v>0</v>
      </c>
      <c r="T120" s="395">
        <f>Q99</f>
        <v>0</v>
      </c>
      <c r="U120" s="70">
        <f t="shared" si="14"/>
        <v>0</v>
      </c>
      <c r="V120" s="161"/>
      <c r="W120" s="397"/>
      <c r="X120" s="350">
        <v>3</v>
      </c>
      <c r="Y120" s="328">
        <f>Geometry!M19</f>
        <v>0</v>
      </c>
      <c r="Z120" s="328">
        <f>Geometry!L19</f>
        <v>0</v>
      </c>
      <c r="AA120" s="364">
        <f>X107</f>
        <v>115</v>
      </c>
      <c r="AB120" s="70">
        <f t="shared" si="15"/>
        <v>0</v>
      </c>
    </row>
    <row r="121" spans="1:28" x14ac:dyDescent="0.2">
      <c r="A121" s="495"/>
      <c r="B121" s="301"/>
      <c r="C121" s="317" t="s">
        <v>93</v>
      </c>
      <c r="D121" s="317"/>
      <c r="E121" s="317"/>
      <c r="F121" s="317"/>
      <c r="G121" s="317"/>
      <c r="H121" s="317"/>
      <c r="I121" s="319"/>
      <c r="J121" s="317"/>
      <c r="K121" s="319"/>
      <c r="L121" s="317"/>
      <c r="M121" s="317"/>
      <c r="N121" s="317"/>
      <c r="O121" s="317"/>
      <c r="Q121" s="350">
        <v>4</v>
      </c>
      <c r="R121" s="328">
        <f>Geometry!H20</f>
        <v>0</v>
      </c>
      <c r="S121" s="328">
        <f>Geometry!G20</f>
        <v>0</v>
      </c>
      <c r="T121" s="395">
        <f>Q99</f>
        <v>0</v>
      </c>
      <c r="U121" s="70">
        <f t="shared" si="14"/>
        <v>0</v>
      </c>
      <c r="V121" s="161"/>
      <c r="W121" s="397"/>
      <c r="X121" s="350">
        <v>4</v>
      </c>
      <c r="Y121" s="328">
        <f>Geometry!M20</f>
        <v>0</v>
      </c>
      <c r="Z121" s="328">
        <f>Geometry!L20</f>
        <v>0</v>
      </c>
      <c r="AA121" s="364">
        <f>X107</f>
        <v>115</v>
      </c>
      <c r="AB121" s="70">
        <f t="shared" si="15"/>
        <v>0</v>
      </c>
    </row>
    <row r="122" spans="1:28" x14ac:dyDescent="0.2">
      <c r="A122" s="495"/>
      <c r="B122" s="301"/>
      <c r="C122" s="319">
        <v>0</v>
      </c>
      <c r="D122" s="317"/>
      <c r="E122" s="317" t="s">
        <v>94</v>
      </c>
      <c r="F122" s="317"/>
      <c r="G122" s="317"/>
      <c r="H122" s="317"/>
      <c r="I122" s="319"/>
      <c r="J122" s="317"/>
      <c r="K122" s="319"/>
      <c r="L122" s="317"/>
      <c r="M122" s="317"/>
      <c r="N122" s="317"/>
      <c r="O122" s="317"/>
      <c r="Q122" s="350">
        <v>5</v>
      </c>
      <c r="R122" s="328">
        <f>Geometry!H21</f>
        <v>0</v>
      </c>
      <c r="S122" s="328">
        <f>Geometry!G21</f>
        <v>0</v>
      </c>
      <c r="T122" s="395">
        <f>Q99</f>
        <v>0</v>
      </c>
      <c r="U122" s="70">
        <f t="shared" si="14"/>
        <v>0</v>
      </c>
      <c r="V122" s="161"/>
      <c r="W122" s="397"/>
      <c r="X122" s="350">
        <v>5</v>
      </c>
      <c r="Y122" s="328">
        <f>Geometry!M21</f>
        <v>0</v>
      </c>
      <c r="Z122" s="328">
        <f>Geometry!L21</f>
        <v>0</v>
      </c>
      <c r="AA122" s="364">
        <f>X107</f>
        <v>115</v>
      </c>
      <c r="AB122" s="70">
        <f t="shared" si="15"/>
        <v>0</v>
      </c>
    </row>
    <row r="123" spans="1:28" x14ac:dyDescent="0.2">
      <c r="A123" s="495"/>
      <c r="B123" s="301"/>
      <c r="C123" s="319">
        <v>5</v>
      </c>
      <c r="D123" s="317"/>
      <c r="E123" s="317" t="s">
        <v>95</v>
      </c>
      <c r="F123" s="317"/>
      <c r="G123" s="317"/>
      <c r="H123" s="317"/>
      <c r="I123" s="319"/>
      <c r="J123" s="317"/>
      <c r="K123" s="319"/>
      <c r="L123" s="317"/>
      <c r="M123" s="317"/>
      <c r="N123" s="317"/>
      <c r="O123" s="317"/>
      <c r="Q123" s="350">
        <v>6</v>
      </c>
      <c r="R123" s="328">
        <f>Geometry!H22</f>
        <v>0</v>
      </c>
      <c r="S123" s="328">
        <f>Geometry!G22</f>
        <v>0</v>
      </c>
      <c r="T123" s="395">
        <f>Q99</f>
        <v>0</v>
      </c>
      <c r="U123" s="70">
        <f t="shared" si="14"/>
        <v>0</v>
      </c>
      <c r="V123" s="161"/>
      <c r="W123" s="397"/>
      <c r="X123" s="350">
        <v>6</v>
      </c>
      <c r="Y123" s="328">
        <f>Geometry!M22</f>
        <v>0</v>
      </c>
      <c r="Z123" s="328">
        <f>Geometry!L22</f>
        <v>0</v>
      </c>
      <c r="AA123" s="364">
        <f>X107</f>
        <v>115</v>
      </c>
      <c r="AB123" s="70">
        <f t="shared" si="15"/>
        <v>0</v>
      </c>
    </row>
    <row r="124" spans="1:28" x14ac:dyDescent="0.2">
      <c r="A124" s="495"/>
      <c r="B124" s="319"/>
      <c r="C124" s="317"/>
      <c r="D124" s="317"/>
      <c r="E124" s="317"/>
      <c r="F124" s="317"/>
      <c r="G124" s="317"/>
      <c r="H124" s="317"/>
      <c r="I124" s="319"/>
      <c r="J124" s="317"/>
      <c r="K124" s="319"/>
      <c r="L124" s="317"/>
      <c r="M124" s="317"/>
      <c r="N124" s="317"/>
      <c r="O124" s="317"/>
      <c r="Q124" s="350">
        <v>7</v>
      </c>
      <c r="R124" s="328">
        <f>Geometry!H23</f>
        <v>0</v>
      </c>
      <c r="S124" s="328">
        <f>Geometry!G23</f>
        <v>0</v>
      </c>
      <c r="T124" s="395">
        <f>Q99</f>
        <v>0</v>
      </c>
      <c r="U124" s="70">
        <f t="shared" si="14"/>
        <v>0</v>
      </c>
      <c r="V124" s="161"/>
      <c r="W124" s="397"/>
      <c r="X124" s="350">
        <v>7</v>
      </c>
      <c r="Y124" s="328">
        <f>Geometry!M23</f>
        <v>0</v>
      </c>
      <c r="Z124" s="328">
        <f>Geometry!L23</f>
        <v>0</v>
      </c>
      <c r="AA124" s="364">
        <f>X107</f>
        <v>115</v>
      </c>
      <c r="AB124" s="70">
        <f t="shared" si="15"/>
        <v>0</v>
      </c>
    </row>
    <row r="125" spans="1:28" x14ac:dyDescent="0.2">
      <c r="A125" s="495"/>
      <c r="B125" s="317" t="s">
        <v>14</v>
      </c>
      <c r="C125" s="317"/>
      <c r="D125" s="317"/>
      <c r="E125" s="317"/>
      <c r="F125" s="317"/>
      <c r="G125" s="317"/>
      <c r="H125" s="317"/>
      <c r="I125" s="319"/>
      <c r="J125" s="317"/>
      <c r="K125" s="319"/>
      <c r="L125" s="317"/>
      <c r="M125" s="317"/>
      <c r="N125" s="317"/>
      <c r="O125" s="317"/>
      <c r="Q125" s="350">
        <v>8</v>
      </c>
      <c r="R125" s="328">
        <f>Geometry!H24</f>
        <v>0</v>
      </c>
      <c r="S125" s="328">
        <f>Geometry!G24</f>
        <v>0</v>
      </c>
      <c r="T125" s="395">
        <f>Q99</f>
        <v>0</v>
      </c>
      <c r="U125" s="70">
        <f t="shared" si="14"/>
        <v>0</v>
      </c>
      <c r="V125" s="161"/>
      <c r="W125" s="397"/>
      <c r="X125" s="350">
        <v>8</v>
      </c>
      <c r="Y125" s="328">
        <f>Geometry!M24</f>
        <v>0</v>
      </c>
      <c r="Z125" s="328">
        <f>Geometry!L24</f>
        <v>0</v>
      </c>
      <c r="AA125" s="364">
        <f>X107</f>
        <v>115</v>
      </c>
      <c r="AB125" s="70">
        <f t="shared" si="15"/>
        <v>0</v>
      </c>
    </row>
    <row r="126" spans="1:28" x14ac:dyDescent="0.2">
      <c r="A126" s="495"/>
      <c r="B126" s="317"/>
      <c r="C126" s="301"/>
      <c r="D126" s="317"/>
      <c r="E126" s="317"/>
      <c r="F126" s="317"/>
      <c r="G126" s="398" t="s">
        <v>96</v>
      </c>
      <c r="H126" s="301"/>
      <c r="I126" s="301"/>
      <c r="J126" s="317"/>
      <c r="K126" s="319"/>
      <c r="L126" s="317"/>
      <c r="M126" s="317"/>
      <c r="N126" s="348">
        <f>IF(SUM(Geometry!U128,Geometry!AB128)&lt;&gt;0,5,0)</f>
        <v>0</v>
      </c>
      <c r="O126" s="317"/>
      <c r="Q126" s="350">
        <v>9</v>
      </c>
      <c r="R126" s="328">
        <f>Geometry!H25</f>
        <v>0</v>
      </c>
      <c r="S126" s="328">
        <f>Geometry!G25</f>
        <v>0</v>
      </c>
      <c r="T126" s="395">
        <f>Q99</f>
        <v>0</v>
      </c>
      <c r="U126" s="70">
        <f t="shared" si="14"/>
        <v>0</v>
      </c>
      <c r="V126" s="161"/>
      <c r="W126" s="397"/>
      <c r="X126" s="350">
        <v>9</v>
      </c>
      <c r="Y126" s="328">
        <f>Geometry!M25</f>
        <v>0</v>
      </c>
      <c r="Z126" s="328">
        <f>Geometry!L25</f>
        <v>0</v>
      </c>
      <c r="AA126" s="364">
        <f>X107</f>
        <v>115</v>
      </c>
      <c r="AB126" s="70">
        <f t="shared" si="15"/>
        <v>0</v>
      </c>
    </row>
    <row r="127" spans="1:28" x14ac:dyDescent="0.2">
      <c r="A127" s="495"/>
      <c r="B127" s="317"/>
      <c r="C127" s="301"/>
      <c r="D127" s="317"/>
      <c r="E127" s="317"/>
      <c r="F127" s="317"/>
      <c r="G127" s="398"/>
      <c r="H127" s="301"/>
      <c r="I127" s="301"/>
      <c r="J127" s="317"/>
      <c r="K127" s="319"/>
      <c r="L127" s="317"/>
      <c r="M127" s="317"/>
      <c r="N127" s="300"/>
      <c r="O127" s="317"/>
      <c r="Q127" s="350">
        <v>10</v>
      </c>
      <c r="R127" s="328">
        <f>Geometry!H26</f>
        <v>0</v>
      </c>
      <c r="S127" s="328">
        <f>Geometry!G26</f>
        <v>0</v>
      </c>
      <c r="T127" s="395">
        <f>Q99</f>
        <v>0</v>
      </c>
      <c r="U127" s="70">
        <f t="shared" si="14"/>
        <v>0</v>
      </c>
      <c r="V127" s="161"/>
      <c r="W127" s="397"/>
      <c r="X127" s="350">
        <v>10</v>
      </c>
      <c r="Y127" s="328">
        <f>Geometry!M26</f>
        <v>0</v>
      </c>
      <c r="Z127" s="328">
        <f>Geometry!L26</f>
        <v>0</v>
      </c>
      <c r="AA127" s="364">
        <f>X107</f>
        <v>115</v>
      </c>
      <c r="AB127" s="70">
        <f t="shared" si="15"/>
        <v>0</v>
      </c>
    </row>
    <row r="128" spans="1:28" x14ac:dyDescent="0.2">
      <c r="Q128" s="346"/>
      <c r="R128" s="346"/>
      <c r="S128" s="346"/>
      <c r="T128" s="43" t="s">
        <v>172</v>
      </c>
      <c r="U128" s="328">
        <f>SUM(U118:U127)</f>
        <v>0</v>
      </c>
      <c r="V128" s="161"/>
      <c r="W128" s="397"/>
      <c r="X128" s="346"/>
      <c r="Y128" s="346"/>
      <c r="Z128" s="346"/>
      <c r="AA128" s="43" t="s">
        <v>172</v>
      </c>
      <c r="AB128" s="328">
        <f>SUM(AB118:AB127)</f>
        <v>0</v>
      </c>
    </row>
    <row r="129" spans="1:30" x14ac:dyDescent="0.2">
      <c r="Q129" s="346"/>
      <c r="R129" s="346"/>
      <c r="S129" s="346"/>
      <c r="T129" s="43" t="s">
        <v>171</v>
      </c>
      <c r="U129" s="43"/>
      <c r="V129" s="161"/>
      <c r="W129" s="397"/>
      <c r="X129" s="346"/>
      <c r="Y129" s="346"/>
      <c r="Z129" s="346"/>
      <c r="AA129" s="43" t="s">
        <v>171</v>
      </c>
      <c r="AB129" s="43"/>
    </row>
    <row r="130" spans="1:30" x14ac:dyDescent="0.2">
      <c r="Q130" s="346"/>
      <c r="R130" s="346"/>
      <c r="S130" s="346"/>
      <c r="T130" s="43" t="s">
        <v>169</v>
      </c>
      <c r="U130" s="43"/>
      <c r="V130" s="247"/>
      <c r="W130" s="247"/>
      <c r="X130" s="346"/>
      <c r="Y130" s="346"/>
      <c r="Z130" s="346"/>
      <c r="AA130" s="43" t="s">
        <v>169</v>
      </c>
      <c r="AB130" s="43"/>
    </row>
    <row r="131" spans="1:30" x14ac:dyDescent="0.2">
      <c r="Q131" s="346"/>
      <c r="R131" s="346"/>
      <c r="S131" s="346"/>
      <c r="T131" s="395"/>
      <c r="U131" s="70"/>
      <c r="V131" s="247"/>
      <c r="W131" s="247"/>
      <c r="X131" s="346"/>
      <c r="Y131" s="346"/>
      <c r="Z131" s="346"/>
      <c r="AA131" s="399"/>
      <c r="AB131" s="346"/>
    </row>
    <row r="132" spans="1:30" x14ac:dyDescent="0.2">
      <c r="Q132" s="43"/>
      <c r="R132" s="43"/>
      <c r="S132" s="43"/>
      <c r="T132" s="43"/>
      <c r="U132" s="43"/>
      <c r="V132" s="247"/>
      <c r="W132" s="247"/>
      <c r="X132" s="43"/>
      <c r="Y132" s="43"/>
      <c r="Z132" s="43"/>
      <c r="AA132" s="43"/>
      <c r="AB132" s="43"/>
    </row>
    <row r="133" spans="1:30" x14ac:dyDescent="0.2">
      <c r="Q133" s="43"/>
      <c r="R133" s="43"/>
      <c r="S133" s="43"/>
      <c r="T133" s="43"/>
      <c r="U133" s="43"/>
      <c r="V133" s="247"/>
      <c r="W133" s="247"/>
      <c r="X133" s="43"/>
      <c r="Y133" s="43"/>
      <c r="Z133" s="43"/>
      <c r="AA133" s="43"/>
      <c r="AB133" s="43"/>
    </row>
    <row r="134" spans="1:30" x14ac:dyDescent="0.2">
      <c r="Q134" s="43"/>
      <c r="R134" s="43"/>
      <c r="S134" s="43"/>
      <c r="T134" s="43"/>
      <c r="U134" s="43"/>
      <c r="V134" s="247"/>
      <c r="W134" s="247"/>
      <c r="X134" s="43"/>
      <c r="Y134" s="43"/>
      <c r="Z134" s="43"/>
      <c r="AA134" s="43"/>
      <c r="AB134" s="43"/>
    </row>
    <row r="135" spans="1:30" x14ac:dyDescent="0.2">
      <c r="Q135" s="43"/>
      <c r="R135" s="43"/>
      <c r="S135" s="43"/>
      <c r="T135" s="43"/>
      <c r="U135" s="43"/>
      <c r="V135" s="247"/>
      <c r="W135" s="247"/>
      <c r="X135" s="43"/>
      <c r="Y135" s="43"/>
      <c r="Z135" s="43"/>
      <c r="AA135" s="43"/>
      <c r="AB135" s="43"/>
    </row>
    <row r="136" spans="1:30" x14ac:dyDescent="0.2">
      <c r="Q136" s="363"/>
      <c r="R136" s="48"/>
      <c r="S136" s="48"/>
      <c r="T136" s="48"/>
      <c r="U136" s="48"/>
      <c r="V136" s="48"/>
      <c r="W136" s="48"/>
      <c r="X136" s="48"/>
      <c r="Y136" s="48"/>
      <c r="Z136" s="48"/>
      <c r="AA136" s="48"/>
      <c r="AB136" s="48"/>
    </row>
    <row r="144" spans="1:30" s="247" customFormat="1" ht="11.45" customHeight="1" x14ac:dyDescent="0.2">
      <c r="A144" s="400"/>
      <c r="B144" s="401" t="s">
        <v>97</v>
      </c>
      <c r="C144" s="317"/>
      <c r="D144" s="317"/>
      <c r="E144" s="317"/>
      <c r="F144" s="317"/>
      <c r="G144" s="317"/>
      <c r="H144" s="317"/>
      <c r="I144" s="319"/>
      <c r="J144" s="317"/>
      <c r="K144" s="319"/>
      <c r="L144" s="317"/>
      <c r="M144" s="317"/>
      <c r="N144" s="317"/>
      <c r="O144" s="317"/>
      <c r="P144" s="402"/>
      <c r="Q144" s="363"/>
      <c r="AD144" s="169"/>
    </row>
    <row r="145" spans="1:41" s="247" customFormat="1" ht="11.45" customHeight="1" x14ac:dyDescent="0.2">
      <c r="A145" s="400"/>
      <c r="B145" s="317"/>
      <c r="C145" s="317"/>
      <c r="D145" s="317"/>
      <c r="E145" s="317"/>
      <c r="F145" s="317"/>
      <c r="G145" s="317"/>
      <c r="H145" s="317"/>
      <c r="I145" s="319"/>
      <c r="J145" s="317"/>
      <c r="K145" s="319"/>
      <c r="L145" s="317"/>
      <c r="M145" s="317"/>
      <c r="N145" s="317"/>
      <c r="O145" s="317"/>
      <c r="P145" s="402"/>
      <c r="Q145" s="363"/>
      <c r="AD145" s="169"/>
    </row>
    <row r="146" spans="1:41" s="247" customFormat="1" ht="11.45" customHeight="1" x14ac:dyDescent="0.2">
      <c r="A146" s="400"/>
      <c r="B146" s="317" t="s">
        <v>98</v>
      </c>
      <c r="C146" s="317"/>
      <c r="D146" s="317"/>
      <c r="E146" s="317"/>
      <c r="F146" s="317"/>
      <c r="G146" s="317"/>
      <c r="H146" s="317"/>
      <c r="I146" s="319"/>
      <c r="J146" s="317"/>
      <c r="K146" s="319"/>
      <c r="L146" s="317"/>
      <c r="M146" s="317"/>
      <c r="N146" s="317"/>
      <c r="O146" s="317"/>
      <c r="P146" s="402"/>
      <c r="Q146" s="363"/>
      <c r="AD146" s="169"/>
    </row>
    <row r="147" spans="1:41" s="247" customFormat="1" ht="11.45" customHeight="1" x14ac:dyDescent="0.2">
      <c r="A147" s="400"/>
      <c r="B147" s="317" t="s">
        <v>99</v>
      </c>
      <c r="C147" s="317"/>
      <c r="D147" s="317"/>
      <c r="E147" s="317"/>
      <c r="F147" s="317"/>
      <c r="G147" s="317"/>
      <c r="H147" s="317"/>
      <c r="I147" s="319"/>
      <c r="J147" s="317"/>
      <c r="K147" s="319"/>
      <c r="L147" s="317"/>
      <c r="M147" s="317"/>
      <c r="N147" s="317"/>
      <c r="O147" s="317"/>
      <c r="P147" s="402"/>
      <c r="Q147" s="363"/>
      <c r="AD147" s="169"/>
    </row>
    <row r="148" spans="1:41" s="247" customFormat="1" ht="11.45" customHeight="1" x14ac:dyDescent="0.2">
      <c r="A148" s="400"/>
      <c r="B148" s="317"/>
      <c r="C148" s="317"/>
      <c r="D148" s="317"/>
      <c r="E148" s="317"/>
      <c r="F148" s="317"/>
      <c r="G148" s="317"/>
      <c r="H148" s="317"/>
      <c r="I148" s="319"/>
      <c r="J148" s="317"/>
      <c r="K148" s="319"/>
      <c r="L148" s="317"/>
      <c r="M148" s="317"/>
      <c r="N148" s="317"/>
      <c r="O148" s="317"/>
      <c r="P148" s="402"/>
      <c r="Q148" s="363"/>
      <c r="AD148" s="169"/>
    </row>
    <row r="149" spans="1:41" s="247" customFormat="1" ht="11.45" customHeight="1" x14ac:dyDescent="0.2">
      <c r="A149" s="400"/>
      <c r="B149" s="317"/>
      <c r="C149" s="317"/>
      <c r="D149" s="317"/>
      <c r="E149" s="317"/>
      <c r="F149" s="317"/>
      <c r="G149" s="317"/>
      <c r="H149" s="317"/>
      <c r="I149" s="319"/>
      <c r="J149" s="317"/>
      <c r="K149" s="319"/>
      <c r="L149" s="317"/>
      <c r="M149" s="317"/>
      <c r="N149" s="317"/>
      <c r="O149" s="317"/>
      <c r="P149" s="402"/>
      <c r="Q149" s="363"/>
      <c r="AD149" s="169"/>
    </row>
    <row r="150" spans="1:41" s="247" customFormat="1" ht="11.45" customHeight="1" x14ac:dyDescent="0.2">
      <c r="A150" s="400"/>
      <c r="B150" s="317"/>
      <c r="C150" s="317"/>
      <c r="D150" s="317"/>
      <c r="E150" s="317"/>
      <c r="F150" s="317"/>
      <c r="G150" s="317"/>
      <c r="H150" s="317"/>
      <c r="I150" s="319"/>
      <c r="J150" s="317"/>
      <c r="K150" s="319"/>
      <c r="L150" s="317"/>
      <c r="M150" s="317"/>
      <c r="N150" s="317"/>
      <c r="O150" s="317"/>
      <c r="P150" s="402"/>
      <c r="Q150" s="363"/>
      <c r="AD150" s="169"/>
    </row>
    <row r="151" spans="1:41" s="247" customFormat="1" ht="11.45" customHeight="1" x14ac:dyDescent="0.2">
      <c r="A151" s="400"/>
      <c r="B151" s="317"/>
      <c r="C151" s="301"/>
      <c r="D151" s="403"/>
      <c r="E151" s="403" t="s">
        <v>100</v>
      </c>
      <c r="F151" s="403"/>
      <c r="G151" s="404"/>
      <c r="H151" s="403"/>
      <c r="I151" s="319"/>
      <c r="J151" s="403"/>
      <c r="K151" s="403" t="s">
        <v>101</v>
      </c>
      <c r="L151" s="403"/>
      <c r="M151" s="403"/>
      <c r="N151" s="403"/>
      <c r="O151" s="317"/>
      <c r="P151" s="402"/>
      <c r="Q151" s="363"/>
      <c r="AD151" s="169"/>
    </row>
    <row r="152" spans="1:41" s="247" customFormat="1" ht="11.45" customHeight="1" x14ac:dyDescent="0.2">
      <c r="A152" s="400"/>
      <c r="B152" s="317"/>
      <c r="C152" s="317"/>
      <c r="D152" s="317"/>
      <c r="E152" s="317"/>
      <c r="F152" s="317"/>
      <c r="G152" s="317"/>
      <c r="H152" s="317"/>
      <c r="I152" s="319"/>
      <c r="J152" s="317"/>
      <c r="K152" s="319"/>
      <c r="L152" s="317"/>
      <c r="M152" s="317"/>
      <c r="N152" s="317"/>
      <c r="O152" s="317"/>
      <c r="P152" s="402"/>
      <c r="Q152" s="363"/>
      <c r="AD152" s="48"/>
    </row>
    <row r="153" spans="1:41" s="247" customFormat="1" ht="11.45" customHeight="1" x14ac:dyDescent="0.2">
      <c r="A153" s="400"/>
      <c r="B153" s="405" t="s">
        <v>26</v>
      </c>
      <c r="C153" s="405"/>
      <c r="D153" s="405" t="s">
        <v>102</v>
      </c>
      <c r="E153" s="405"/>
      <c r="F153" s="380" t="s">
        <v>103</v>
      </c>
      <c r="G153" s="405" t="s">
        <v>104</v>
      </c>
      <c r="H153" s="345"/>
      <c r="I153" s="380"/>
      <c r="J153" s="405" t="s">
        <v>102</v>
      </c>
      <c r="K153" s="405"/>
      <c r="L153" s="380" t="s">
        <v>103</v>
      </c>
      <c r="M153" s="405" t="s">
        <v>104</v>
      </c>
      <c r="N153" s="345"/>
      <c r="O153" s="301"/>
      <c r="P153" s="302"/>
      <c r="AD153" s="169"/>
    </row>
    <row r="154" spans="1:41" s="247" customFormat="1" ht="11.45" customHeight="1" x14ac:dyDescent="0.2">
      <c r="A154" s="400"/>
      <c r="B154" s="317" t="s">
        <v>105</v>
      </c>
      <c r="C154" s="301"/>
      <c r="D154" s="345"/>
      <c r="E154" s="345"/>
      <c r="F154" s="317"/>
      <c r="G154" s="345"/>
      <c r="H154" s="345"/>
      <c r="I154" s="319"/>
      <c r="J154" s="345"/>
      <c r="K154" s="345"/>
      <c r="L154" s="317"/>
      <c r="M154" s="345"/>
      <c r="N154" s="345"/>
      <c r="O154" s="317"/>
      <c r="P154" s="402"/>
      <c r="Q154" s="363"/>
      <c r="AD154" s="48"/>
    </row>
    <row r="155" spans="1:41" s="247" customFormat="1" ht="11.45" customHeight="1" x14ac:dyDescent="0.2">
      <c r="A155" s="400"/>
      <c r="B155" s="345" t="s">
        <v>85</v>
      </c>
      <c r="C155" s="345"/>
      <c r="D155" s="406" t="s">
        <v>367</v>
      </c>
      <c r="E155" s="345"/>
      <c r="F155" s="407" t="s">
        <v>369</v>
      </c>
      <c r="G155" s="406" t="s">
        <v>371</v>
      </c>
      <c r="H155" s="345"/>
      <c r="I155" s="319"/>
      <c r="J155" s="345" t="s">
        <v>106</v>
      </c>
      <c r="K155" s="345"/>
      <c r="L155" s="319" t="s">
        <v>107</v>
      </c>
      <c r="M155" s="345" t="s">
        <v>108</v>
      </c>
      <c r="N155" s="345"/>
      <c r="O155" s="317"/>
      <c r="P155" s="402"/>
      <c r="Q155" s="363"/>
      <c r="AD155" s="48"/>
    </row>
    <row r="156" spans="1:41" s="247" customFormat="1" ht="11.45" customHeight="1" x14ac:dyDescent="0.2">
      <c r="A156" s="400"/>
      <c r="B156" s="345" t="s">
        <v>70</v>
      </c>
      <c r="C156" s="345"/>
      <c r="D156" s="406" t="s">
        <v>367</v>
      </c>
      <c r="E156" s="345"/>
      <c r="F156" s="407" t="s">
        <v>369</v>
      </c>
      <c r="G156" s="406" t="s">
        <v>371</v>
      </c>
      <c r="H156" s="345"/>
      <c r="I156" s="301"/>
      <c r="J156" s="345" t="s">
        <v>109</v>
      </c>
      <c r="K156" s="345"/>
      <c r="L156" s="319" t="s">
        <v>110</v>
      </c>
      <c r="M156" s="345" t="s">
        <v>111</v>
      </c>
      <c r="N156" s="345"/>
      <c r="O156" s="317"/>
      <c r="P156" s="402"/>
      <c r="Q156" s="363"/>
      <c r="AD156" s="48"/>
    </row>
    <row r="157" spans="1:41" s="247" customFormat="1" ht="11.45" customHeight="1" x14ac:dyDescent="0.2">
      <c r="A157" s="400"/>
      <c r="B157" s="345" t="s">
        <v>86</v>
      </c>
      <c r="C157" s="345"/>
      <c r="D157" s="406" t="s">
        <v>368</v>
      </c>
      <c r="E157" s="345"/>
      <c r="F157" s="407" t="s">
        <v>370</v>
      </c>
      <c r="G157" s="406" t="s">
        <v>372</v>
      </c>
      <c r="H157" s="345"/>
      <c r="I157" s="301"/>
      <c r="J157" s="345" t="s">
        <v>112</v>
      </c>
      <c r="K157" s="345"/>
      <c r="L157" s="319" t="s">
        <v>113</v>
      </c>
      <c r="M157" s="345" t="s">
        <v>114</v>
      </c>
      <c r="N157" s="345"/>
      <c r="O157" s="317"/>
      <c r="P157" s="402"/>
      <c r="Q157" s="363"/>
      <c r="R157" s="363"/>
    </row>
    <row r="158" spans="1:41" s="247" customFormat="1" ht="11.45" customHeight="1" x14ac:dyDescent="0.2">
      <c r="A158" s="400"/>
      <c r="B158" s="317"/>
      <c r="C158" s="317" t="s">
        <v>105</v>
      </c>
      <c r="D158" s="317"/>
      <c r="E158" s="317"/>
      <c r="F158" s="317"/>
      <c r="G158" s="317"/>
      <c r="H158" s="317"/>
      <c r="I158" s="319"/>
      <c r="J158" s="317"/>
      <c r="K158" s="319"/>
      <c r="L158" s="317"/>
      <c r="M158" s="317"/>
      <c r="N158" s="317"/>
      <c r="O158" s="317"/>
      <c r="P158" s="402"/>
      <c r="Q158" s="363"/>
      <c r="R158" s="363"/>
    </row>
    <row r="159" spans="1:41" s="247" customFormat="1" ht="11.45" customHeight="1" x14ac:dyDescent="0.2">
      <c r="A159" s="400"/>
      <c r="B159" s="317"/>
      <c r="C159" s="317"/>
      <c r="D159" s="317"/>
      <c r="E159" s="317"/>
      <c r="F159" s="317"/>
      <c r="G159" s="317"/>
      <c r="H159" s="317"/>
      <c r="I159" s="319"/>
      <c r="J159" s="317"/>
      <c r="K159" s="319"/>
      <c r="L159" s="317"/>
      <c r="M159" s="317" t="s">
        <v>115</v>
      </c>
      <c r="N159" s="317" t="s">
        <v>116</v>
      </c>
      <c r="O159" s="317"/>
      <c r="P159" s="402"/>
      <c r="Q159" s="363"/>
      <c r="R159" s="363"/>
    </row>
    <row r="160" spans="1:41" s="247" customFormat="1" ht="11.45" customHeight="1" x14ac:dyDescent="0.2">
      <c r="A160" s="400"/>
      <c r="B160" s="317"/>
      <c r="C160" s="317"/>
      <c r="D160" s="317"/>
      <c r="E160" s="317"/>
      <c r="F160" s="317"/>
      <c r="G160" s="317"/>
      <c r="H160" s="317"/>
      <c r="I160" s="319"/>
      <c r="J160" s="317"/>
      <c r="K160" s="319"/>
      <c r="L160" s="317"/>
      <c r="M160" s="317"/>
      <c r="N160" s="317"/>
      <c r="O160" s="317"/>
      <c r="P160" s="402"/>
      <c r="Q160" s="363"/>
      <c r="R160" s="363"/>
      <c r="AE160" s="363"/>
      <c r="AF160" s="363"/>
      <c r="AG160" s="363"/>
      <c r="AH160" s="363"/>
      <c r="AI160" s="363"/>
      <c r="AJ160" s="363"/>
      <c r="AK160" s="363"/>
      <c r="AL160" s="363"/>
      <c r="AM160" s="363"/>
      <c r="AN160" s="363"/>
      <c r="AO160" s="363"/>
    </row>
    <row r="161" spans="1:41" s="247" customFormat="1" ht="11.45" customHeight="1" x14ac:dyDescent="0.2">
      <c r="A161" s="400"/>
      <c r="B161" s="317"/>
      <c r="C161" s="301"/>
      <c r="D161" s="317"/>
      <c r="E161" s="317" t="s">
        <v>130</v>
      </c>
      <c r="F161" s="317"/>
      <c r="G161" s="317"/>
      <c r="H161" s="319">
        <f>S171</f>
        <v>0</v>
      </c>
      <c r="I161" s="319"/>
      <c r="J161" s="301"/>
      <c r="K161" s="348">
        <f>W171</f>
        <v>6</v>
      </c>
      <c r="L161" s="317" t="s">
        <v>117</v>
      </c>
      <c r="M161" s="317"/>
      <c r="N161" s="317"/>
      <c r="O161" s="317"/>
      <c r="P161" s="402"/>
      <c r="Q161" s="363"/>
      <c r="R161" s="363"/>
      <c r="AE161" s="161"/>
      <c r="AF161" s="408">
        <f>'1 LANE BR RATING SUMMARY'!D13</f>
        <v>0</v>
      </c>
      <c r="AG161" s="363" t="s">
        <v>165</v>
      </c>
      <c r="AH161" s="161"/>
      <c r="AI161" s="161"/>
      <c r="AJ161" s="161"/>
      <c r="AK161" s="161"/>
      <c r="AL161" s="363"/>
      <c r="AM161" s="363"/>
      <c r="AN161" s="363"/>
      <c r="AO161" s="363"/>
    </row>
    <row r="162" spans="1:41" s="247" customFormat="1" ht="11.45" customHeight="1" x14ac:dyDescent="0.2">
      <c r="A162" s="400"/>
      <c r="B162" s="317"/>
      <c r="C162" s="317"/>
      <c r="D162" s="317"/>
      <c r="E162" s="317"/>
      <c r="F162" s="317"/>
      <c r="G162" s="317"/>
      <c r="H162" s="319"/>
      <c r="I162" s="319"/>
      <c r="J162" s="317"/>
      <c r="K162" s="319"/>
      <c r="L162" s="317"/>
      <c r="M162" s="317"/>
      <c r="N162" s="317"/>
      <c r="O162" s="317"/>
      <c r="P162" s="402"/>
      <c r="Q162" s="363"/>
      <c r="R162" s="363"/>
      <c r="AE162" s="161"/>
      <c r="AF162" s="166"/>
      <c r="AG162" s="363"/>
      <c r="AH162" s="161"/>
      <c r="AI162" s="161"/>
      <c r="AJ162" s="161"/>
      <c r="AK162" s="161"/>
      <c r="AL162" s="363"/>
      <c r="AM162" s="363"/>
      <c r="AN162" s="363"/>
      <c r="AO162" s="363"/>
    </row>
    <row r="163" spans="1:41" s="247" customFormat="1" ht="11.45" customHeight="1" x14ac:dyDescent="0.2">
      <c r="A163" s="400"/>
      <c r="B163" s="317"/>
      <c r="C163" s="301"/>
      <c r="D163" s="317"/>
      <c r="E163" s="317" t="s">
        <v>131</v>
      </c>
      <c r="F163" s="317"/>
      <c r="G163" s="317"/>
      <c r="H163" s="319">
        <f>S172</f>
        <v>0</v>
      </c>
      <c r="I163" s="319"/>
      <c r="J163" s="317"/>
      <c r="K163" s="348">
        <f>W177</f>
        <v>4</v>
      </c>
      <c r="L163" s="317" t="s">
        <v>118</v>
      </c>
      <c r="M163" s="317"/>
      <c r="N163" s="317"/>
      <c r="O163" s="317"/>
      <c r="P163" s="402"/>
      <c r="Q163" s="363"/>
      <c r="R163" s="363"/>
      <c r="AE163" s="409"/>
      <c r="AF163" s="409"/>
      <c r="AG163" s="409"/>
      <c r="AH163" s="409"/>
      <c r="AI163" s="409"/>
      <c r="AJ163" s="409"/>
      <c r="AK163" s="409"/>
      <c r="AL163" s="409"/>
      <c r="AM163" s="409"/>
      <c r="AN163" s="409"/>
      <c r="AO163" s="363"/>
    </row>
    <row r="164" spans="1:41" s="247" customFormat="1" ht="11.45" customHeight="1" x14ac:dyDescent="0.2">
      <c r="A164" s="400"/>
      <c r="B164" s="317"/>
      <c r="C164" s="317"/>
      <c r="D164" s="317"/>
      <c r="E164" s="317"/>
      <c r="F164" s="317"/>
      <c r="G164" s="317"/>
      <c r="H164" s="317"/>
      <c r="I164" s="319"/>
      <c r="J164" s="317"/>
      <c r="K164" s="319"/>
      <c r="L164" s="317"/>
      <c r="M164" s="317"/>
      <c r="N164" s="317"/>
      <c r="O164" s="317"/>
      <c r="P164" s="402"/>
      <c r="Q164" s="363"/>
      <c r="R164" s="363"/>
      <c r="AE164" s="58"/>
      <c r="AF164" s="58" t="s">
        <v>279</v>
      </c>
      <c r="AG164" s="58"/>
      <c r="AH164" s="58"/>
      <c r="AI164" s="58"/>
      <c r="AJ164" s="328">
        <f>IF(OR(AF161=7,AF161=8,AF161=9),AE169,AK169)</f>
        <v>11</v>
      </c>
      <c r="AK164" s="58" t="s">
        <v>280</v>
      </c>
      <c r="AL164" s="58"/>
      <c r="AM164" s="409"/>
      <c r="AN164" s="409"/>
      <c r="AO164" s="363"/>
    </row>
    <row r="165" spans="1:41" s="247" customFormat="1" ht="11.45" customHeight="1" x14ac:dyDescent="0.2">
      <c r="A165" s="400"/>
      <c r="B165" s="317"/>
      <c r="C165" s="317"/>
      <c r="D165" s="317"/>
      <c r="E165" s="317"/>
      <c r="F165" s="317"/>
      <c r="G165" s="317"/>
      <c r="H165" s="317"/>
      <c r="I165" s="319"/>
      <c r="J165" s="317"/>
      <c r="K165" s="319"/>
      <c r="L165" s="317"/>
      <c r="M165" s="317"/>
      <c r="N165" s="317"/>
      <c r="O165" s="317"/>
      <c r="P165" s="402"/>
      <c r="Q165" s="363"/>
      <c r="R165" s="363"/>
      <c r="AE165" s="325"/>
      <c r="AF165" s="346"/>
      <c r="AG165" s="58"/>
      <c r="AH165" s="58"/>
      <c r="AI165" s="58"/>
      <c r="AJ165" s="58"/>
      <c r="AK165" s="58"/>
      <c r="AL165" s="58"/>
      <c r="AM165" s="409"/>
      <c r="AN165" s="409"/>
      <c r="AO165" s="363"/>
    </row>
    <row r="166" spans="1:41" s="247" customFormat="1" ht="11.45" customHeight="1" x14ac:dyDescent="0.2">
      <c r="A166" s="400"/>
      <c r="B166" s="317"/>
      <c r="C166" s="301"/>
      <c r="D166" s="317"/>
      <c r="E166" s="317"/>
      <c r="F166" s="317"/>
      <c r="G166" s="398" t="s">
        <v>119</v>
      </c>
      <c r="H166" s="301"/>
      <c r="I166" s="301"/>
      <c r="J166" s="301"/>
      <c r="K166" s="319"/>
      <c r="L166" s="317"/>
      <c r="M166" s="317"/>
      <c r="N166" s="410">
        <f>SUM(K161,K163)</f>
        <v>10</v>
      </c>
      <c r="O166" s="317"/>
      <c r="P166" s="402"/>
      <c r="Q166" s="363"/>
      <c r="R166" s="363"/>
      <c r="AE166" s="325"/>
      <c r="AF166" s="498" t="s">
        <v>281</v>
      </c>
      <c r="AG166" s="499"/>
      <c r="AH166" s="58"/>
      <c r="AI166" s="58"/>
      <c r="AJ166" s="409"/>
      <c r="AK166" s="498" t="s">
        <v>282</v>
      </c>
      <c r="AL166" s="498"/>
      <c r="AM166" s="498"/>
      <c r="AN166" s="409"/>
      <c r="AO166" s="363"/>
    </row>
    <row r="167" spans="1:41" s="247" customFormat="1" ht="11.45" customHeight="1" x14ac:dyDescent="0.2">
      <c r="A167" s="400"/>
      <c r="B167" s="317"/>
      <c r="C167" s="317"/>
      <c r="D167" s="317"/>
      <c r="E167" s="317"/>
      <c r="F167" s="317"/>
      <c r="G167" s="317"/>
      <c r="H167" s="317"/>
      <c r="I167" s="319"/>
      <c r="J167" s="317"/>
      <c r="K167" s="319"/>
      <c r="L167" s="317"/>
      <c r="M167" s="317"/>
      <c r="N167" s="317"/>
      <c r="O167" s="317"/>
      <c r="P167" s="402"/>
      <c r="Q167" s="363"/>
      <c r="R167" s="363"/>
      <c r="W167" s="43"/>
      <c r="X167" s="328">
        <f>W171</f>
        <v>6</v>
      </c>
      <c r="Y167" s="43" t="s">
        <v>184</v>
      </c>
      <c r="Z167" s="43"/>
      <c r="AE167" s="325"/>
      <c r="AF167" s="346"/>
      <c r="AG167" s="58"/>
      <c r="AH167" s="58"/>
      <c r="AI167" s="58"/>
      <c r="AJ167" s="409"/>
      <c r="AK167" s="58"/>
      <c r="AL167" s="58"/>
      <c r="AM167" s="58"/>
      <c r="AN167" s="409"/>
      <c r="AO167" s="363"/>
    </row>
    <row r="168" spans="1:41" s="247" customFormat="1" ht="11.45" customHeight="1" x14ac:dyDescent="0.2">
      <c r="A168" s="301"/>
      <c r="B168" s="299"/>
      <c r="C168" s="299"/>
      <c r="D168" s="299"/>
      <c r="E168" s="299"/>
      <c r="F168" s="299"/>
      <c r="G168" s="299"/>
      <c r="H168" s="299"/>
      <c r="I168" s="300"/>
      <c r="J168" s="299"/>
      <c r="K168" s="300"/>
      <c r="L168" s="299"/>
      <c r="M168" s="299"/>
      <c r="N168" s="299"/>
      <c r="O168" s="299"/>
      <c r="P168" s="411"/>
      <c r="Q168" s="40"/>
      <c r="R168" s="363"/>
      <c r="W168" s="43"/>
      <c r="X168" s="43"/>
      <c r="Y168" s="43"/>
      <c r="Z168" s="43"/>
      <c r="AC168" s="247">
        <f>Geometry!U53</f>
        <v>20</v>
      </c>
      <c r="AE168" s="374" t="s">
        <v>69</v>
      </c>
      <c r="AF168" s="374" t="s">
        <v>283</v>
      </c>
      <c r="AG168" s="374" t="s">
        <v>284</v>
      </c>
      <c r="AH168" s="374" t="s">
        <v>71</v>
      </c>
      <c r="AI168" s="58"/>
      <c r="AJ168" s="409"/>
      <c r="AK168" s="374" t="s">
        <v>285</v>
      </c>
      <c r="AL168" s="374" t="s">
        <v>286</v>
      </c>
      <c r="AM168" s="374" t="s">
        <v>71</v>
      </c>
      <c r="AN168" s="409"/>
      <c r="AO168" s="363"/>
    </row>
    <row r="169" spans="1:41" s="247" customFormat="1" ht="11.45" customHeight="1" x14ac:dyDescent="0.2">
      <c r="A169" s="301"/>
      <c r="B169" s="317"/>
      <c r="C169" s="317"/>
      <c r="D169" s="317"/>
      <c r="E169" s="317"/>
      <c r="F169" s="317"/>
      <c r="G169" s="317"/>
      <c r="H169" s="317"/>
      <c r="I169" s="319"/>
      <c r="J169" s="317"/>
      <c r="K169" s="319"/>
      <c r="L169" s="317"/>
      <c r="M169" s="317"/>
      <c r="N169" s="317"/>
      <c r="O169" s="317"/>
      <c r="P169" s="402"/>
      <c r="Q169" s="363"/>
      <c r="R169" s="363"/>
      <c r="W169" s="43"/>
      <c r="X169" s="412" t="s">
        <v>185</v>
      </c>
      <c r="Y169" s="412"/>
      <c r="Z169" s="413"/>
      <c r="AC169" s="247">
        <f>Geometry!Q47</f>
        <v>0</v>
      </c>
      <c r="AE169" s="346">
        <f>IF(AND(Geometry!U53&lt;=50,Geometry!Q47&lt;400),10,AE170)</f>
        <v>10</v>
      </c>
      <c r="AF169" s="346">
        <f>IF(AND(Geometry!U53&lt;=30,Geometry!Q47&lt;1501),10,AF170)</f>
        <v>10</v>
      </c>
      <c r="AG169" s="346">
        <f>IF(AND(Geometry!U53&lt;=50,Geometry!Q47&lt;=2000),11,AG170)</f>
        <v>11</v>
      </c>
      <c r="AH169" s="346">
        <f>IF(Geometry!Q47&gt;2000,12,0)</f>
        <v>0</v>
      </c>
      <c r="AI169" s="58"/>
      <c r="AJ169" s="409"/>
      <c r="AK169" s="346">
        <f>IF(AND(Geometry!U53&lt;60,Geometry!Q47&lt;1501),11,AK170)</f>
        <v>11</v>
      </c>
      <c r="AL169" s="346">
        <f>IF(AND(Geometry!U53&lt;50,Geometry!Q47&lt;2001),11,AL170)</f>
        <v>11</v>
      </c>
      <c r="AM169" s="346">
        <f>IF(Geometry!Q47&gt;2000,12,0)</f>
        <v>0</v>
      </c>
      <c r="AN169" s="409"/>
      <c r="AO169" s="363"/>
    </row>
    <row r="170" spans="1:41" s="247" customFormat="1" ht="11.45" customHeight="1" x14ac:dyDescent="0.2">
      <c r="A170" s="301"/>
      <c r="B170" s="317"/>
      <c r="C170" s="317"/>
      <c r="D170" s="317"/>
      <c r="E170" s="317"/>
      <c r="F170" s="317"/>
      <c r="G170" s="317"/>
      <c r="H170" s="317"/>
      <c r="I170" s="319"/>
      <c r="J170" s="317"/>
      <c r="K170" s="319"/>
      <c r="L170" s="317"/>
      <c r="M170" s="317"/>
      <c r="N170" s="317"/>
      <c r="O170" s="317"/>
      <c r="P170" s="402"/>
      <c r="Q170" s="363"/>
      <c r="R170" s="363"/>
      <c r="W170" s="43"/>
      <c r="X170" s="346"/>
      <c r="Y170" s="70"/>
      <c r="Z170" s="70"/>
      <c r="AE170" s="346">
        <f>IF(AND(Geometry!U53&gt;50,Geometry!Q47&lt;400),11,AF169)</f>
        <v>10</v>
      </c>
      <c r="AF170" s="346">
        <f>IF(AND(Geometry!U53&gt;=35,Geometry!Q47&lt;=1500),11,AG169)</f>
        <v>11</v>
      </c>
      <c r="AG170" s="346">
        <f>IF(AND(Geometry!U53&gt;=55,Geometry!Q47&lt;=2001),12,AH169)</f>
        <v>0</v>
      </c>
      <c r="AH170" s="325"/>
      <c r="AI170" s="58"/>
      <c r="AJ170" s="409"/>
      <c r="AK170" s="346">
        <f>IF(AND(Geometry!U53&gt;55,Geometry!Q47&lt;1501),12,AL169)</f>
        <v>11</v>
      </c>
      <c r="AL170" s="346">
        <f>IF(AND(Geometry!U53&gt;=50,Geometry!Q47&lt;=2001),12,AM169)</f>
        <v>0</v>
      </c>
      <c r="AM170" s="346"/>
      <c r="AN170" s="409"/>
      <c r="AO170" s="363"/>
    </row>
    <row r="171" spans="1:41" s="247" customFormat="1" ht="11.45" customHeight="1" x14ac:dyDescent="0.2">
      <c r="A171" s="301"/>
      <c r="B171" s="401" t="s">
        <v>343</v>
      </c>
      <c r="C171" s="317"/>
      <c r="D171" s="317"/>
      <c r="E171" s="317"/>
      <c r="F171" s="317"/>
      <c r="G171" s="317"/>
      <c r="H171" s="317"/>
      <c r="I171" s="319"/>
      <c r="J171" s="317"/>
      <c r="K171" s="319"/>
      <c r="L171" s="317"/>
      <c r="M171" s="317"/>
      <c r="N171" s="299"/>
      <c r="O171" s="299"/>
      <c r="P171" s="414"/>
      <c r="Q171" s="363"/>
      <c r="R171" s="363"/>
      <c r="S171" s="38">
        <f>Geometry!E32</f>
        <v>0</v>
      </c>
      <c r="T171" s="415" t="s">
        <v>230</v>
      </c>
      <c r="W171" s="328">
        <f>IF(Geometry!Q47&lt;400,X171,W172)</f>
        <v>6</v>
      </c>
      <c r="X171" s="416">
        <f>IF(S171&lt;10,6,Y171)</f>
        <v>6</v>
      </c>
      <c r="Y171" s="416">
        <f>IF(S171&lt;=11,3,Z171)</f>
        <v>3</v>
      </c>
      <c r="Z171" s="416" t="str">
        <f>IF(S171&gt;22,0,"")</f>
        <v/>
      </c>
      <c r="AE171" s="346"/>
      <c r="AF171" s="346"/>
      <c r="AG171" s="346"/>
      <c r="AH171" s="325"/>
      <c r="AI171" s="58"/>
      <c r="AJ171" s="409"/>
      <c r="AK171" s="346"/>
      <c r="AL171" s="346"/>
      <c r="AM171" s="346"/>
      <c r="AN171" s="409"/>
      <c r="AO171" s="363"/>
    </row>
    <row r="172" spans="1:41" s="247" customFormat="1" ht="11.45" customHeight="1" x14ac:dyDescent="0.2">
      <c r="A172" s="301"/>
      <c r="B172" s="317"/>
      <c r="C172" s="317"/>
      <c r="D172" s="317"/>
      <c r="E172" s="317"/>
      <c r="F172" s="317"/>
      <c r="G172" s="317"/>
      <c r="H172" s="317"/>
      <c r="I172" s="319"/>
      <c r="J172" s="317"/>
      <c r="K172" s="319"/>
      <c r="L172" s="317"/>
      <c r="M172" s="317"/>
      <c r="N172" s="317"/>
      <c r="O172" s="317"/>
      <c r="P172" s="417"/>
      <c r="Q172" s="363"/>
      <c r="R172" s="363"/>
      <c r="S172" s="38">
        <f>Geometry!E33</f>
        <v>0</v>
      </c>
      <c r="T172" s="415" t="s">
        <v>229</v>
      </c>
      <c r="W172" s="70">
        <f>IF(Geometry!Q47&lt;2001,X172,W173)</f>
        <v>6</v>
      </c>
      <c r="X172" s="416">
        <f>IF(S171&lt;10,6,Y171)</f>
        <v>6</v>
      </c>
      <c r="Y172" s="416">
        <f>IF(S171&lt;=11,3,Z171)</f>
        <v>3</v>
      </c>
      <c r="Z172" s="416" t="str">
        <f>IF(S171&gt;22,0,"")</f>
        <v/>
      </c>
      <c r="AE172" s="166"/>
      <c r="AF172" s="166"/>
      <c r="AG172" s="166"/>
      <c r="AH172" s="209"/>
      <c r="AI172" s="40"/>
      <c r="AJ172" s="363"/>
      <c r="AK172" s="166"/>
      <c r="AL172" s="166"/>
      <c r="AM172" s="166"/>
      <c r="AN172" s="363"/>
      <c r="AO172" s="363"/>
    </row>
    <row r="173" spans="1:41" s="247" customFormat="1" ht="11.45" customHeight="1" x14ac:dyDescent="0.2">
      <c r="A173" s="301"/>
      <c r="B173" s="317" t="s">
        <v>342</v>
      </c>
      <c r="C173" s="301"/>
      <c r="D173" s="317"/>
      <c r="E173" s="317"/>
      <c r="F173" s="317"/>
      <c r="G173" s="317"/>
      <c r="H173" s="317"/>
      <c r="I173" s="319"/>
      <c r="J173" s="317"/>
      <c r="K173" s="319"/>
      <c r="L173" s="317"/>
      <c r="M173" s="317"/>
      <c r="N173" s="317"/>
      <c r="O173" s="317"/>
      <c r="P173" s="414"/>
      <c r="Q173" s="363"/>
      <c r="R173" s="363"/>
      <c r="W173" s="70" t="str">
        <f>IF(Geometry!Q47&gt;=2001,X173,"")</f>
        <v/>
      </c>
      <c r="X173" s="70">
        <f>IF(S171&lt;11,6,Y173)</f>
        <v>6</v>
      </c>
      <c r="Y173" s="70">
        <f>IF(S171&lt;=12,3,Z173)</f>
        <v>3</v>
      </c>
      <c r="Z173" s="70" t="str">
        <f>IF(S171&gt;24,0,"")</f>
        <v/>
      </c>
      <c r="AE173" s="58"/>
      <c r="AF173" s="346"/>
      <c r="AG173" s="346"/>
      <c r="AH173" s="346"/>
      <c r="AI173" s="346"/>
      <c r="AJ173" s="58"/>
      <c r="AK173" s="346"/>
      <c r="AL173" s="346"/>
      <c r="AM173" s="70"/>
      <c r="AN173" s="409"/>
      <c r="AO173" s="363"/>
    </row>
    <row r="174" spans="1:41" s="247" customFormat="1" ht="11.45" customHeight="1" x14ac:dyDescent="0.2">
      <c r="A174" s="301"/>
      <c r="B174" s="301" t="s">
        <v>341</v>
      </c>
      <c r="C174" s="317"/>
      <c r="D174" s="317"/>
      <c r="E174" s="317"/>
      <c r="F174" s="317"/>
      <c r="G174" s="317"/>
      <c r="H174" s="317"/>
      <c r="I174" s="319"/>
      <c r="J174" s="317"/>
      <c r="K174" s="319"/>
      <c r="L174" s="317"/>
      <c r="M174" s="317"/>
      <c r="N174" s="317"/>
      <c r="O174" s="317"/>
      <c r="P174" s="414"/>
      <c r="Q174" s="363"/>
      <c r="R174" s="363"/>
      <c r="W174" s="43"/>
      <c r="X174" s="43"/>
      <c r="Y174" s="43"/>
      <c r="Z174" s="43"/>
      <c r="AE174" s="325"/>
      <c r="AF174" s="58" t="s">
        <v>287</v>
      </c>
      <c r="AG174" s="346"/>
      <c r="AH174" s="346"/>
      <c r="AI174" s="346"/>
      <c r="AJ174" s="328">
        <f>IF(OR(AF161=7,AF161=8,AF161=9),AE179,AK179)</f>
        <v>4</v>
      </c>
      <c r="AK174" s="58" t="s">
        <v>288</v>
      </c>
      <c r="AL174" s="346"/>
      <c r="AM174" s="70"/>
      <c r="AN174" s="409"/>
      <c r="AO174" s="363"/>
    </row>
    <row r="175" spans="1:41" s="247" customFormat="1" ht="11.45" customHeight="1" x14ac:dyDescent="0.2">
      <c r="A175" s="301"/>
      <c r="B175" s="301"/>
      <c r="C175" s="317"/>
      <c r="D175" s="317"/>
      <c r="E175" s="317"/>
      <c r="F175" s="317"/>
      <c r="G175" s="317"/>
      <c r="H175" s="317"/>
      <c r="I175" s="319"/>
      <c r="J175" s="317"/>
      <c r="K175" s="319"/>
      <c r="L175" s="317"/>
      <c r="M175" s="317"/>
      <c r="N175" s="317"/>
      <c r="O175" s="317"/>
      <c r="P175" s="414"/>
      <c r="Q175" s="363"/>
      <c r="R175" s="363"/>
      <c r="W175" s="43"/>
      <c r="X175" s="71" t="s">
        <v>373</v>
      </c>
      <c r="Y175" s="71"/>
      <c r="Z175" s="43"/>
      <c r="AE175" s="325"/>
      <c r="AF175" s="58"/>
      <c r="AG175" s="58"/>
      <c r="AH175" s="58"/>
      <c r="AI175" s="325"/>
      <c r="AJ175" s="58"/>
      <c r="AK175" s="346"/>
      <c r="AL175" s="346"/>
      <c r="AM175" s="70"/>
      <c r="AN175" s="409"/>
      <c r="AO175" s="363"/>
    </row>
    <row r="176" spans="1:41" s="247" customFormat="1" ht="11.45" customHeight="1" x14ac:dyDescent="0.2">
      <c r="A176" s="301"/>
      <c r="B176" s="418" t="s">
        <v>120</v>
      </c>
      <c r="C176" s="301"/>
      <c r="D176" s="317"/>
      <c r="E176" s="317"/>
      <c r="F176" s="317"/>
      <c r="G176" s="301"/>
      <c r="H176" s="317" t="s">
        <v>121</v>
      </c>
      <c r="I176" s="419"/>
      <c r="J176" s="419"/>
      <c r="K176" s="419"/>
      <c r="L176" s="301"/>
      <c r="M176" s="317"/>
      <c r="N176" s="317"/>
      <c r="O176" s="317"/>
      <c r="P176" s="414"/>
      <c r="Q176" s="363"/>
      <c r="R176" s="363"/>
      <c r="W176" s="43"/>
      <c r="X176" s="346"/>
      <c r="Y176" s="70"/>
      <c r="Z176" s="70"/>
      <c r="AE176" s="409"/>
      <c r="AF176" s="498" t="s">
        <v>281</v>
      </c>
      <c r="AG176" s="499"/>
      <c r="AH176" s="58"/>
      <c r="AI176" s="58"/>
      <c r="AJ176" s="409"/>
      <c r="AK176" s="498" t="s">
        <v>282</v>
      </c>
      <c r="AL176" s="498"/>
      <c r="AM176" s="498"/>
      <c r="AN176" s="502"/>
      <c r="AO176" s="363"/>
    </row>
    <row r="177" spans="1:41" s="247" customFormat="1" ht="11.45" customHeight="1" x14ac:dyDescent="0.2">
      <c r="A177" s="301"/>
      <c r="B177" s="301"/>
      <c r="C177" s="301"/>
      <c r="D177" s="301"/>
      <c r="E177" s="301"/>
      <c r="F177" s="500" t="s">
        <v>335</v>
      </c>
      <c r="G177" s="500"/>
      <c r="H177" s="500"/>
      <c r="I177" s="500"/>
      <c r="J177" s="500"/>
      <c r="K177" s="500"/>
      <c r="L177" s="500"/>
      <c r="M177" s="500"/>
      <c r="N177" s="317"/>
      <c r="O177" s="317"/>
      <c r="P177" s="414"/>
      <c r="Q177" s="363"/>
      <c r="R177" s="363"/>
      <c r="W177" s="328">
        <f>IF(Geometry!Q47&lt;400,X177,W178)</f>
        <v>4</v>
      </c>
      <c r="X177" s="416">
        <f>IF(S172&lt;2,4,Y177)</f>
        <v>4</v>
      </c>
      <c r="Y177" s="416">
        <f>IF(S172&lt;=3,2,Z177)</f>
        <v>2</v>
      </c>
      <c r="Z177" s="416" t="str">
        <f>IF(S172&gt;3,0,"")</f>
        <v/>
      </c>
      <c r="AE177" s="409"/>
      <c r="AF177" s="70"/>
      <c r="AG177" s="70"/>
      <c r="AH177" s="70"/>
      <c r="AI177" s="70"/>
      <c r="AJ177" s="70"/>
      <c r="AK177" s="70"/>
      <c r="AL177" s="70"/>
      <c r="AM177" s="70"/>
      <c r="AN177" s="409"/>
      <c r="AO177" s="363"/>
    </row>
    <row r="178" spans="1:41" s="247" customFormat="1" ht="11.45" customHeight="1" x14ac:dyDescent="0.2">
      <c r="A178" s="301"/>
      <c r="B178" s="301"/>
      <c r="C178" s="501" t="s">
        <v>344</v>
      </c>
      <c r="D178" s="501"/>
      <c r="E178" s="420"/>
      <c r="F178" s="500"/>
      <c r="G178" s="500"/>
      <c r="H178" s="500"/>
      <c r="I178" s="500"/>
      <c r="J178" s="500"/>
      <c r="K178" s="500"/>
      <c r="L178" s="500"/>
      <c r="M178" s="500"/>
      <c r="N178" s="317"/>
      <c r="O178" s="317"/>
      <c r="P178" s="414"/>
      <c r="Q178" s="363"/>
      <c r="R178" s="363"/>
      <c r="W178" s="70">
        <f>IF(Geometry!Q47&lt;2001,X178,W179)</f>
        <v>4</v>
      </c>
      <c r="X178" s="416">
        <f>IF(S172&lt;4,4,Y177)</f>
        <v>4</v>
      </c>
      <c r="Y178" s="416">
        <f>IF(S172&lt;=6,2,Z177)</f>
        <v>2</v>
      </c>
      <c r="Z178" s="416" t="str">
        <f>IF(S172&gt;6,0,"")</f>
        <v/>
      </c>
      <c r="AE178" s="374" t="s">
        <v>69</v>
      </c>
      <c r="AF178" s="374" t="s">
        <v>283</v>
      </c>
      <c r="AG178" s="374" t="s">
        <v>284</v>
      </c>
      <c r="AH178" s="374" t="s">
        <v>71</v>
      </c>
      <c r="AI178" s="409"/>
      <c r="AJ178" s="70"/>
      <c r="AK178" s="374" t="s">
        <v>69</v>
      </c>
      <c r="AL178" s="374" t="s">
        <v>283</v>
      </c>
      <c r="AM178" s="374" t="s">
        <v>71</v>
      </c>
      <c r="AN178" s="409"/>
      <c r="AO178" s="363"/>
    </row>
    <row r="179" spans="1:41" s="247" customFormat="1" ht="11.45" customHeight="1" x14ac:dyDescent="0.2">
      <c r="A179" s="301"/>
      <c r="B179" s="301"/>
      <c r="C179" s="421" t="s">
        <v>321</v>
      </c>
      <c r="D179" s="422"/>
      <c r="E179" s="420"/>
      <c r="F179" s="420"/>
      <c r="G179" s="420"/>
      <c r="H179" s="301"/>
      <c r="I179" s="301"/>
      <c r="J179" s="301"/>
      <c r="K179" s="301"/>
      <c r="L179" s="301"/>
      <c r="M179" s="423"/>
      <c r="N179" s="317"/>
      <c r="O179" s="317"/>
      <c r="P179" s="414"/>
      <c r="Q179" s="363"/>
      <c r="R179" s="363"/>
      <c r="W179" s="70" t="str">
        <f>IF(Geometry!Q47&gt;=2001,X179,"")</f>
        <v/>
      </c>
      <c r="X179" s="70">
        <f>IF(S172&lt;6,4,Y179)</f>
        <v>4</v>
      </c>
      <c r="Y179" s="70">
        <f>IF(S172&lt;=8,2,Z179)</f>
        <v>2</v>
      </c>
      <c r="Z179" s="70" t="str">
        <f>IF(S172&gt;8,0,"")</f>
        <v/>
      </c>
      <c r="AE179" s="346">
        <f>IF(Geometry!Q47&lt;400,2,AF179)</f>
        <v>2</v>
      </c>
      <c r="AF179" s="346">
        <f>IF(Geometry!Q47&lt;1501,4,AG179)</f>
        <v>4</v>
      </c>
      <c r="AG179" s="346">
        <f>IF(Geometry!Q47&lt;2001,6,AH179)</f>
        <v>6</v>
      </c>
      <c r="AH179" s="346">
        <f>IF(Geometry!Q47&gt;2000,8,0)</f>
        <v>0</v>
      </c>
      <c r="AI179" s="409"/>
      <c r="AJ179" s="70"/>
      <c r="AK179" s="346">
        <f>IF(Geometry!Q47&lt;400,4,AL179)</f>
        <v>4</v>
      </c>
      <c r="AL179" s="346">
        <f>IF(Geometry!Q47&lt;2001,6,AM179)</f>
        <v>6</v>
      </c>
      <c r="AM179" s="346">
        <f>IF(Geometry!Q47&gt;2000,8,0)</f>
        <v>0</v>
      </c>
      <c r="AN179" s="409"/>
      <c r="AO179" s="363"/>
    </row>
    <row r="180" spans="1:41" s="247" customFormat="1" ht="11.45" customHeight="1" x14ac:dyDescent="0.2">
      <c r="A180" s="301"/>
      <c r="B180" s="301"/>
      <c r="C180" s="424">
        <f>'Traffic &amp; Accidents'!C16</f>
        <v>0</v>
      </c>
      <c r="D180" s="285" t="s">
        <v>322</v>
      </c>
      <c r="E180" s="301"/>
      <c r="F180" s="286" t="s">
        <v>340</v>
      </c>
      <c r="G180" s="301"/>
      <c r="H180" s="301"/>
      <c r="I180" s="301"/>
      <c r="J180" s="319"/>
      <c r="K180" s="317"/>
      <c r="L180" s="319"/>
      <c r="M180" s="301"/>
      <c r="N180" s="301"/>
      <c r="O180" s="301"/>
      <c r="P180" s="414"/>
      <c r="Q180" s="363"/>
      <c r="R180" s="40"/>
      <c r="AE180" s="58"/>
      <c r="AF180" s="409"/>
      <c r="AG180" s="409"/>
      <c r="AH180" s="346"/>
      <c r="AI180" s="346"/>
      <c r="AJ180" s="70"/>
      <c r="AK180" s="346"/>
      <c r="AL180" s="70"/>
      <c r="AM180" s="70"/>
      <c r="AN180" s="409"/>
      <c r="AO180" s="363"/>
    </row>
    <row r="181" spans="1:41" s="247" customFormat="1" ht="11.45" customHeight="1" x14ac:dyDescent="0.2">
      <c r="A181" s="301"/>
      <c r="B181" s="301"/>
      <c r="C181" s="424">
        <f>'Traffic &amp; Accidents'!C17</f>
        <v>0</v>
      </c>
      <c r="D181" s="285" t="s">
        <v>323</v>
      </c>
      <c r="E181" s="301"/>
      <c r="F181" s="286" t="s">
        <v>349</v>
      </c>
      <c r="G181" s="301"/>
      <c r="H181" s="301"/>
      <c r="I181" s="301"/>
      <c r="J181" s="319"/>
      <c r="K181" s="317"/>
      <c r="L181" s="319"/>
      <c r="M181" s="301"/>
      <c r="N181" s="301"/>
      <c r="O181" s="301"/>
      <c r="P181" s="414"/>
      <c r="Q181" s="363"/>
      <c r="R181" s="363"/>
      <c r="AE181" s="58"/>
      <c r="AF181" s="409"/>
      <c r="AG181" s="409"/>
      <c r="AH181" s="346"/>
      <c r="AI181" s="346"/>
      <c r="AJ181" s="70"/>
      <c r="AK181" s="346"/>
      <c r="AL181" s="70"/>
      <c r="AM181" s="70"/>
      <c r="AN181" s="409"/>
      <c r="AO181" s="363"/>
    </row>
    <row r="182" spans="1:41" s="247" customFormat="1" ht="11.45" customHeight="1" x14ac:dyDescent="0.2">
      <c r="A182" s="301"/>
      <c r="B182" s="317"/>
      <c r="C182" s="424">
        <f>'Traffic &amp; Accidents'!C18</f>
        <v>0</v>
      </c>
      <c r="D182" s="285" t="s">
        <v>324</v>
      </c>
      <c r="E182" s="301"/>
      <c r="F182" s="286" t="s">
        <v>339</v>
      </c>
      <c r="G182" s="301"/>
      <c r="H182" s="301"/>
      <c r="I182" s="301"/>
      <c r="J182" s="319"/>
      <c r="K182" s="317"/>
      <c r="L182" s="319"/>
      <c r="M182" s="301"/>
      <c r="N182" s="301"/>
      <c r="O182" s="301"/>
      <c r="P182" s="414"/>
      <c r="Q182" s="363"/>
      <c r="R182" s="363"/>
      <c r="AE182" s="363"/>
      <c r="AF182" s="363"/>
      <c r="AG182" s="363"/>
      <c r="AH182" s="363"/>
      <c r="AI182" s="363"/>
      <c r="AJ182" s="363"/>
      <c r="AK182" s="363"/>
      <c r="AL182" s="363"/>
      <c r="AM182" s="363"/>
      <c r="AN182" s="363"/>
      <c r="AO182" s="363"/>
    </row>
    <row r="183" spans="1:41" s="247" customFormat="1" ht="11.45" customHeight="1" x14ac:dyDescent="0.2">
      <c r="A183" s="301"/>
      <c r="B183" s="317"/>
      <c r="C183" s="424">
        <f>'Traffic &amp; Accidents'!C19</f>
        <v>0</v>
      </c>
      <c r="D183" s="285" t="s">
        <v>325</v>
      </c>
      <c r="E183" s="301"/>
      <c r="F183" s="286" t="s">
        <v>350</v>
      </c>
      <c r="G183" s="301"/>
      <c r="H183" s="301"/>
      <c r="I183" s="301"/>
      <c r="J183" s="319"/>
      <c r="K183" s="317"/>
      <c r="L183" s="319"/>
      <c r="M183" s="301"/>
      <c r="N183" s="301"/>
      <c r="O183" s="301"/>
      <c r="P183" s="414"/>
      <c r="Q183" s="363"/>
      <c r="R183" s="363"/>
      <c r="AE183" s="363"/>
      <c r="AF183" s="363"/>
      <c r="AG183" s="363"/>
      <c r="AH183" s="363"/>
      <c r="AI183" s="363"/>
      <c r="AJ183" s="363"/>
      <c r="AK183" s="363"/>
      <c r="AL183" s="363"/>
      <c r="AM183" s="363"/>
      <c r="AN183" s="363"/>
      <c r="AO183" s="363"/>
    </row>
    <row r="184" spans="1:41" s="247" customFormat="1" ht="11.45" customHeight="1" x14ac:dyDescent="0.2">
      <c r="A184" s="301"/>
      <c r="B184" s="301"/>
      <c r="C184" s="424">
        <f>'Traffic &amp; Accidents'!C20</f>
        <v>0</v>
      </c>
      <c r="D184" s="425" t="s">
        <v>326</v>
      </c>
      <c r="E184" s="301"/>
      <c r="F184" s="317" t="s">
        <v>338</v>
      </c>
      <c r="G184" s="301"/>
      <c r="H184" s="301"/>
      <c r="I184" s="301"/>
      <c r="J184" s="319"/>
      <c r="K184" s="317"/>
      <c r="L184" s="319"/>
      <c r="M184" s="301"/>
      <c r="N184" s="301"/>
      <c r="O184" s="301"/>
      <c r="P184" s="414"/>
      <c r="Q184" s="363"/>
      <c r="R184" s="363"/>
      <c r="AE184" s="363"/>
      <c r="AF184" s="363"/>
      <c r="AG184" s="363"/>
      <c r="AH184" s="363"/>
      <c r="AI184" s="363"/>
      <c r="AJ184" s="363"/>
      <c r="AK184" s="363"/>
      <c r="AL184" s="363"/>
      <c r="AM184" s="363"/>
      <c r="AN184" s="363"/>
      <c r="AO184" s="363"/>
    </row>
    <row r="185" spans="1:41" s="247" customFormat="1" ht="11.45" customHeight="1" x14ac:dyDescent="0.2">
      <c r="A185" s="301"/>
      <c r="B185" s="301"/>
      <c r="C185" s="301"/>
      <c r="D185" s="312"/>
      <c r="E185" s="301"/>
      <c r="F185" s="317" t="s">
        <v>337</v>
      </c>
      <c r="G185" s="301"/>
      <c r="H185" s="301"/>
      <c r="I185" s="301"/>
      <c r="J185" s="301"/>
      <c r="K185" s="301"/>
      <c r="L185" s="301"/>
      <c r="M185" s="301"/>
      <c r="N185" s="301"/>
      <c r="O185" s="301"/>
      <c r="P185" s="414"/>
      <c r="Q185" s="363"/>
      <c r="R185" s="363"/>
      <c r="AE185" s="363"/>
      <c r="AF185" s="363"/>
      <c r="AG185" s="363"/>
      <c r="AH185" s="503" t="s">
        <v>289</v>
      </c>
      <c r="AI185" s="503"/>
      <c r="AJ185" s="503"/>
      <c r="AK185" s="503"/>
      <c r="AL185" s="363"/>
      <c r="AM185" s="363"/>
      <c r="AN185" s="363"/>
      <c r="AO185" s="363"/>
    </row>
    <row r="186" spans="1:41" s="247" customFormat="1" ht="11.45" customHeight="1" x14ac:dyDescent="0.2">
      <c r="A186" s="301"/>
      <c r="B186" s="301"/>
      <c r="C186" s="301"/>
      <c r="D186" s="301"/>
      <c r="E186" s="301"/>
      <c r="F186" s="301"/>
      <c r="G186" s="301"/>
      <c r="H186" s="301"/>
      <c r="I186" s="301"/>
      <c r="J186" s="301"/>
      <c r="K186" s="301"/>
      <c r="L186" s="426" t="s">
        <v>336</v>
      </c>
      <c r="M186" s="301"/>
      <c r="N186" s="301"/>
      <c r="O186" s="301"/>
      <c r="P186" s="414"/>
      <c r="Q186" s="363"/>
      <c r="R186" s="363"/>
      <c r="AE186" s="363"/>
      <c r="AF186" s="363"/>
      <c r="AG186" s="363"/>
      <c r="AH186" s="363"/>
      <c r="AI186" s="363"/>
      <c r="AJ186" s="363"/>
      <c r="AK186" s="363"/>
      <c r="AL186" s="363"/>
      <c r="AM186" s="363"/>
      <c r="AN186" s="363"/>
      <c r="AO186" s="363"/>
    </row>
    <row r="187" spans="1:41" s="247" customFormat="1" ht="11.45" customHeight="1" x14ac:dyDescent="0.2">
      <c r="A187" s="301"/>
      <c r="B187" s="301"/>
      <c r="C187" s="301"/>
      <c r="D187" s="301"/>
      <c r="E187" s="301"/>
      <c r="F187" s="301"/>
      <c r="G187" s="301"/>
      <c r="H187" s="301"/>
      <c r="I187" s="301"/>
      <c r="J187" s="301"/>
      <c r="K187" s="301"/>
      <c r="L187" s="426"/>
      <c r="M187" s="301"/>
      <c r="N187" s="301"/>
      <c r="O187" s="301"/>
      <c r="P187" s="414"/>
      <c r="Q187" s="363"/>
      <c r="R187" s="363"/>
      <c r="AE187" s="363"/>
      <c r="AF187" s="161"/>
      <c r="AG187" s="427" t="s">
        <v>281</v>
      </c>
      <c r="AH187" s="161"/>
      <c r="AI187" s="161"/>
      <c r="AJ187" s="363"/>
      <c r="AK187" s="363"/>
      <c r="AL187" s="161"/>
      <c r="AM187" s="427" t="s">
        <v>281</v>
      </c>
      <c r="AN187" s="161"/>
      <c r="AO187" s="161"/>
    </row>
    <row r="188" spans="1:41" s="247" customFormat="1" ht="11.45" customHeight="1" x14ac:dyDescent="0.2">
      <c r="A188" s="301"/>
      <c r="B188" s="418" t="s">
        <v>122</v>
      </c>
      <c r="C188" s="301"/>
      <c r="D188" s="317"/>
      <c r="E188" s="317"/>
      <c r="F188" s="317"/>
      <c r="G188" s="301"/>
      <c r="H188" s="317" t="s">
        <v>121</v>
      </c>
      <c r="I188" s="419"/>
      <c r="J188" s="419"/>
      <c r="K188" s="419"/>
      <c r="L188" s="301"/>
      <c r="M188" s="317"/>
      <c r="N188" s="301"/>
      <c r="O188" s="301"/>
      <c r="P188" s="414"/>
      <c r="Q188" s="363"/>
      <c r="R188" s="363"/>
      <c r="AE188" s="363"/>
      <c r="AF188" s="363"/>
      <c r="AG188" s="363"/>
      <c r="AH188" s="363"/>
      <c r="AI188" s="363"/>
      <c r="AJ188" s="363"/>
      <c r="AK188" s="363"/>
      <c r="AL188" s="363"/>
      <c r="AM188" s="363"/>
      <c r="AN188" s="363"/>
      <c r="AO188" s="363"/>
    </row>
    <row r="189" spans="1:41" s="247" customFormat="1" ht="11.45" customHeight="1" x14ac:dyDescent="0.2">
      <c r="A189" s="301"/>
      <c r="B189" s="301"/>
      <c r="C189" s="501" t="s">
        <v>344</v>
      </c>
      <c r="D189" s="501"/>
      <c r="E189" s="301"/>
      <c r="F189" s="500" t="s">
        <v>335</v>
      </c>
      <c r="G189" s="500"/>
      <c r="H189" s="500"/>
      <c r="I189" s="500"/>
      <c r="J189" s="500"/>
      <c r="K189" s="500"/>
      <c r="L189" s="500"/>
      <c r="M189" s="500"/>
      <c r="N189" s="301"/>
      <c r="O189" s="301"/>
      <c r="P189" s="414"/>
      <c r="Q189" s="363"/>
      <c r="R189" s="363"/>
      <c r="AE189" s="162" t="s">
        <v>290</v>
      </c>
      <c r="AF189" s="363"/>
      <c r="AG189" s="161" t="s">
        <v>291</v>
      </c>
      <c r="AH189" s="428"/>
      <c r="AI189" s="428"/>
      <c r="AJ189" s="363"/>
      <c r="AK189" s="162" t="s">
        <v>290</v>
      </c>
      <c r="AL189" s="363"/>
      <c r="AM189" s="161" t="s">
        <v>292</v>
      </c>
      <c r="AN189" s="428"/>
      <c r="AO189" s="428"/>
    </row>
    <row r="190" spans="1:41" s="247" customFormat="1" ht="11.45" customHeight="1" x14ac:dyDescent="0.2">
      <c r="A190" s="301"/>
      <c r="B190" s="301"/>
      <c r="C190" s="421" t="s">
        <v>321</v>
      </c>
      <c r="D190" s="422"/>
      <c r="E190" s="301"/>
      <c r="F190" s="500"/>
      <c r="G190" s="500"/>
      <c r="H190" s="500"/>
      <c r="I190" s="500"/>
      <c r="J190" s="500"/>
      <c r="K190" s="500"/>
      <c r="L190" s="500"/>
      <c r="M190" s="500"/>
      <c r="N190" s="301"/>
      <c r="O190" s="301"/>
      <c r="P190" s="414"/>
      <c r="Q190" s="363"/>
      <c r="R190" s="363"/>
      <c r="AE190" s="162" t="s">
        <v>293</v>
      </c>
      <c r="AF190" s="429" t="s">
        <v>69</v>
      </c>
      <c r="AG190" s="429" t="s">
        <v>283</v>
      </c>
      <c r="AH190" s="429" t="s">
        <v>284</v>
      </c>
      <c r="AI190" s="429" t="s">
        <v>71</v>
      </c>
      <c r="AJ190" s="363"/>
      <c r="AK190" s="162" t="s">
        <v>293</v>
      </c>
      <c r="AL190" s="429" t="s">
        <v>69</v>
      </c>
      <c r="AM190" s="429" t="s">
        <v>283</v>
      </c>
      <c r="AN190" s="429" t="s">
        <v>284</v>
      </c>
      <c r="AO190" s="429" t="s">
        <v>71</v>
      </c>
    </row>
    <row r="191" spans="1:41" s="247" customFormat="1" ht="11.45" customHeight="1" x14ac:dyDescent="0.2">
      <c r="A191" s="301"/>
      <c r="B191" s="301"/>
      <c r="C191" s="424">
        <f>'Traffic &amp; Accidents'!C25</f>
        <v>0</v>
      </c>
      <c r="D191" s="430" t="s">
        <v>351</v>
      </c>
      <c r="E191" s="301"/>
      <c r="F191" s="301"/>
      <c r="G191" s="317"/>
      <c r="H191" s="301"/>
      <c r="I191" s="301"/>
      <c r="J191" s="317" t="s">
        <v>345</v>
      </c>
      <c r="K191" s="283"/>
      <c r="L191" s="301"/>
      <c r="M191" s="301"/>
      <c r="N191" s="301"/>
      <c r="O191" s="301"/>
      <c r="P191" s="414"/>
      <c r="Q191" s="363"/>
      <c r="R191" s="363"/>
      <c r="AE191" s="363"/>
      <c r="AF191" s="363"/>
      <c r="AG191" s="363"/>
      <c r="AH191" s="363"/>
      <c r="AI191" s="363"/>
      <c r="AJ191" s="363"/>
      <c r="AK191" s="363"/>
      <c r="AL191" s="363"/>
      <c r="AM191" s="363"/>
      <c r="AN191" s="363"/>
      <c r="AO191" s="363"/>
    </row>
    <row r="192" spans="1:41" s="247" customFormat="1" ht="11.45" customHeight="1" x14ac:dyDescent="0.2">
      <c r="A192" s="301"/>
      <c r="B192" s="317"/>
      <c r="C192" s="424">
        <f>'Traffic &amp; Accidents'!C26</f>
        <v>0</v>
      </c>
      <c r="D192" s="425" t="s">
        <v>327</v>
      </c>
      <c r="E192" s="301"/>
      <c r="F192" s="317"/>
      <c r="G192" s="317"/>
      <c r="H192" s="301"/>
      <c r="I192" s="319"/>
      <c r="J192" s="317" t="s">
        <v>334</v>
      </c>
      <c r="K192" s="319"/>
      <c r="L192" s="301"/>
      <c r="M192" s="301"/>
      <c r="N192" s="301"/>
      <c r="O192" s="301"/>
      <c r="P192" s="414"/>
      <c r="Q192" s="363"/>
      <c r="R192" s="363"/>
      <c r="AE192" s="161">
        <v>20</v>
      </c>
      <c r="AF192" s="161">
        <v>10</v>
      </c>
      <c r="AG192" s="161">
        <v>10</v>
      </c>
      <c r="AH192" s="161">
        <v>11</v>
      </c>
      <c r="AI192" s="161">
        <v>12</v>
      </c>
      <c r="AJ192" s="363"/>
      <c r="AK192" s="162" t="s">
        <v>294</v>
      </c>
      <c r="AL192" s="161">
        <v>2</v>
      </c>
      <c r="AM192" s="161">
        <v>4</v>
      </c>
      <c r="AN192" s="161">
        <v>6</v>
      </c>
      <c r="AO192" s="161">
        <v>8</v>
      </c>
    </row>
    <row r="193" spans="1:41" s="247" customFormat="1" ht="11.45" customHeight="1" x14ac:dyDescent="0.2">
      <c r="A193" s="301"/>
      <c r="B193" s="317"/>
      <c r="C193" s="424">
        <f>'Traffic &amp; Accidents'!C27</f>
        <v>0</v>
      </c>
      <c r="D193" s="425" t="s">
        <v>328</v>
      </c>
      <c r="E193" s="301"/>
      <c r="F193" s="317"/>
      <c r="G193" s="317"/>
      <c r="H193" s="317"/>
      <c r="I193" s="319"/>
      <c r="J193" s="317"/>
      <c r="K193" s="319"/>
      <c r="L193" s="301"/>
      <c r="M193" s="301"/>
      <c r="N193" s="301"/>
      <c r="O193" s="301"/>
      <c r="P193" s="414"/>
      <c r="Q193" s="363"/>
      <c r="R193" s="363"/>
      <c r="AE193" s="161">
        <v>25</v>
      </c>
      <c r="AF193" s="161">
        <v>10</v>
      </c>
      <c r="AG193" s="161">
        <v>10</v>
      </c>
      <c r="AH193" s="161">
        <v>11</v>
      </c>
      <c r="AI193" s="161">
        <v>12</v>
      </c>
      <c r="AJ193" s="363"/>
      <c r="AK193" s="161"/>
      <c r="AL193" s="161"/>
      <c r="AM193" s="161"/>
      <c r="AN193" s="161"/>
      <c r="AO193" s="161"/>
    </row>
    <row r="194" spans="1:41" s="247" customFormat="1" ht="11.45" customHeight="1" x14ac:dyDescent="0.2">
      <c r="A194" s="301"/>
      <c r="B194" s="317"/>
      <c r="C194" s="424">
        <f>'Traffic &amp; Accidents'!C28</f>
        <v>0</v>
      </c>
      <c r="D194" s="425" t="s">
        <v>329</v>
      </c>
      <c r="E194" s="301"/>
      <c r="F194" s="317"/>
      <c r="G194" s="317"/>
      <c r="H194" s="301"/>
      <c r="I194" s="317"/>
      <c r="J194" s="317"/>
      <c r="K194" s="319"/>
      <c r="L194" s="301"/>
      <c r="M194" s="301"/>
      <c r="N194" s="301"/>
      <c r="O194" s="301"/>
      <c r="P194" s="414"/>
      <c r="Q194" s="363"/>
      <c r="R194" s="363"/>
      <c r="AE194" s="161">
        <v>30</v>
      </c>
      <c r="AF194" s="161">
        <v>10</v>
      </c>
      <c r="AG194" s="161">
        <v>10</v>
      </c>
      <c r="AH194" s="161">
        <v>11</v>
      </c>
      <c r="AI194" s="161">
        <v>12</v>
      </c>
      <c r="AJ194" s="363"/>
      <c r="AK194" s="161"/>
      <c r="AL194" s="161"/>
      <c r="AM194" s="161"/>
      <c r="AN194" s="161"/>
      <c r="AO194" s="161"/>
    </row>
    <row r="195" spans="1:41" s="247" customFormat="1" ht="11.45" customHeight="1" x14ac:dyDescent="0.2">
      <c r="A195" s="301"/>
      <c r="B195" s="317"/>
      <c r="C195" s="424">
        <f>'Traffic &amp; Accidents'!C29</f>
        <v>0</v>
      </c>
      <c r="D195" s="425" t="s">
        <v>330</v>
      </c>
      <c r="E195" s="301"/>
      <c r="F195" s="317"/>
      <c r="G195" s="317"/>
      <c r="H195" s="301"/>
      <c r="I195" s="317"/>
      <c r="J195" s="317"/>
      <c r="K195" s="319"/>
      <c r="L195" s="301"/>
      <c r="M195" s="301"/>
      <c r="N195" s="301"/>
      <c r="O195" s="301"/>
      <c r="P195" s="414"/>
      <c r="Q195" s="363"/>
      <c r="R195" s="363"/>
      <c r="AE195" s="166">
        <v>35</v>
      </c>
      <c r="AF195" s="161">
        <v>10</v>
      </c>
      <c r="AG195" s="161">
        <v>11</v>
      </c>
      <c r="AH195" s="161">
        <v>11</v>
      </c>
      <c r="AI195" s="161">
        <v>12</v>
      </c>
      <c r="AJ195" s="363"/>
      <c r="AK195" s="166"/>
      <c r="AL195" s="161"/>
      <c r="AM195" s="161"/>
      <c r="AN195" s="161"/>
      <c r="AO195" s="161"/>
    </row>
    <row r="196" spans="1:41" s="247" customFormat="1" ht="11.45" customHeight="1" x14ac:dyDescent="0.2">
      <c r="A196" s="301"/>
      <c r="B196" s="317"/>
      <c r="C196" s="317"/>
      <c r="D196" s="317"/>
      <c r="E196" s="317"/>
      <c r="F196" s="317"/>
      <c r="G196" s="317"/>
      <c r="H196" s="301"/>
      <c r="I196" s="301"/>
      <c r="J196" s="301"/>
      <c r="K196" s="301"/>
      <c r="L196" s="301"/>
      <c r="M196" s="301"/>
      <c r="N196" s="301"/>
      <c r="O196" s="301"/>
      <c r="P196" s="414"/>
      <c r="Q196" s="363"/>
      <c r="R196" s="363"/>
      <c r="AE196" s="161">
        <v>40</v>
      </c>
      <c r="AF196" s="161">
        <v>10</v>
      </c>
      <c r="AG196" s="161">
        <v>11</v>
      </c>
      <c r="AH196" s="161">
        <v>11</v>
      </c>
      <c r="AI196" s="161">
        <v>12</v>
      </c>
      <c r="AJ196" s="363"/>
      <c r="AK196" s="161"/>
      <c r="AL196" s="161"/>
      <c r="AM196" s="161"/>
      <c r="AN196" s="161"/>
      <c r="AO196" s="161"/>
    </row>
    <row r="197" spans="1:41" s="247" customFormat="1" ht="11.45" customHeight="1" x14ac:dyDescent="0.2">
      <c r="A197" s="301"/>
      <c r="B197" s="317"/>
      <c r="C197" s="317"/>
      <c r="D197" s="317"/>
      <c r="E197" s="317"/>
      <c r="F197" s="317"/>
      <c r="G197" s="317"/>
      <c r="H197" s="301"/>
      <c r="I197" s="301"/>
      <c r="J197" s="301"/>
      <c r="K197" s="301"/>
      <c r="L197" s="426" t="s">
        <v>333</v>
      </c>
      <c r="M197" s="301"/>
      <c r="N197" s="301"/>
      <c r="O197" s="301"/>
      <c r="P197" s="414"/>
      <c r="Q197" s="363"/>
      <c r="R197" s="363"/>
      <c r="AE197" s="161">
        <v>45</v>
      </c>
      <c r="AF197" s="161">
        <v>10</v>
      </c>
      <c r="AG197" s="161">
        <v>11</v>
      </c>
      <c r="AH197" s="161">
        <v>11</v>
      </c>
      <c r="AI197" s="161">
        <v>12</v>
      </c>
      <c r="AJ197" s="363"/>
      <c r="AK197" s="161"/>
      <c r="AL197" s="161"/>
      <c r="AM197" s="161"/>
      <c r="AN197" s="161"/>
      <c r="AO197" s="161"/>
    </row>
    <row r="198" spans="1:41" s="247" customFormat="1" ht="11.45" customHeight="1" x14ac:dyDescent="0.2">
      <c r="A198" s="301"/>
      <c r="B198" s="317"/>
      <c r="C198" s="317"/>
      <c r="D198" s="317"/>
      <c r="E198" s="317"/>
      <c r="F198" s="317"/>
      <c r="G198" s="317"/>
      <c r="H198" s="317"/>
      <c r="I198" s="319"/>
      <c r="J198" s="317"/>
      <c r="K198" s="319"/>
      <c r="L198" s="317"/>
      <c r="M198" s="301"/>
      <c r="N198" s="301"/>
      <c r="O198" s="301"/>
      <c r="P198" s="414"/>
      <c r="Q198" s="363"/>
      <c r="R198" s="363"/>
      <c r="AE198" s="161">
        <v>50</v>
      </c>
      <c r="AF198" s="161">
        <v>10</v>
      </c>
      <c r="AG198" s="161">
        <v>11</v>
      </c>
      <c r="AH198" s="161">
        <v>11</v>
      </c>
      <c r="AI198" s="161">
        <v>12</v>
      </c>
      <c r="AJ198" s="363"/>
      <c r="AK198" s="161"/>
      <c r="AL198" s="161"/>
      <c r="AM198" s="161"/>
      <c r="AN198" s="161"/>
      <c r="AO198" s="161"/>
    </row>
    <row r="199" spans="1:41" s="247" customFormat="1" ht="11.45" customHeight="1" x14ac:dyDescent="0.2">
      <c r="A199" s="301"/>
      <c r="B199" s="301"/>
      <c r="C199" s="301"/>
      <c r="D199" s="301"/>
      <c r="E199" s="301"/>
      <c r="F199" s="301"/>
      <c r="G199" s="301"/>
      <c r="H199" s="301"/>
      <c r="I199" s="301"/>
      <c r="J199" s="301"/>
      <c r="K199" s="301"/>
      <c r="L199" s="431" t="s">
        <v>332</v>
      </c>
      <c r="M199" s="301"/>
      <c r="N199" s="301"/>
      <c r="O199" s="301"/>
      <c r="P199" s="414"/>
      <c r="Q199" s="363"/>
      <c r="R199" s="363"/>
      <c r="AE199" s="161">
        <v>55</v>
      </c>
      <c r="AF199" s="161">
        <v>11</v>
      </c>
      <c r="AG199" s="161">
        <v>11</v>
      </c>
      <c r="AH199" s="161">
        <v>12</v>
      </c>
      <c r="AI199" s="161">
        <v>12</v>
      </c>
      <c r="AJ199" s="363"/>
      <c r="AK199" s="161"/>
      <c r="AL199" s="161"/>
      <c r="AM199" s="161"/>
      <c r="AN199" s="161"/>
      <c r="AO199" s="161"/>
    </row>
    <row r="200" spans="1:41" s="247" customFormat="1" ht="11.45" customHeight="1" x14ac:dyDescent="0.2">
      <c r="A200" s="301"/>
      <c r="B200" s="301"/>
      <c r="C200" s="317"/>
      <c r="D200" s="317"/>
      <c r="E200" s="317"/>
      <c r="F200" s="317"/>
      <c r="G200" s="317"/>
      <c r="H200" s="301"/>
      <c r="I200" s="301"/>
      <c r="J200" s="301"/>
      <c r="K200" s="301"/>
      <c r="L200" s="317"/>
      <c r="M200" s="317"/>
      <c r="N200" s="317"/>
      <c r="O200" s="317"/>
      <c r="P200" s="414"/>
      <c r="Q200" s="363"/>
      <c r="R200" s="363"/>
      <c r="AE200" s="161">
        <v>60</v>
      </c>
      <c r="AF200" s="161">
        <v>11</v>
      </c>
      <c r="AG200" s="161">
        <v>11</v>
      </c>
      <c r="AH200" s="161">
        <v>12</v>
      </c>
      <c r="AI200" s="161">
        <v>12</v>
      </c>
      <c r="AJ200" s="363"/>
      <c r="AK200" s="161"/>
      <c r="AL200" s="161"/>
      <c r="AM200" s="161"/>
      <c r="AN200" s="161"/>
      <c r="AO200" s="161"/>
    </row>
    <row r="201" spans="1:41" s="247" customFormat="1" ht="11.45" customHeight="1" x14ac:dyDescent="0.2">
      <c r="A201" s="301"/>
      <c r="B201" s="317"/>
      <c r="C201" s="317"/>
      <c r="D201" s="317"/>
      <c r="E201" s="317"/>
      <c r="F201" s="317"/>
      <c r="G201" s="317"/>
      <c r="H201" s="301"/>
      <c r="I201" s="301"/>
      <c r="J201" s="301"/>
      <c r="K201" s="301"/>
      <c r="L201" s="301"/>
      <c r="M201" s="317"/>
      <c r="N201" s="317"/>
      <c r="O201" s="317"/>
      <c r="P201" s="414"/>
      <c r="Q201" s="363"/>
      <c r="R201" s="363"/>
      <c r="AE201" s="363"/>
      <c r="AF201" s="363"/>
      <c r="AG201" s="363"/>
      <c r="AH201" s="363"/>
      <c r="AI201" s="363"/>
      <c r="AJ201" s="363"/>
      <c r="AK201" s="363"/>
      <c r="AL201" s="363"/>
      <c r="AM201" s="363"/>
      <c r="AN201" s="363"/>
      <c r="AO201" s="363"/>
    </row>
    <row r="202" spans="1:41" s="247" customFormat="1" ht="11.45" customHeight="1" x14ac:dyDescent="0.2">
      <c r="A202" s="301"/>
      <c r="B202" s="317" t="s">
        <v>123</v>
      </c>
      <c r="C202" s="317"/>
      <c r="D202" s="317"/>
      <c r="E202" s="317"/>
      <c r="F202" s="317"/>
      <c r="G202" s="317"/>
      <c r="H202" s="403"/>
      <c r="I202" s="432"/>
      <c r="J202" s="403"/>
      <c r="K202" s="432"/>
      <c r="L202" s="317"/>
      <c r="M202" s="317"/>
      <c r="N202" s="317"/>
      <c r="O202" s="317"/>
      <c r="P202" s="414"/>
      <c r="Q202" s="363"/>
      <c r="R202" s="363"/>
    </row>
    <row r="203" spans="1:41" s="247" customFormat="1" ht="11.45" customHeight="1" x14ac:dyDescent="0.2">
      <c r="A203" s="301"/>
      <c r="B203" s="312"/>
      <c r="C203" s="312"/>
      <c r="D203" s="312"/>
      <c r="E203" s="312"/>
      <c r="F203" s="312"/>
      <c r="G203" s="312"/>
      <c r="H203" s="317"/>
      <c r="I203" s="317" t="s">
        <v>124</v>
      </c>
      <c r="J203" s="317"/>
      <c r="K203" s="319"/>
      <c r="L203" s="312"/>
      <c r="M203" s="312"/>
      <c r="N203" s="312"/>
      <c r="O203" s="312"/>
      <c r="P203" s="414"/>
      <c r="Q203" s="48"/>
      <c r="R203" s="363"/>
    </row>
    <row r="204" spans="1:41" s="247" customFormat="1" ht="11.45" customHeight="1" x14ac:dyDescent="0.2">
      <c r="A204" s="301"/>
      <c r="B204" s="312"/>
      <c r="C204" s="312"/>
      <c r="D204" s="312"/>
      <c r="E204" s="312"/>
      <c r="F204" s="312"/>
      <c r="G204" s="312"/>
      <c r="H204" s="312"/>
      <c r="I204" s="312"/>
      <c r="J204" s="312"/>
      <c r="K204" s="312"/>
      <c r="L204" s="312"/>
      <c r="M204" s="312"/>
      <c r="N204" s="312"/>
      <c r="O204" s="312"/>
      <c r="P204" s="433"/>
      <c r="Q204" s="48"/>
      <c r="R204" s="363"/>
      <c r="AE204" s="363"/>
      <c r="AF204" s="161"/>
      <c r="AG204" s="427" t="s">
        <v>282</v>
      </c>
      <c r="AH204" s="161"/>
      <c r="AI204" s="161"/>
      <c r="AJ204" s="363"/>
      <c r="AK204" s="363"/>
      <c r="AL204" s="161"/>
      <c r="AM204" s="427" t="s">
        <v>282</v>
      </c>
      <c r="AN204" s="161"/>
      <c r="AO204" s="161"/>
    </row>
    <row r="205" spans="1:41" s="247" customFormat="1" ht="11.45" customHeight="1" x14ac:dyDescent="0.2">
      <c r="A205" s="301"/>
      <c r="B205" s="312"/>
      <c r="C205" s="312"/>
      <c r="D205" s="312"/>
      <c r="E205" s="312"/>
      <c r="F205" s="312"/>
      <c r="G205" s="312"/>
      <c r="H205" s="312"/>
      <c r="I205" s="312"/>
      <c r="J205" s="312"/>
      <c r="K205" s="312"/>
      <c r="L205" s="312"/>
      <c r="M205" s="312"/>
      <c r="N205" s="312"/>
      <c r="O205" s="312"/>
      <c r="P205" s="433"/>
      <c r="Q205" s="48"/>
      <c r="R205" s="363"/>
      <c r="AE205" s="363"/>
      <c r="AF205" s="363"/>
      <c r="AG205" s="363"/>
      <c r="AH205" s="363"/>
      <c r="AI205" s="363"/>
      <c r="AJ205" s="363"/>
      <c r="AK205" s="363"/>
      <c r="AL205" s="363"/>
      <c r="AM205" s="363"/>
      <c r="AN205" s="363"/>
      <c r="AO205" s="363"/>
    </row>
    <row r="206" spans="1:41" s="247" customFormat="1" ht="11.45" customHeight="1" x14ac:dyDescent="0.2">
      <c r="A206" s="301"/>
      <c r="B206" s="312"/>
      <c r="C206" s="312"/>
      <c r="D206" s="312"/>
      <c r="E206" s="312"/>
      <c r="F206" s="312"/>
      <c r="G206" s="312"/>
      <c r="H206" s="312"/>
      <c r="I206" s="312"/>
      <c r="J206" s="312"/>
      <c r="K206" s="312"/>
      <c r="L206" s="312"/>
      <c r="M206" s="312"/>
      <c r="N206" s="312"/>
      <c r="O206" s="312"/>
      <c r="P206" s="433"/>
      <c r="Q206" s="48"/>
      <c r="R206" s="363"/>
      <c r="AE206" s="162" t="s">
        <v>290</v>
      </c>
      <c r="AF206" s="363"/>
      <c r="AG206" s="161" t="s">
        <v>291</v>
      </c>
      <c r="AH206" s="428"/>
      <c r="AI206" s="428"/>
      <c r="AJ206" s="363"/>
      <c r="AK206" s="162" t="s">
        <v>290</v>
      </c>
      <c r="AL206" s="363"/>
      <c r="AM206" s="161" t="s">
        <v>292</v>
      </c>
      <c r="AN206" s="428"/>
      <c r="AO206" s="428"/>
    </row>
    <row r="207" spans="1:41" s="247" customFormat="1" ht="11.45" customHeight="1" x14ac:dyDescent="0.2">
      <c r="A207" s="301"/>
      <c r="B207" s="312"/>
      <c r="C207" s="312"/>
      <c r="D207" s="312"/>
      <c r="E207" s="312"/>
      <c r="F207" s="312"/>
      <c r="G207" s="312"/>
      <c r="H207" s="312"/>
      <c r="I207" s="312"/>
      <c r="J207" s="312"/>
      <c r="K207" s="312"/>
      <c r="L207" s="312"/>
      <c r="M207" s="312"/>
      <c r="N207" s="312"/>
      <c r="O207" s="312"/>
      <c r="P207" s="433"/>
      <c r="Q207" s="48"/>
      <c r="R207" s="363"/>
      <c r="AE207" s="162" t="s">
        <v>293</v>
      </c>
      <c r="AF207" s="429" t="s">
        <v>69</v>
      </c>
      <c r="AG207" s="429" t="s">
        <v>283</v>
      </c>
      <c r="AH207" s="429" t="s">
        <v>284</v>
      </c>
      <c r="AI207" s="429" t="s">
        <v>71</v>
      </c>
      <c r="AJ207" s="363"/>
      <c r="AK207" s="162" t="s">
        <v>293</v>
      </c>
      <c r="AL207" s="429" t="s">
        <v>69</v>
      </c>
      <c r="AM207" s="429" t="s">
        <v>283</v>
      </c>
      <c r="AN207" s="429" t="s">
        <v>284</v>
      </c>
      <c r="AO207" s="429" t="s">
        <v>71</v>
      </c>
    </row>
    <row r="208" spans="1:41" s="247" customFormat="1" ht="11.45" customHeight="1" x14ac:dyDescent="0.2">
      <c r="A208" s="301"/>
      <c r="B208" s="312"/>
      <c r="C208" s="312"/>
      <c r="D208" s="312"/>
      <c r="E208" s="312"/>
      <c r="F208" s="312"/>
      <c r="G208" s="312"/>
      <c r="H208" s="312"/>
      <c r="I208" s="312"/>
      <c r="J208" s="312"/>
      <c r="K208" s="312"/>
      <c r="L208" s="312"/>
      <c r="M208" s="312"/>
      <c r="N208" s="312"/>
      <c r="O208" s="312"/>
      <c r="P208" s="433"/>
      <c r="Q208" s="48"/>
      <c r="R208" s="363"/>
      <c r="AE208" s="363"/>
      <c r="AF208" s="363"/>
      <c r="AG208" s="363"/>
      <c r="AH208" s="363"/>
      <c r="AI208" s="363"/>
      <c r="AJ208" s="363"/>
      <c r="AK208" s="363"/>
      <c r="AL208" s="363"/>
      <c r="AM208" s="363"/>
      <c r="AN208" s="363"/>
      <c r="AO208" s="363"/>
    </row>
    <row r="209" spans="1:41" s="247" customFormat="1" ht="11.45" customHeight="1" x14ac:dyDescent="0.2">
      <c r="A209" s="301"/>
      <c r="B209" s="312"/>
      <c r="C209" s="312"/>
      <c r="D209" s="312"/>
      <c r="E209" s="312"/>
      <c r="F209" s="312"/>
      <c r="G209" s="312"/>
      <c r="H209" s="312"/>
      <c r="I209" s="312"/>
      <c r="J209" s="312"/>
      <c r="K209" s="312"/>
      <c r="L209" s="312"/>
      <c r="M209" s="312"/>
      <c r="N209" s="312"/>
      <c r="O209" s="312"/>
      <c r="P209" s="433"/>
      <c r="Q209" s="48"/>
      <c r="R209" s="363"/>
      <c r="AE209" s="161">
        <v>40</v>
      </c>
      <c r="AF209" s="161">
        <v>11</v>
      </c>
      <c r="AG209" s="161">
        <v>11</v>
      </c>
      <c r="AH209" s="161">
        <v>11</v>
      </c>
      <c r="AI209" s="161">
        <v>12</v>
      </c>
      <c r="AJ209" s="363"/>
      <c r="AK209" s="162" t="s">
        <v>294</v>
      </c>
      <c r="AL209" s="161">
        <v>4</v>
      </c>
      <c r="AM209" s="161">
        <v>6</v>
      </c>
      <c r="AN209" s="161">
        <v>6</v>
      </c>
      <c r="AO209" s="161">
        <v>8</v>
      </c>
    </row>
    <row r="210" spans="1:41" s="247" customFormat="1" ht="11.45" customHeight="1" x14ac:dyDescent="0.2">
      <c r="A210" s="301"/>
      <c r="B210" s="312"/>
      <c r="C210" s="312"/>
      <c r="D210" s="312"/>
      <c r="E210" s="312"/>
      <c r="F210" s="312"/>
      <c r="G210" s="312"/>
      <c r="H210" s="312"/>
      <c r="I210" s="312"/>
      <c r="J210" s="312"/>
      <c r="K210" s="312"/>
      <c r="L210" s="312"/>
      <c r="M210" s="312"/>
      <c r="N210" s="312"/>
      <c r="O210" s="312"/>
      <c r="P210" s="433"/>
      <c r="Q210" s="48"/>
      <c r="R210" s="363"/>
      <c r="AE210" s="161">
        <v>45</v>
      </c>
      <c r="AF210" s="161">
        <v>11</v>
      </c>
      <c r="AG210" s="161">
        <v>11</v>
      </c>
      <c r="AH210" s="161">
        <v>11</v>
      </c>
      <c r="AI210" s="161">
        <v>12</v>
      </c>
      <c r="AJ210" s="363"/>
      <c r="AK210" s="161"/>
      <c r="AL210" s="161"/>
      <c r="AM210" s="161"/>
      <c r="AN210" s="161"/>
      <c r="AO210" s="161"/>
    </row>
    <row r="211" spans="1:41" s="247" customFormat="1" ht="11.45" customHeight="1" x14ac:dyDescent="0.2">
      <c r="A211" s="301"/>
      <c r="B211" s="312"/>
      <c r="C211" s="312"/>
      <c r="D211" s="312"/>
      <c r="E211" s="312"/>
      <c r="F211" s="312"/>
      <c r="G211" s="312"/>
      <c r="H211" s="312"/>
      <c r="I211" s="312"/>
      <c r="J211" s="312"/>
      <c r="K211" s="312"/>
      <c r="L211" s="312"/>
      <c r="M211" s="312"/>
      <c r="N211" s="312"/>
      <c r="O211" s="312"/>
      <c r="P211" s="433"/>
      <c r="Q211" s="48"/>
      <c r="R211" s="363"/>
      <c r="AE211" s="161">
        <v>50</v>
      </c>
      <c r="AF211" s="161">
        <v>11</v>
      </c>
      <c r="AG211" s="161">
        <v>11</v>
      </c>
      <c r="AH211" s="161">
        <v>12</v>
      </c>
      <c r="AI211" s="161">
        <v>12</v>
      </c>
      <c r="AJ211" s="363"/>
      <c r="AK211" s="161"/>
      <c r="AL211" s="161"/>
      <c r="AM211" s="161"/>
      <c r="AN211" s="161"/>
      <c r="AO211" s="161"/>
    </row>
    <row r="212" spans="1:41" s="247" customFormat="1" ht="11.45" customHeight="1" x14ac:dyDescent="0.2">
      <c r="A212" s="301"/>
      <c r="B212" s="312"/>
      <c r="C212" s="312"/>
      <c r="D212" s="312"/>
      <c r="E212" s="312"/>
      <c r="F212" s="312"/>
      <c r="G212" s="312"/>
      <c r="H212" s="312"/>
      <c r="I212" s="312"/>
      <c r="J212" s="312"/>
      <c r="K212" s="312"/>
      <c r="L212" s="312"/>
      <c r="M212" s="312"/>
      <c r="N212" s="312"/>
      <c r="O212" s="312"/>
      <c r="P212" s="433"/>
      <c r="Q212" s="48"/>
      <c r="R212" s="363"/>
      <c r="AE212" s="161">
        <v>55</v>
      </c>
      <c r="AF212" s="161">
        <v>11</v>
      </c>
      <c r="AG212" s="161">
        <v>11</v>
      </c>
      <c r="AH212" s="161">
        <v>12</v>
      </c>
      <c r="AI212" s="161">
        <v>12</v>
      </c>
      <c r="AJ212" s="363"/>
      <c r="AK212" s="161"/>
      <c r="AL212" s="161"/>
      <c r="AM212" s="161"/>
      <c r="AN212" s="161"/>
      <c r="AO212" s="161"/>
    </row>
    <row r="213" spans="1:41" s="247" customFormat="1" ht="11.45" customHeight="1" x14ac:dyDescent="0.2">
      <c r="A213" s="301"/>
      <c r="B213" s="312"/>
      <c r="C213" s="312"/>
      <c r="D213" s="312"/>
      <c r="E213" s="312"/>
      <c r="F213" s="312"/>
      <c r="G213" s="312"/>
      <c r="H213" s="312"/>
      <c r="I213" s="312"/>
      <c r="J213" s="312"/>
      <c r="K213" s="312"/>
      <c r="L213" s="312"/>
      <c r="M213" s="312"/>
      <c r="N213" s="312"/>
      <c r="O213" s="312"/>
      <c r="P213" s="433"/>
      <c r="Q213" s="48"/>
      <c r="R213" s="363"/>
      <c r="AE213" s="161">
        <v>60</v>
      </c>
      <c r="AF213" s="161">
        <v>12</v>
      </c>
      <c r="AG213" s="161">
        <v>12</v>
      </c>
      <c r="AH213" s="161">
        <v>12</v>
      </c>
      <c r="AI213" s="161">
        <v>12</v>
      </c>
      <c r="AJ213" s="363"/>
      <c r="AK213" s="161"/>
      <c r="AL213" s="161"/>
      <c r="AM213" s="161"/>
      <c r="AN213" s="161"/>
      <c r="AO213" s="161"/>
    </row>
    <row r="214" spans="1:41" s="247" customFormat="1" ht="11.45" customHeight="1" x14ac:dyDescent="0.2">
      <c r="A214" s="301"/>
      <c r="B214" s="312"/>
      <c r="C214" s="312"/>
      <c r="D214" s="312"/>
      <c r="E214" s="312"/>
      <c r="F214" s="312"/>
      <c r="G214" s="312"/>
      <c r="H214" s="312"/>
      <c r="I214" s="312"/>
      <c r="J214" s="312"/>
      <c r="K214" s="312"/>
      <c r="L214" s="312"/>
      <c r="M214" s="312"/>
      <c r="N214" s="312"/>
      <c r="O214" s="312"/>
      <c r="P214" s="433"/>
      <c r="Q214" s="48"/>
      <c r="R214" s="363"/>
      <c r="AE214" s="161">
        <v>65</v>
      </c>
      <c r="AF214" s="161">
        <v>12</v>
      </c>
      <c r="AG214" s="161">
        <v>12</v>
      </c>
      <c r="AH214" s="161">
        <v>12</v>
      </c>
      <c r="AI214" s="161">
        <v>12</v>
      </c>
      <c r="AJ214" s="363"/>
      <c r="AK214" s="161"/>
      <c r="AL214" s="161"/>
      <c r="AM214" s="161"/>
      <c r="AN214" s="161"/>
      <c r="AO214" s="161"/>
    </row>
    <row r="215" spans="1:41" s="247" customFormat="1" ht="11.45" customHeight="1" x14ac:dyDescent="0.2">
      <c r="A215" s="301"/>
      <c r="B215" s="312"/>
      <c r="C215" s="312"/>
      <c r="D215" s="312"/>
      <c r="E215" s="312"/>
      <c r="F215" s="312"/>
      <c r="G215" s="312"/>
      <c r="H215" s="312"/>
      <c r="I215" s="312"/>
      <c r="J215" s="312"/>
      <c r="K215" s="312"/>
      <c r="L215" s="312"/>
      <c r="M215" s="312"/>
      <c r="N215" s="312"/>
      <c r="O215" s="312"/>
      <c r="P215" s="433"/>
      <c r="Q215" s="48"/>
      <c r="R215" s="48"/>
      <c r="AE215" s="161">
        <v>70</v>
      </c>
      <c r="AF215" s="161">
        <v>12</v>
      </c>
      <c r="AG215" s="161">
        <v>12</v>
      </c>
      <c r="AH215" s="161">
        <v>12</v>
      </c>
      <c r="AI215" s="161">
        <v>12</v>
      </c>
      <c r="AJ215" s="363"/>
      <c r="AK215" s="161"/>
      <c r="AL215" s="161"/>
      <c r="AM215" s="161"/>
      <c r="AN215" s="161"/>
      <c r="AO215" s="161"/>
    </row>
    <row r="216" spans="1:41" s="247" customFormat="1" ht="11.45" customHeight="1" x14ac:dyDescent="0.2">
      <c r="A216" s="301"/>
      <c r="B216" s="312"/>
      <c r="C216" s="312"/>
      <c r="D216" s="312"/>
      <c r="E216" s="312"/>
      <c r="F216" s="312"/>
      <c r="G216" s="312"/>
      <c r="H216" s="312"/>
      <c r="I216" s="312"/>
      <c r="J216" s="312"/>
      <c r="K216" s="312"/>
      <c r="L216" s="312"/>
      <c r="M216" s="312"/>
      <c r="N216" s="312"/>
      <c r="O216" s="312"/>
      <c r="P216" s="433"/>
      <c r="Q216" s="48"/>
      <c r="R216" s="48"/>
      <c r="AE216" s="161">
        <v>75</v>
      </c>
      <c r="AF216" s="161">
        <v>12</v>
      </c>
      <c r="AG216" s="161">
        <v>12</v>
      </c>
      <c r="AH216" s="161">
        <v>12</v>
      </c>
      <c r="AI216" s="161">
        <v>12</v>
      </c>
      <c r="AJ216" s="363"/>
      <c r="AK216" s="161"/>
      <c r="AL216" s="161"/>
      <c r="AM216" s="161"/>
      <c r="AN216" s="161"/>
      <c r="AO216" s="161"/>
    </row>
    <row r="217" spans="1:41" s="247" customFormat="1" ht="11.45" customHeight="1" x14ac:dyDescent="0.2">
      <c r="A217" s="301"/>
      <c r="B217" s="312"/>
      <c r="C217" s="312"/>
      <c r="D217" s="312"/>
      <c r="E217" s="312"/>
      <c r="F217" s="312"/>
      <c r="G217" s="312"/>
      <c r="H217" s="312"/>
      <c r="I217" s="312"/>
      <c r="J217" s="312"/>
      <c r="K217" s="312"/>
      <c r="L217" s="312"/>
      <c r="M217" s="312"/>
      <c r="N217" s="312"/>
      <c r="O217" s="312"/>
      <c r="P217" s="433"/>
      <c r="Q217" s="48"/>
      <c r="R217" s="48"/>
    </row>
    <row r="218" spans="1:41" s="247" customFormat="1" ht="11.45" customHeight="1" x14ac:dyDescent="0.2">
      <c r="A218" s="301"/>
      <c r="B218" s="312"/>
      <c r="C218" s="312"/>
      <c r="D218" s="312"/>
      <c r="E218" s="312"/>
      <c r="F218" s="312"/>
      <c r="G218" s="312"/>
      <c r="H218" s="312"/>
      <c r="I218" s="312"/>
      <c r="J218" s="312"/>
      <c r="K218" s="312"/>
      <c r="L218" s="312"/>
      <c r="M218" s="312"/>
      <c r="N218" s="312"/>
      <c r="O218" s="312"/>
      <c r="P218" s="433"/>
      <c r="Q218" s="48"/>
      <c r="R218" s="48"/>
    </row>
  </sheetData>
  <sheetProtection algorithmName="SHA-512" hashValue="wGIlFxt5uvDfDHJejeRdkrV2AG4GY0hdD4CaGrI8MYgt17iqzFQvdzSKROsu8LuQoYxkVoS/rTbuN9Z0QXSsOw==" saltValue="oG1FzYy+1W1+/yLqcyXxeg==" spinCount="100000" sheet="1" selectLockedCells="1"/>
  <mergeCells count="12">
    <mergeCell ref="C189:D189"/>
    <mergeCell ref="F189:M190"/>
    <mergeCell ref="AK166:AM166"/>
    <mergeCell ref="AF176:AG176"/>
    <mergeCell ref="AK176:AN176"/>
    <mergeCell ref="AH185:AK185"/>
    <mergeCell ref="A98:A127"/>
    <mergeCell ref="G3:I3"/>
    <mergeCell ref="B13:B16"/>
    <mergeCell ref="AF166:AG166"/>
    <mergeCell ref="F177:M178"/>
    <mergeCell ref="C178:D178"/>
  </mergeCells>
  <conditionalFormatting sqref="J13:J14">
    <cfRule type="expression" dxfId="3" priority="5" stopIfTrue="1">
      <formula>ISERROR($I$9)</formula>
    </cfRule>
  </conditionalFormatting>
  <conditionalFormatting sqref="D13:D14">
    <cfRule type="expression" dxfId="2" priority="6" stopIfTrue="1">
      <formula>ISERROR($C$9)</formula>
    </cfRule>
  </conditionalFormatting>
  <conditionalFormatting sqref="O99:O100 J100 J27">
    <cfRule type="expression" dxfId="1" priority="7" stopIfTrue="1">
      <formula>ISERROR(#REF!)</formula>
    </cfRule>
  </conditionalFormatting>
  <conditionalFormatting sqref="E17:E26">
    <cfRule type="expression" dxfId="0" priority="8" stopIfTrue="1">
      <formula>ISERROR(#REF!)</formula>
    </cfRule>
  </conditionalFormatting>
  <hyperlinks>
    <hyperlink ref="C13" location="Bridge!A118" display="Bridges" xr:uid="{00000000-0004-0000-0300-000000000000}"/>
    <hyperlink ref="I13" location="Geometry!A93" display="Sht 4" xr:uid="{00000000-0004-0000-0300-000001000000}"/>
    <hyperlink ref="L33" location="Bridge!A182" display="Bridges" xr:uid="{00000000-0004-0000-0300-000002000000}"/>
  </hyperlinks>
  <pageMargins left="0.7" right="0.7" top="0.75" bottom="0.75" header="0.3" footer="0.3"/>
  <pageSetup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indexed="35"/>
  </sheetPr>
  <dimension ref="B1:K73"/>
  <sheetViews>
    <sheetView showGridLines="0" zoomScale="75" workbookViewId="0">
      <selection activeCell="D51" sqref="D51"/>
    </sheetView>
  </sheetViews>
  <sheetFormatPr defaultRowHeight="12.75" x14ac:dyDescent="0.2"/>
  <cols>
    <col min="1" max="1" width="5" style="1" customWidth="1"/>
    <col min="2" max="2" width="10.140625" style="1" customWidth="1"/>
    <col min="3" max="3" width="9.42578125" style="1" customWidth="1"/>
    <col min="4" max="4" width="8" style="1" customWidth="1"/>
    <col min="5" max="5" width="9.140625" style="1"/>
    <col min="6" max="6" width="8.140625" style="1" customWidth="1"/>
    <col min="7" max="7" width="8.28515625" style="1" customWidth="1"/>
    <col min="8" max="8" width="9.7109375" style="1" customWidth="1"/>
    <col min="9" max="11" width="9.140625" style="1"/>
    <col min="12" max="12" width="3.7109375" style="1" customWidth="1"/>
    <col min="13" max="16384" width="9.140625" style="1"/>
  </cols>
  <sheetData>
    <row r="1" spans="2:10" x14ac:dyDescent="0.2">
      <c r="C1" s="14"/>
      <c r="D1" s="504" t="s">
        <v>309</v>
      </c>
      <c r="E1" s="504"/>
      <c r="F1" s="504"/>
      <c r="G1" s="504"/>
    </row>
    <row r="2" spans="2:10" ht="12.75" customHeight="1" x14ac:dyDescent="0.2"/>
    <row r="3" spans="2:10" x14ac:dyDescent="0.2">
      <c r="B3" s="92"/>
      <c r="C3" s="93"/>
      <c r="D3" s="93"/>
      <c r="E3" s="93" t="s">
        <v>186</v>
      </c>
      <c r="F3" s="93"/>
      <c r="G3" s="93"/>
      <c r="H3" s="93"/>
      <c r="I3" s="94"/>
      <c r="J3" s="2"/>
    </row>
    <row r="4" spans="2:10" x14ac:dyDescent="0.2">
      <c r="B4" s="95"/>
      <c r="C4" s="96"/>
      <c r="D4" s="97"/>
      <c r="E4" s="97"/>
      <c r="F4" s="97"/>
      <c r="G4" s="97"/>
      <c r="H4" s="96"/>
      <c r="I4" s="98"/>
    </row>
    <row r="5" spans="2:10" x14ac:dyDescent="0.2">
      <c r="B5" s="99" t="s">
        <v>187</v>
      </c>
      <c r="C5" s="100"/>
      <c r="D5" s="101"/>
      <c r="E5" s="97"/>
      <c r="F5" s="97"/>
      <c r="G5" s="102" t="s">
        <v>190</v>
      </c>
      <c r="H5" s="100"/>
      <c r="I5" s="103"/>
    </row>
    <row r="6" spans="2:10" x14ac:dyDescent="0.2">
      <c r="B6" s="104" t="s">
        <v>299</v>
      </c>
      <c r="C6" s="96"/>
      <c r="D6" s="97"/>
      <c r="E6" s="97"/>
      <c r="F6" s="97"/>
      <c r="G6" s="105" t="s">
        <v>300</v>
      </c>
      <c r="H6" s="96"/>
      <c r="I6" s="98"/>
    </row>
    <row r="7" spans="2:10" x14ac:dyDescent="0.2">
      <c r="B7" s="99"/>
      <c r="C7" s="102" t="s">
        <v>274</v>
      </c>
      <c r="D7" s="106" t="s">
        <v>28</v>
      </c>
      <c r="E7" s="97"/>
      <c r="F7" s="97"/>
      <c r="G7" s="96"/>
      <c r="H7" s="102" t="s">
        <v>274</v>
      </c>
      <c r="I7" s="107" t="s">
        <v>28</v>
      </c>
    </row>
    <row r="8" spans="2:10" x14ac:dyDescent="0.2">
      <c r="B8" s="99" t="s">
        <v>191</v>
      </c>
      <c r="C8" s="13"/>
      <c r="D8" s="96" t="str">
        <f>IF(C8&lt;&gt;"",1,"")</f>
        <v/>
      </c>
      <c r="E8" s="108">
        <f>IF(D8&lt;&gt;"",1,0)</f>
        <v>0</v>
      </c>
      <c r="F8" s="97"/>
      <c r="G8" s="96" t="s">
        <v>192</v>
      </c>
      <c r="H8" s="13"/>
      <c r="I8" s="109" t="str">
        <f>IF(H8&lt;&gt;"",1,"")</f>
        <v/>
      </c>
      <c r="J8" s="11">
        <f>IF(I8&lt;&gt;"",1,0)</f>
        <v>0</v>
      </c>
    </row>
    <row r="9" spans="2:10" x14ac:dyDescent="0.2">
      <c r="B9" s="99" t="s">
        <v>193</v>
      </c>
      <c r="C9" s="163"/>
      <c r="D9" s="96" t="str">
        <f>IF(C9&lt;&gt;"",2,"")</f>
        <v/>
      </c>
      <c r="E9" s="108">
        <f>IF(D9&lt;&gt;"",1,0)</f>
        <v>0</v>
      </c>
      <c r="F9" s="97"/>
      <c r="G9" s="96" t="s">
        <v>194</v>
      </c>
      <c r="H9" s="13"/>
      <c r="I9" s="109" t="str">
        <f>IF(H9&lt;&gt;"",2,"")</f>
        <v/>
      </c>
      <c r="J9" s="11">
        <f>IF(I9&lt;&gt;"",1,0)</f>
        <v>0</v>
      </c>
    </row>
    <row r="10" spans="2:10" x14ac:dyDescent="0.2">
      <c r="B10" s="99" t="s">
        <v>195</v>
      </c>
      <c r="C10" s="13"/>
      <c r="D10" s="9" t="str">
        <f>IF(C10&lt;&gt;"",3,"")</f>
        <v/>
      </c>
      <c r="E10" s="108">
        <f>IF(D10&lt;&gt;"",1,0)</f>
        <v>0</v>
      </c>
      <c r="F10" s="97"/>
      <c r="G10" s="96" t="s">
        <v>193</v>
      </c>
      <c r="H10" s="163"/>
      <c r="I10" s="109" t="str">
        <f>IF(H10&lt;&gt;"",3,"")</f>
        <v/>
      </c>
      <c r="J10" s="11">
        <f>IF(I10&lt;&gt;"",1,0)</f>
        <v>0</v>
      </c>
    </row>
    <row r="11" spans="2:10" x14ac:dyDescent="0.2">
      <c r="B11" s="95"/>
      <c r="C11" s="97"/>
      <c r="D11" s="96"/>
      <c r="E11" s="108">
        <f>SUM(E8:E10)</f>
        <v>0</v>
      </c>
      <c r="F11" s="97"/>
      <c r="G11" s="96" t="s">
        <v>195</v>
      </c>
      <c r="H11" s="15"/>
      <c r="I11" s="110" t="str">
        <f>IF(H11&lt;&gt;"",4,"")</f>
        <v/>
      </c>
      <c r="J11" s="11">
        <f>IF(I11&lt;&gt;"",1,0)</f>
        <v>0</v>
      </c>
    </row>
    <row r="12" spans="2:10" x14ac:dyDescent="0.2">
      <c r="B12" s="95"/>
      <c r="C12" s="111" t="s">
        <v>275</v>
      </c>
      <c r="D12" s="10">
        <f>IF(E11&gt;1,0,SUM(D8:D10))</f>
        <v>0</v>
      </c>
      <c r="E12" s="97"/>
      <c r="F12" s="97"/>
      <c r="G12" s="111" t="s">
        <v>276</v>
      </c>
      <c r="H12" s="10">
        <f>IF(J12&gt;1,0,SUM(I8:I11))</f>
        <v>0</v>
      </c>
      <c r="I12" s="109"/>
      <c r="J12" s="11">
        <f>SUM(J8:J11)</f>
        <v>0</v>
      </c>
    </row>
    <row r="13" spans="2:10" x14ac:dyDescent="0.2">
      <c r="B13" s="112"/>
      <c r="C13" s="113"/>
      <c r="D13" s="113"/>
      <c r="E13" s="113"/>
      <c r="F13" s="113"/>
      <c r="G13" s="113"/>
      <c r="H13" s="113"/>
      <c r="I13" s="114"/>
    </row>
    <row r="15" spans="2:10" x14ac:dyDescent="0.2">
      <c r="C15" s="2"/>
      <c r="E15" s="2"/>
      <c r="F15" s="2"/>
      <c r="G15" s="2"/>
      <c r="H15" s="2"/>
      <c r="I15" s="2"/>
      <c r="J15" s="2"/>
    </row>
    <row r="16" spans="2:10" x14ac:dyDescent="0.2">
      <c r="B16" s="92"/>
      <c r="C16" s="115"/>
      <c r="D16" s="93" t="s">
        <v>196</v>
      </c>
      <c r="E16" s="115"/>
      <c r="F16" s="116"/>
    </row>
    <row r="17" spans="2:9" x14ac:dyDescent="0.2">
      <c r="B17" s="95"/>
      <c r="C17" s="97"/>
      <c r="D17" s="100"/>
      <c r="E17" s="101"/>
      <c r="F17" s="98"/>
    </row>
    <row r="18" spans="2:9" x14ac:dyDescent="0.2">
      <c r="B18" s="95"/>
      <c r="C18" s="97"/>
      <c r="D18" s="102" t="s">
        <v>274</v>
      </c>
      <c r="E18" s="106" t="s">
        <v>28</v>
      </c>
      <c r="F18" s="98"/>
    </row>
    <row r="19" spans="2:9" x14ac:dyDescent="0.2">
      <c r="B19" s="117" t="s">
        <v>197</v>
      </c>
      <c r="C19" s="97"/>
      <c r="D19" s="12"/>
      <c r="E19" s="96" t="str">
        <f>IF(D19&lt;&gt;"",1,"")</f>
        <v/>
      </c>
      <c r="F19" s="118">
        <f>IF(E19&lt;&gt;"",1,0)</f>
        <v>0</v>
      </c>
    </row>
    <row r="20" spans="2:9" x14ac:dyDescent="0.2">
      <c r="B20" s="117" t="s">
        <v>198</v>
      </c>
      <c r="C20" s="97"/>
      <c r="D20" s="163"/>
      <c r="E20" s="96" t="str">
        <f>IF(D20&lt;&gt;"",2,"")</f>
        <v/>
      </c>
      <c r="F20" s="118">
        <f>IF(E20&lt;&gt;"",1,0)</f>
        <v>0</v>
      </c>
    </row>
    <row r="21" spans="2:9" x14ac:dyDescent="0.2">
      <c r="B21" s="117" t="s">
        <v>199</v>
      </c>
      <c r="C21" s="97"/>
      <c r="D21" s="13"/>
      <c r="E21" s="96" t="str">
        <f>IF(D21&lt;&gt;"",4,"")</f>
        <v/>
      </c>
      <c r="F21" s="118">
        <f>IF(E21&lt;&gt;"",1,0)</f>
        <v>0</v>
      </c>
    </row>
    <row r="22" spans="2:9" x14ac:dyDescent="0.2">
      <c r="B22" s="117" t="s">
        <v>200</v>
      </c>
      <c r="C22" s="97"/>
      <c r="D22" s="163"/>
      <c r="E22" s="9" t="str">
        <f>IF(D22&lt;&gt;"",6,"")</f>
        <v/>
      </c>
      <c r="F22" s="118">
        <f>IF(E22&lt;&gt;"",1,0)</f>
        <v>0</v>
      </c>
    </row>
    <row r="23" spans="2:9" x14ac:dyDescent="0.2">
      <c r="B23" s="117" t="s">
        <v>201</v>
      </c>
      <c r="C23" s="97"/>
      <c r="D23" s="13"/>
      <c r="E23" s="9" t="str">
        <f>IF(D23&lt;&gt;"",7,"")</f>
        <v/>
      </c>
      <c r="F23" s="118">
        <f>IF(E23&lt;&gt;"",1,0)</f>
        <v>0</v>
      </c>
    </row>
    <row r="24" spans="2:9" x14ac:dyDescent="0.2">
      <c r="B24" s="95"/>
      <c r="C24" s="97"/>
      <c r="D24" s="97"/>
      <c r="E24" s="97"/>
      <c r="F24" s="118">
        <f>SUM(F19:F23)</f>
        <v>0</v>
      </c>
    </row>
    <row r="25" spans="2:9" x14ac:dyDescent="0.2">
      <c r="B25" s="95"/>
      <c r="C25" s="97"/>
      <c r="D25" s="102" t="s">
        <v>202</v>
      </c>
      <c r="E25" s="10">
        <f>IF(F24&gt;1,0,SUM(E19:E23))</f>
        <v>0</v>
      </c>
      <c r="F25" s="98"/>
    </row>
    <row r="26" spans="2:9" x14ac:dyDescent="0.2">
      <c r="B26" s="112"/>
      <c r="C26" s="113"/>
      <c r="D26" s="113"/>
      <c r="E26" s="113"/>
      <c r="F26" s="114"/>
    </row>
    <row r="28" spans="2:9" x14ac:dyDescent="0.2">
      <c r="B28" s="92"/>
      <c r="C28" s="93"/>
      <c r="D28" s="93" t="s">
        <v>203</v>
      </c>
      <c r="E28" s="93"/>
      <c r="F28" s="93"/>
      <c r="G28" s="93"/>
      <c r="H28" s="94"/>
    </row>
    <row r="29" spans="2:9" x14ac:dyDescent="0.2">
      <c r="B29" s="95"/>
      <c r="C29" s="97"/>
      <c r="D29" s="97"/>
      <c r="E29" s="97"/>
      <c r="F29" s="96"/>
      <c r="G29" s="97"/>
      <c r="H29" s="98"/>
    </row>
    <row r="30" spans="2:9" x14ac:dyDescent="0.2">
      <c r="B30" s="95"/>
      <c r="C30" s="97"/>
      <c r="D30" s="97"/>
      <c r="E30" s="97"/>
      <c r="F30" s="100"/>
      <c r="G30" s="101"/>
      <c r="H30" s="98"/>
    </row>
    <row r="31" spans="2:9" x14ac:dyDescent="0.2">
      <c r="B31" s="95"/>
      <c r="C31" s="97"/>
      <c r="D31" s="97"/>
      <c r="E31" s="97"/>
      <c r="F31" s="96"/>
      <c r="G31" s="102" t="s">
        <v>274</v>
      </c>
      <c r="H31" s="107" t="s">
        <v>28</v>
      </c>
    </row>
    <row r="32" spans="2:9" x14ac:dyDescent="0.2">
      <c r="B32" s="95" t="s">
        <v>204</v>
      </c>
      <c r="C32" s="97"/>
      <c r="D32" s="97"/>
      <c r="E32" s="97"/>
      <c r="F32" s="96">
        <v>1</v>
      </c>
      <c r="G32" s="13"/>
      <c r="H32" s="109" t="str">
        <f>IF(G32&lt;&gt;"",1,"")</f>
        <v/>
      </c>
      <c r="I32" s="11">
        <f>IF(H32&lt;&gt;"",1,0)</f>
        <v>0</v>
      </c>
    </row>
    <row r="33" spans="2:11" x14ac:dyDescent="0.2">
      <c r="B33" s="95" t="s">
        <v>205</v>
      </c>
      <c r="C33" s="97"/>
      <c r="D33" s="97"/>
      <c r="E33" s="97"/>
      <c r="F33" s="96">
        <v>2</v>
      </c>
      <c r="G33" s="13"/>
      <c r="H33" s="109" t="str">
        <f>IF(G33&lt;&gt;"",2,"")</f>
        <v/>
      </c>
      <c r="I33" s="11">
        <f t="shared" ref="I33:I38" si="0">IF(H33&lt;&gt;"",1,0)</f>
        <v>0</v>
      </c>
    </row>
    <row r="34" spans="2:11" x14ac:dyDescent="0.2">
      <c r="B34" s="95" t="s">
        <v>206</v>
      </c>
      <c r="C34" s="97"/>
      <c r="D34" s="97"/>
      <c r="E34" s="97"/>
      <c r="F34" s="96">
        <v>3</v>
      </c>
      <c r="G34" s="13"/>
      <c r="H34" s="109" t="str">
        <f>IF(G34&lt;&gt;"",3,"")</f>
        <v/>
      </c>
      <c r="I34" s="11">
        <f t="shared" si="0"/>
        <v>0</v>
      </c>
    </row>
    <row r="35" spans="2:11" x14ac:dyDescent="0.2">
      <c r="B35" s="95" t="s">
        <v>207</v>
      </c>
      <c r="C35" s="97"/>
      <c r="D35" s="97"/>
      <c r="E35" s="97"/>
      <c r="F35" s="96">
        <v>4</v>
      </c>
      <c r="G35" s="13"/>
      <c r="H35" s="110" t="str">
        <f>IF(G35&lt;&gt;"",4,"")</f>
        <v/>
      </c>
      <c r="I35" s="11">
        <f t="shared" si="0"/>
        <v>0</v>
      </c>
    </row>
    <row r="36" spans="2:11" x14ac:dyDescent="0.2">
      <c r="B36" s="95" t="s">
        <v>208</v>
      </c>
      <c r="C36" s="97"/>
      <c r="D36" s="97"/>
      <c r="E36" s="97"/>
      <c r="F36" s="96">
        <v>5</v>
      </c>
      <c r="G36" s="13"/>
      <c r="H36" s="110" t="str">
        <f>IF(G36&lt;&gt;"",5,"")</f>
        <v/>
      </c>
      <c r="I36" s="11">
        <f t="shared" si="0"/>
        <v>0</v>
      </c>
    </row>
    <row r="37" spans="2:11" x14ac:dyDescent="0.2">
      <c r="B37" s="119" t="s">
        <v>209</v>
      </c>
      <c r="C37" s="97"/>
      <c r="D37" s="97"/>
      <c r="E37" s="97"/>
      <c r="F37" s="96">
        <v>6</v>
      </c>
      <c r="G37" s="13"/>
      <c r="H37" s="110" t="str">
        <f>IF(G37&lt;&gt;"",6,"")</f>
        <v/>
      </c>
      <c r="I37" s="11">
        <f t="shared" si="0"/>
        <v>0</v>
      </c>
    </row>
    <row r="38" spans="2:11" x14ac:dyDescent="0.2">
      <c r="B38" s="119" t="s">
        <v>210</v>
      </c>
      <c r="C38" s="97"/>
      <c r="D38" s="97"/>
      <c r="E38" s="97"/>
      <c r="F38" s="96">
        <v>7</v>
      </c>
      <c r="G38" s="163"/>
      <c r="H38" s="110" t="str">
        <f>IF(G38&lt;&gt;"",7,"")</f>
        <v/>
      </c>
      <c r="I38" s="11">
        <f t="shared" si="0"/>
        <v>0</v>
      </c>
    </row>
    <row r="39" spans="2:11" x14ac:dyDescent="0.2">
      <c r="B39" s="95"/>
      <c r="C39" s="97"/>
      <c r="D39" s="97"/>
      <c r="E39" s="97"/>
      <c r="F39" s="97"/>
      <c r="G39" s="96"/>
      <c r="H39" s="109"/>
      <c r="I39" s="11">
        <f>SUM(I32:I38)</f>
        <v>0</v>
      </c>
    </row>
    <row r="40" spans="2:11" x14ac:dyDescent="0.2">
      <c r="B40" s="95"/>
      <c r="C40" s="97"/>
      <c r="D40" s="97"/>
      <c r="E40" s="97"/>
      <c r="F40" s="102" t="s">
        <v>211</v>
      </c>
      <c r="G40" s="10">
        <f>IF(I39&gt;1,0,SUM(H32:H38))</f>
        <v>0</v>
      </c>
      <c r="H40" s="109"/>
    </row>
    <row r="41" spans="2:11" x14ac:dyDescent="0.2">
      <c r="B41" s="112"/>
      <c r="C41" s="113"/>
      <c r="D41" s="113"/>
      <c r="E41" s="113"/>
      <c r="F41" s="113"/>
      <c r="G41" s="113"/>
      <c r="H41" s="114"/>
    </row>
    <row r="43" spans="2:11" x14ac:dyDescent="0.2">
      <c r="B43" s="120"/>
      <c r="C43" s="93" t="s">
        <v>60</v>
      </c>
      <c r="D43" s="93"/>
      <c r="E43" s="116"/>
      <c r="G43" s="120"/>
      <c r="H43" s="93" t="s">
        <v>59</v>
      </c>
      <c r="I43" s="93"/>
      <c r="J43" s="116"/>
    </row>
    <row r="44" spans="2:11" x14ac:dyDescent="0.2">
      <c r="B44" s="95"/>
      <c r="C44" s="96" t="s">
        <v>188</v>
      </c>
      <c r="D44" s="97" t="s">
        <v>189</v>
      </c>
      <c r="E44" s="98"/>
      <c r="G44" s="99" t="s">
        <v>212</v>
      </c>
      <c r="H44" s="96" t="s">
        <v>188</v>
      </c>
      <c r="I44" s="97" t="s">
        <v>189</v>
      </c>
      <c r="J44" s="98"/>
    </row>
    <row r="45" spans="2:11" x14ac:dyDescent="0.2">
      <c r="B45" s="99" t="s">
        <v>213</v>
      </c>
      <c r="C45" s="100" t="s">
        <v>28</v>
      </c>
      <c r="D45" s="101" t="s">
        <v>28</v>
      </c>
      <c r="E45" s="98"/>
      <c r="G45" s="99" t="s">
        <v>214</v>
      </c>
      <c r="H45" s="100" t="s">
        <v>28</v>
      </c>
      <c r="I45" s="101" t="s">
        <v>28</v>
      </c>
      <c r="J45" s="98"/>
    </row>
    <row r="46" spans="2:11" x14ac:dyDescent="0.2">
      <c r="B46" s="121" t="s">
        <v>215</v>
      </c>
      <c r="C46" s="96"/>
      <c r="D46" s="102" t="s">
        <v>274</v>
      </c>
      <c r="E46" s="107" t="s">
        <v>28</v>
      </c>
      <c r="G46" s="121" t="s">
        <v>216</v>
      </c>
      <c r="H46" s="96"/>
      <c r="I46" s="102" t="s">
        <v>274</v>
      </c>
      <c r="J46" s="107" t="s">
        <v>28</v>
      </c>
    </row>
    <row r="47" spans="2:11" x14ac:dyDescent="0.2">
      <c r="B47" s="99">
        <v>1</v>
      </c>
      <c r="C47" s="96">
        <v>1</v>
      </c>
      <c r="D47" s="13"/>
      <c r="E47" s="122" t="str">
        <f>IF(D47&lt;&gt;"",1,"")</f>
        <v/>
      </c>
      <c r="F47" s="11">
        <f>IF(E47&lt;&gt;"",1,0)</f>
        <v>0</v>
      </c>
      <c r="G47" s="99" t="s">
        <v>217</v>
      </c>
      <c r="H47" s="96">
        <v>1</v>
      </c>
      <c r="I47" s="12"/>
      <c r="J47" s="109" t="str">
        <f>IF(I47&lt;&gt;"",1,"")</f>
        <v/>
      </c>
      <c r="K47" s="11">
        <f>IF(J47&lt;&gt;"",1,0)</f>
        <v>0</v>
      </c>
    </row>
    <row r="48" spans="2:11" x14ac:dyDescent="0.2">
      <c r="B48" s="99">
        <v>2</v>
      </c>
      <c r="C48" s="96">
        <v>2</v>
      </c>
      <c r="D48" s="13"/>
      <c r="E48" s="123" t="str">
        <f>IF(D48&lt;&gt;"",2,"")</f>
        <v/>
      </c>
      <c r="F48" s="11">
        <f>IF(E48&lt;&gt;"",1,0)</f>
        <v>0</v>
      </c>
      <c r="G48" s="124" t="s">
        <v>218</v>
      </c>
      <c r="H48" s="96">
        <v>2</v>
      </c>
      <c r="I48" s="13"/>
      <c r="J48" s="110" t="str">
        <f>IF(I48&lt;&gt;"",2,"")</f>
        <v/>
      </c>
      <c r="K48" s="11">
        <f>IF(J48&lt;&gt;"",1,0)</f>
        <v>0</v>
      </c>
    </row>
    <row r="49" spans="2:11" x14ac:dyDescent="0.2">
      <c r="B49" s="99">
        <v>3</v>
      </c>
      <c r="C49" s="96">
        <v>3</v>
      </c>
      <c r="D49" s="13"/>
      <c r="E49" s="123" t="str">
        <f>IF(D49&lt;&gt;"",3,"")</f>
        <v/>
      </c>
      <c r="F49" s="11">
        <f>IF(E49&lt;&gt;"",1,0)</f>
        <v>0</v>
      </c>
      <c r="G49" s="125" t="s">
        <v>219</v>
      </c>
      <c r="H49" s="96">
        <v>3</v>
      </c>
      <c r="I49" s="13"/>
      <c r="J49" s="110" t="str">
        <f>IF(I49&lt;&gt;"",3,"")</f>
        <v/>
      </c>
      <c r="K49" s="11">
        <f>IF(J49&lt;&gt;"",1,0)</f>
        <v>0</v>
      </c>
    </row>
    <row r="50" spans="2:11" x14ac:dyDescent="0.2">
      <c r="B50" s="99">
        <v>4</v>
      </c>
      <c r="C50" s="96">
        <v>4</v>
      </c>
      <c r="D50" s="12"/>
      <c r="E50" s="123" t="str">
        <f>IF(D50&lt;&gt;"",4,"")</f>
        <v/>
      </c>
      <c r="F50" s="11">
        <f>IF(E50&lt;&gt;"",1,0)</f>
        <v>0</v>
      </c>
      <c r="G50" s="125" t="s">
        <v>220</v>
      </c>
      <c r="H50" s="96">
        <v>4</v>
      </c>
      <c r="I50" s="13"/>
      <c r="J50" s="110" t="str">
        <f>IF(I50&lt;&gt;"",4,"")</f>
        <v/>
      </c>
      <c r="K50" s="11">
        <f>IF(J50&lt;&gt;"",1,0)</f>
        <v>0</v>
      </c>
    </row>
    <row r="51" spans="2:11" x14ac:dyDescent="0.2">
      <c r="B51" s="99">
        <v>5</v>
      </c>
      <c r="C51" s="96">
        <v>5</v>
      </c>
      <c r="D51" s="163"/>
      <c r="E51" s="123" t="str">
        <f>IF(D51&lt;&gt;"",5,"")</f>
        <v/>
      </c>
      <c r="F51" s="11">
        <f>IF(E51&lt;&gt;"",1,0)</f>
        <v>0</v>
      </c>
      <c r="G51" s="99" t="s">
        <v>112</v>
      </c>
      <c r="H51" s="96">
        <v>5</v>
      </c>
      <c r="I51" s="163"/>
      <c r="J51" s="110" t="str">
        <f>IF(I51&lt;&gt;"",5,"")</f>
        <v/>
      </c>
      <c r="K51" s="11">
        <f>IF(J51&lt;&gt;"",1,0)</f>
        <v>0</v>
      </c>
    </row>
    <row r="52" spans="2:11" x14ac:dyDescent="0.2">
      <c r="B52" s="95"/>
      <c r="C52" s="97"/>
      <c r="D52" s="97"/>
      <c r="E52" s="118"/>
      <c r="F52" s="11">
        <f>SUM(F45:F51)</f>
        <v>0</v>
      </c>
      <c r="G52" s="95"/>
      <c r="H52" s="97"/>
      <c r="I52" s="97"/>
      <c r="J52" s="109"/>
      <c r="K52" s="11">
        <f>SUM(K45:K51)</f>
        <v>0</v>
      </c>
    </row>
    <row r="53" spans="2:11" x14ac:dyDescent="0.2">
      <c r="B53" s="95"/>
      <c r="C53" s="102" t="s">
        <v>221</v>
      </c>
      <c r="D53" s="10">
        <f>IF(F52&gt;1,0,SUM(E47:E51))</f>
        <v>0</v>
      </c>
      <c r="E53" s="98"/>
      <c r="G53" s="126" t="s">
        <v>222</v>
      </c>
      <c r="H53" s="97"/>
      <c r="I53" s="97"/>
      <c r="J53" s="98"/>
    </row>
    <row r="54" spans="2:11" x14ac:dyDescent="0.2">
      <c r="B54" s="112"/>
      <c r="C54" s="113"/>
      <c r="D54" s="113"/>
      <c r="E54" s="114"/>
      <c r="G54" s="95"/>
      <c r="H54" s="97"/>
      <c r="I54" s="97"/>
      <c r="J54" s="98"/>
    </row>
    <row r="55" spans="2:11" x14ac:dyDescent="0.2">
      <c r="G55" s="95"/>
      <c r="H55" s="102" t="s">
        <v>223</v>
      </c>
      <c r="I55" s="10">
        <f>IF(K52&gt;1,0,SUM(J47:J51))</f>
        <v>0</v>
      </c>
      <c r="J55" s="98"/>
    </row>
    <row r="56" spans="2:11" x14ac:dyDescent="0.2">
      <c r="G56" s="112"/>
      <c r="H56" s="113"/>
      <c r="I56" s="113"/>
      <c r="J56" s="114"/>
    </row>
    <row r="58" spans="2:11" x14ac:dyDescent="0.2">
      <c r="J58" s="3" t="s">
        <v>240</v>
      </c>
      <c r="K58" s="4">
        <f>MIN(25,(SUM(D12,H12,E25,G40,I55,D53)))</f>
        <v>0</v>
      </c>
    </row>
    <row r="59" spans="2:11" x14ac:dyDescent="0.2">
      <c r="F59" s="2"/>
      <c r="G59" s="2"/>
      <c r="H59" s="2"/>
      <c r="I59" s="2" t="s">
        <v>398</v>
      </c>
      <c r="J59" s="2"/>
    </row>
    <row r="73" spans="6:10" x14ac:dyDescent="0.2">
      <c r="F73" s="2"/>
      <c r="G73" s="2"/>
      <c r="H73" s="2"/>
      <c r="I73" s="2"/>
      <c r="J73" s="2"/>
    </row>
  </sheetData>
  <sheetProtection algorithmName="SHA-512" hashValue="9W8RHqUb/j9aZILbbTCi5cbPcMWsJhI0ACxqEym0r0ocjFbIIMdiWiZtzIgeNu13Uu+UCFgsn0gDKqX1BNbPpQ==" saltValue="blXRrUp/2rY1/4npBd9Etw==" spinCount="100000" sheet="1" selectLockedCells="1"/>
  <mergeCells count="1">
    <mergeCell ref="D1:G1"/>
  </mergeCells>
  <phoneticPr fontId="14" type="noConversion"/>
  <pageMargins left="0.55000000000000004" right="0.45" top="0.53" bottom="0.5" header="0.32" footer="0.27"/>
  <pageSetup orientation="portrait" r:id="rId1"/>
  <headerFooter alignWithMargins="0">
    <oddFooter>&amp;L&amp;f&amp;R7/14/04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8"/>
  <sheetViews>
    <sheetView topLeftCell="A11" workbookViewId="0">
      <selection activeCell="A44" sqref="A44:E44"/>
    </sheetView>
  </sheetViews>
  <sheetFormatPr defaultRowHeight="15" x14ac:dyDescent="0.2"/>
  <cols>
    <col min="1" max="1" width="3.28515625" style="5" customWidth="1"/>
    <col min="2" max="2" width="12" style="5" customWidth="1"/>
    <col min="3" max="3" width="3.7109375" style="5" customWidth="1"/>
    <col min="4" max="4" width="4.140625" style="5" customWidth="1"/>
    <col min="5" max="11" width="9.140625" style="5"/>
    <col min="12" max="12" width="3.28515625" style="5" customWidth="1"/>
    <col min="13" max="16384" width="9.140625" style="5"/>
  </cols>
  <sheetData>
    <row r="1" spans="1:12" ht="18.75" x14ac:dyDescent="0.3">
      <c r="A1" s="505" t="s">
        <v>242</v>
      </c>
      <c r="B1" s="505"/>
      <c r="C1" s="505"/>
      <c r="D1" s="505"/>
      <c r="E1" s="505"/>
      <c r="F1" s="505"/>
      <c r="G1" s="505"/>
      <c r="H1" s="505"/>
      <c r="I1" s="505"/>
      <c r="J1" s="505"/>
      <c r="K1" s="505"/>
      <c r="L1" s="505"/>
    </row>
    <row r="2" spans="1:12" ht="18.75" x14ac:dyDescent="0.3">
      <c r="A2" s="505" t="s">
        <v>243</v>
      </c>
      <c r="B2" s="505"/>
      <c r="C2" s="505"/>
      <c r="D2" s="505"/>
      <c r="E2" s="505"/>
      <c r="F2" s="505"/>
      <c r="G2" s="505"/>
      <c r="H2" s="505"/>
      <c r="I2" s="505"/>
      <c r="J2" s="505"/>
      <c r="K2" s="505"/>
      <c r="L2" s="505"/>
    </row>
    <row r="3" spans="1:12" ht="18.75" customHeight="1" x14ac:dyDescent="0.25">
      <c r="A3" s="506" t="s">
        <v>244</v>
      </c>
      <c r="B3" s="506"/>
      <c r="C3" s="506"/>
      <c r="D3" s="506"/>
      <c r="E3" s="506"/>
      <c r="F3" s="506"/>
      <c r="G3" s="506"/>
      <c r="H3" s="506"/>
      <c r="I3" s="506"/>
      <c r="J3" s="506"/>
      <c r="K3" s="506"/>
      <c r="L3" s="506"/>
    </row>
    <row r="7" spans="1:12" x14ac:dyDescent="0.2">
      <c r="A7" s="5" t="s">
        <v>245</v>
      </c>
      <c r="D7" s="507"/>
      <c r="E7" s="507"/>
      <c r="F7" s="507"/>
    </row>
    <row r="8" spans="1:12" x14ac:dyDescent="0.2">
      <c r="A8" s="5" t="s">
        <v>246</v>
      </c>
      <c r="D8" s="507"/>
      <c r="E8" s="507"/>
      <c r="F8" s="507"/>
      <c r="G8" s="507"/>
      <c r="H8" s="507"/>
    </row>
    <row r="9" spans="1:12" x14ac:dyDescent="0.2">
      <c r="A9" s="5" t="s">
        <v>247</v>
      </c>
      <c r="D9" s="510"/>
      <c r="E9" s="510"/>
      <c r="F9" s="510"/>
    </row>
    <row r="13" spans="1:12" x14ac:dyDescent="0.2">
      <c r="A13" s="5" t="s">
        <v>248</v>
      </c>
    </row>
    <row r="14" spans="1:12" x14ac:dyDescent="0.2">
      <c r="A14" s="5" t="s">
        <v>249</v>
      </c>
      <c r="E14" s="511"/>
      <c r="F14" s="511"/>
      <c r="G14" s="5" t="s">
        <v>250</v>
      </c>
    </row>
    <row r="15" spans="1:12" x14ac:dyDescent="0.2">
      <c r="A15" s="5" t="s">
        <v>251</v>
      </c>
    </row>
    <row r="17" spans="1:2" x14ac:dyDescent="0.2">
      <c r="A17" s="5" t="s">
        <v>252</v>
      </c>
    </row>
    <row r="18" spans="1:2" x14ac:dyDescent="0.2">
      <c r="A18" s="5" t="s">
        <v>253</v>
      </c>
    </row>
    <row r="20" spans="1:2" x14ac:dyDescent="0.2">
      <c r="B20" s="5" t="s">
        <v>254</v>
      </c>
    </row>
    <row r="21" spans="1:2" x14ac:dyDescent="0.2">
      <c r="B21" s="5" t="s">
        <v>255</v>
      </c>
    </row>
    <row r="22" spans="1:2" x14ac:dyDescent="0.2">
      <c r="B22" s="5" t="s">
        <v>256</v>
      </c>
    </row>
    <row r="23" spans="1:2" x14ac:dyDescent="0.2">
      <c r="B23" s="5" t="s">
        <v>257</v>
      </c>
    </row>
    <row r="24" spans="1:2" x14ac:dyDescent="0.2">
      <c r="B24" s="5" t="s">
        <v>258</v>
      </c>
    </row>
    <row r="25" spans="1:2" x14ac:dyDescent="0.2">
      <c r="B25" s="5" t="s">
        <v>259</v>
      </c>
    </row>
    <row r="27" spans="1:2" x14ac:dyDescent="0.2">
      <c r="A27" s="5" t="s">
        <v>260</v>
      </c>
    </row>
    <row r="29" spans="1:2" x14ac:dyDescent="0.2">
      <c r="B29" s="5" t="s">
        <v>261</v>
      </c>
    </row>
    <row r="30" spans="1:2" x14ac:dyDescent="0.2">
      <c r="B30" s="5" t="s">
        <v>262</v>
      </c>
    </row>
    <row r="31" spans="1:2" x14ac:dyDescent="0.2">
      <c r="B31" s="5" t="s">
        <v>263</v>
      </c>
    </row>
    <row r="32" spans="1:2" x14ac:dyDescent="0.2">
      <c r="B32" s="5" t="s">
        <v>264</v>
      </c>
    </row>
    <row r="33" spans="1:12" x14ac:dyDescent="0.2">
      <c r="B33" s="5" t="s">
        <v>265</v>
      </c>
    </row>
    <row r="34" spans="1:12" x14ac:dyDescent="0.2">
      <c r="B34" s="5" t="s">
        <v>266</v>
      </c>
    </row>
    <row r="35" spans="1:12" x14ac:dyDescent="0.2">
      <c r="B35" s="5" t="s">
        <v>267</v>
      </c>
    </row>
    <row r="37" spans="1:12" x14ac:dyDescent="0.2">
      <c r="A37" s="6" t="s">
        <v>268</v>
      </c>
      <c r="B37" s="7"/>
      <c r="C37" s="7"/>
      <c r="D37" s="7"/>
      <c r="E37" s="7"/>
      <c r="F37" s="7"/>
      <c r="G37" s="7"/>
      <c r="H37" s="7"/>
      <c r="I37" s="7"/>
      <c r="J37" s="7"/>
      <c r="K37" s="7"/>
      <c r="L37" s="7"/>
    </row>
    <row r="38" spans="1:12" x14ac:dyDescent="0.2">
      <c r="A38" s="6" t="s">
        <v>269</v>
      </c>
      <c r="B38" s="7"/>
      <c r="C38" s="7"/>
      <c r="D38" s="7"/>
      <c r="E38" s="7"/>
      <c r="F38" s="7"/>
      <c r="G38" s="7"/>
      <c r="H38" s="7"/>
      <c r="I38" s="7"/>
      <c r="J38" s="7"/>
      <c r="K38" s="7"/>
      <c r="L38" s="7"/>
    </row>
    <row r="39" spans="1:12" x14ac:dyDescent="0.2">
      <c r="A39" s="6" t="s">
        <v>270</v>
      </c>
      <c r="B39" s="7"/>
      <c r="C39" s="7"/>
      <c r="D39" s="7"/>
      <c r="E39" s="7"/>
      <c r="F39" s="7"/>
      <c r="G39" s="7"/>
      <c r="H39" s="7"/>
      <c r="I39" s="7"/>
      <c r="J39" s="7"/>
      <c r="K39" s="7"/>
      <c r="L39" s="7"/>
    </row>
    <row r="44" spans="1:12" x14ac:dyDescent="0.2">
      <c r="A44" s="511"/>
      <c r="B44" s="511"/>
      <c r="C44" s="511"/>
      <c r="D44" s="511"/>
      <c r="E44" s="511"/>
      <c r="H44" s="512"/>
      <c r="I44" s="512"/>
    </row>
    <row r="45" spans="1:12" x14ac:dyDescent="0.2">
      <c r="A45" s="508" t="s">
        <v>271</v>
      </c>
      <c r="B45" s="508"/>
      <c r="C45" s="508"/>
      <c r="D45" s="508"/>
      <c r="E45" s="508"/>
      <c r="H45" s="509" t="s">
        <v>272</v>
      </c>
      <c r="I45" s="509"/>
    </row>
    <row r="47" spans="1:12" x14ac:dyDescent="0.2">
      <c r="A47" s="8" t="s">
        <v>273</v>
      </c>
      <c r="B47" s="8"/>
    </row>
    <row r="48" spans="1:12" x14ac:dyDescent="0.2">
      <c r="A48" s="8"/>
      <c r="B48" s="8"/>
    </row>
  </sheetData>
  <sheetProtection sheet="1" objects="1" scenarios="1" selectLockedCells="1"/>
  <mergeCells count="11">
    <mergeCell ref="A1:L1"/>
    <mergeCell ref="A2:L2"/>
    <mergeCell ref="A3:L3"/>
    <mergeCell ref="D7:F7"/>
    <mergeCell ref="A45:E45"/>
    <mergeCell ref="H45:I45"/>
    <mergeCell ref="D8:H8"/>
    <mergeCell ref="D9:F9"/>
    <mergeCell ref="E14:F14"/>
    <mergeCell ref="A44:E44"/>
    <mergeCell ref="H44:I44"/>
  </mergeCells>
  <phoneticPr fontId="29" type="noConversion"/>
  <pageMargins left="0.75" right="0.75" top="0.65" bottom="0.7" header="0.32" footer="0.37"/>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LANE BR RATING SUMMARY</vt:lpstr>
      <vt:lpstr>Traffic &amp; Accidents</vt:lpstr>
      <vt:lpstr>Structure</vt:lpstr>
      <vt:lpstr>Geometry</vt:lpstr>
      <vt:lpstr>BR Rehab.</vt:lpstr>
      <vt:lpstr>Engineer's 3R letter</vt:lpstr>
      <vt:lpstr>'1 LANE BR RATING SUMMARY'!Print_Area</vt:lpstr>
      <vt:lpstr>'BR Rehab.'!Print_Area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Randy Hart</dc:creator>
  <cp:lastModifiedBy>Johnson, Steve (CRAB)</cp:lastModifiedBy>
  <cp:lastPrinted>2016-10-03T18:56:54Z</cp:lastPrinted>
  <dcterms:created xsi:type="dcterms:W3CDTF">2001-04-16T16:59:49Z</dcterms:created>
  <dcterms:modified xsi:type="dcterms:W3CDTF">2022-06-21T21:06:23Z</dcterms:modified>
</cp:coreProperties>
</file>