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stateofwa-my.sharepoint.com/personal/steve_johnson_crab_wa_gov/Documents/Documents/Worksheets 23-25/PS/"/>
    </mc:Choice>
  </mc:AlternateContent>
  <xr:revisionPtr revIDLastSave="39" documentId="11_CCA62C1A06CA9162EE5CF8BD1743AF152CCC7AB7" xr6:coauthVersionLast="47" xr6:coauthVersionMax="47" xr10:uidLastSave="{DDCEE08B-5091-4A20-9376-528692F1F7CE}"/>
  <bookViews>
    <workbookView xWindow="28680" yWindow="-120" windowWidth="29040" windowHeight="15840" tabRatio="699" xr2:uid="{00000000-000D-0000-FFFF-FFFF00000000}"/>
  </bookViews>
  <sheets>
    <sheet name="RC RATING SUMMARY" sheetId="6" r:id="rId1"/>
    <sheet name="Traffic &amp; Accidents" sheetId="14" r:id="rId2"/>
    <sheet name="Structure" sheetId="13" r:id="rId3"/>
    <sheet name="Geometry" sheetId="15" r:id="rId4"/>
    <sheet name="RC" sheetId="3" state="hidden" r:id="rId5"/>
    <sheet name="Engineer's 3R letter" sheetId="9" r:id="rId6"/>
  </sheets>
  <definedNames>
    <definedName name="_xlnm.Print_Area" localSheetId="4">'RC'!$B$45:$O$87</definedName>
    <definedName name="_xlnm.Print_Area" localSheetId="0">'RC RATING SUMMARY'!$B$3:$T$61</definedName>
    <definedName name="_xlnm.Print_Area" localSheetId="2">Structure!$B$13:$P$56</definedName>
    <definedName name="_xlnm.Print_Area" localSheetId="1">'Traffic &amp; Accidents'!$B$3:$L$38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60" i="15" l="1"/>
  <c r="T160" i="15"/>
  <c r="Z160" i="15"/>
  <c r="AA160" i="15"/>
  <c r="S161" i="15"/>
  <c r="T161" i="15"/>
  <c r="W161" i="15" s="1"/>
  <c r="Z161" i="15"/>
  <c r="AA161" i="15"/>
  <c r="AD161" i="15"/>
  <c r="S162" i="15"/>
  <c r="T162" i="15"/>
  <c r="W162" i="15" s="1"/>
  <c r="Z162" i="15"/>
  <c r="AA162" i="15"/>
  <c r="AD162" i="15"/>
  <c r="S163" i="15"/>
  <c r="T163" i="15"/>
  <c r="Z163" i="15"/>
  <c r="AA163" i="15"/>
  <c r="AD163" i="15" s="1"/>
  <c r="S164" i="15"/>
  <c r="T164" i="15"/>
  <c r="W164" i="15" s="1"/>
  <c r="Z164" i="15"/>
  <c r="AA164" i="15"/>
  <c r="S165" i="15"/>
  <c r="T165" i="15"/>
  <c r="W165" i="15" s="1"/>
  <c r="Z165" i="15"/>
  <c r="AA165" i="15"/>
  <c r="AD165" i="15"/>
  <c r="S166" i="15"/>
  <c r="T166" i="15"/>
  <c r="W166" i="15" s="1"/>
  <c r="Z166" i="15"/>
  <c r="AA166" i="15"/>
  <c r="AD166" i="15" s="1"/>
  <c r="S167" i="15"/>
  <c r="T167" i="15"/>
  <c r="Z167" i="15"/>
  <c r="AA167" i="15"/>
  <c r="AD167" i="15"/>
  <c r="S168" i="15"/>
  <c r="T168" i="15"/>
  <c r="W168" i="15" s="1"/>
  <c r="Z168" i="15"/>
  <c r="AA168" i="15"/>
  <c r="S169" i="15"/>
  <c r="T169" i="15"/>
  <c r="W169" i="15"/>
  <c r="Z169" i="15"/>
  <c r="AA169" i="15"/>
  <c r="AD169" i="15"/>
  <c r="R180" i="15"/>
  <c r="AF188" i="15"/>
  <c r="S196" i="15"/>
  <c r="Z198" i="15" s="1"/>
  <c r="S197" i="15"/>
  <c r="I187" i="15" s="1"/>
  <c r="X197" i="15"/>
  <c r="Y197" i="15"/>
  <c r="Z197" i="15"/>
  <c r="X198" i="15"/>
  <c r="Y198" i="15"/>
  <c r="X204" i="15"/>
  <c r="F28" i="13"/>
  <c r="H28" i="13"/>
  <c r="J28" i="13"/>
  <c r="L28" i="13"/>
  <c r="N30" i="13"/>
  <c r="F49" i="13"/>
  <c r="H49" i="13"/>
  <c r="J49" i="13"/>
  <c r="L49" i="13"/>
  <c r="N50" i="13"/>
  <c r="J55" i="13"/>
  <c r="Z196" i="15" l="1"/>
  <c r="Z202" i="15"/>
  <c r="Y202" i="15" s="1"/>
  <c r="I185" i="15"/>
  <c r="Z203" i="15"/>
  <c r="Y196" i="15"/>
  <c r="W167" i="15"/>
  <c r="W163" i="15"/>
  <c r="Z204" i="15"/>
  <c r="Y203" i="15"/>
  <c r="X196" i="15"/>
  <c r="AD168" i="15"/>
  <c r="AD164" i="15"/>
  <c r="AD160" i="15"/>
  <c r="AD175" i="15" s="1"/>
  <c r="Y204" i="15"/>
  <c r="K42" i="6"/>
  <c r="K32" i="14"/>
  <c r="K31" i="14"/>
  <c r="K30" i="14"/>
  <c r="K29" i="14"/>
  <c r="K28" i="14"/>
  <c r="K23" i="14"/>
  <c r="K22" i="14"/>
  <c r="K21" i="14"/>
  <c r="K20" i="14"/>
  <c r="K19" i="14"/>
  <c r="X203" i="15" l="1"/>
  <c r="X202" i="15"/>
  <c r="K81" i="15"/>
  <c r="J81" i="15" s="1"/>
  <c r="I81" i="15" s="1"/>
  <c r="I80" i="15" s="1"/>
  <c r="K80" i="15"/>
  <c r="J80" i="15" s="1"/>
  <c r="K79" i="15"/>
  <c r="J79" i="15" s="1"/>
  <c r="J50" i="14"/>
  <c r="J48" i="14"/>
  <c r="F48" i="14"/>
  <c r="F50" i="14"/>
  <c r="F80" i="14"/>
  <c r="F83" i="14" s="1"/>
  <c r="H80" i="14"/>
  <c r="H83" i="14" s="1"/>
  <c r="J80" i="14"/>
  <c r="J83" i="14" s="1"/>
  <c r="R52" i="15"/>
  <c r="J32" i="14"/>
  <c r="J31" i="14"/>
  <c r="J30" i="14"/>
  <c r="J29" i="14"/>
  <c r="J28" i="14"/>
  <c r="J23" i="14"/>
  <c r="J22" i="14"/>
  <c r="J21" i="14"/>
  <c r="J20" i="14"/>
  <c r="J19" i="14"/>
  <c r="I79" i="15" l="1"/>
  <c r="H84" i="15" s="1"/>
  <c r="L7" i="15" s="1"/>
  <c r="AH206" i="15"/>
  <c r="AM206" i="15"/>
  <c r="T151" i="15"/>
  <c r="S151" i="15" s="1"/>
  <c r="W204" i="15"/>
  <c r="W203" i="15" s="1"/>
  <c r="W202" i="15" s="1"/>
  <c r="L187" i="15" s="1"/>
  <c r="T147" i="15"/>
  <c r="S147" i="15" s="1"/>
  <c r="T152" i="15"/>
  <c r="S152" i="15" s="1"/>
  <c r="AM196" i="15"/>
  <c r="AL206" i="15"/>
  <c r="AK206" i="15" s="1"/>
  <c r="T145" i="15"/>
  <c r="S145" i="15" s="1"/>
  <c r="T153" i="15"/>
  <c r="S153" i="15" s="1"/>
  <c r="W198" i="15"/>
  <c r="W197" i="15" s="1"/>
  <c r="W196" i="15" s="1"/>
  <c r="T146" i="15"/>
  <c r="S146" i="15" s="1"/>
  <c r="AH196" i="15"/>
  <c r="AG206" i="15"/>
  <c r="AF206" i="15" s="1"/>
  <c r="AE206" i="15" s="1"/>
  <c r="J24" i="14"/>
  <c r="J33" i="14"/>
  <c r="M65" i="14"/>
  <c r="M64" i="14" s="1"/>
  <c r="M63" i="14" s="1"/>
  <c r="M62" i="14" s="1"/>
  <c r="N67" i="14"/>
  <c r="N66" i="14" s="1"/>
  <c r="N65" i="14" s="1"/>
  <c r="N64" i="14" s="1"/>
  <c r="N63" i="14" s="1"/>
  <c r="N62" i="14" s="1"/>
  <c r="M67" i="14"/>
  <c r="M66" i="14"/>
  <c r="M88" i="14"/>
  <c r="X94" i="15"/>
  <c r="W94" i="15"/>
  <c r="V94" i="15" s="1"/>
  <c r="U94" i="15" s="1"/>
  <c r="T94" i="15" s="1"/>
  <c r="S94" i="15" s="1"/>
  <c r="X93" i="15"/>
  <c r="W93" i="15" s="1"/>
  <c r="V93" i="15" s="1"/>
  <c r="U93" i="15" s="1"/>
  <c r="T93" i="15" s="1"/>
  <c r="S93" i="15" s="1"/>
  <c r="X92" i="15"/>
  <c r="W92" i="15"/>
  <c r="V92" i="15" s="1"/>
  <c r="U92" i="15" s="1"/>
  <c r="T92" i="15" s="1"/>
  <c r="S92" i="15" s="1"/>
  <c r="X91" i="15"/>
  <c r="W91" i="15" s="1"/>
  <c r="V91" i="15" s="1"/>
  <c r="U91" i="15" s="1"/>
  <c r="T91" i="15" s="1"/>
  <c r="S91" i="15" s="1"/>
  <c r="S72" i="15"/>
  <c r="X90" i="15" s="1"/>
  <c r="S71" i="15"/>
  <c r="S70" i="15"/>
  <c r="X88" i="15" s="1"/>
  <c r="W88" i="15" s="1"/>
  <c r="S69" i="15"/>
  <c r="X87" i="15" s="1"/>
  <c r="S68" i="15"/>
  <c r="S67" i="15"/>
  <c r="S66" i="15"/>
  <c r="S65" i="15"/>
  <c r="X83" i="15" s="1"/>
  <c r="S64" i="15"/>
  <c r="S63" i="15"/>
  <c r="R57" i="15"/>
  <c r="R56" i="15"/>
  <c r="R55" i="15"/>
  <c r="W54" i="15"/>
  <c r="V54" i="15" s="1"/>
  <c r="X192" i="15" l="1"/>
  <c r="L185" i="15"/>
  <c r="O190" i="15" s="1"/>
  <c r="AJ201" i="15"/>
  <c r="R153" i="15"/>
  <c r="R152" i="15" s="1"/>
  <c r="R151" i="15" s="1"/>
  <c r="R147" i="15"/>
  <c r="R146" i="15" s="1"/>
  <c r="R145" i="15" s="1"/>
  <c r="J36" i="14"/>
  <c r="O47" i="6" s="1"/>
  <c r="W53" i="15"/>
  <c r="V53" i="15" s="1"/>
  <c r="W55" i="15"/>
  <c r="V55" i="15" s="1"/>
  <c r="U55" i="15" s="1"/>
  <c r="U54" i="15" s="1"/>
  <c r="X82" i="15"/>
  <c r="W82" i="15" s="1"/>
  <c r="V82" i="15" s="1"/>
  <c r="U82" i="15" s="1"/>
  <c r="T82" i="15" s="1"/>
  <c r="S82" i="15" s="1"/>
  <c r="T64" i="15" s="1"/>
  <c r="X86" i="15"/>
  <c r="W86" i="15" s="1"/>
  <c r="V86" i="15" s="1"/>
  <c r="U86" i="15" s="1"/>
  <c r="T86" i="15" s="1"/>
  <c r="S86" i="15" s="1"/>
  <c r="T68" i="15" s="1"/>
  <c r="W90" i="15"/>
  <c r="V90" i="15" s="1"/>
  <c r="U90" i="15" s="1"/>
  <c r="T90" i="15" s="1"/>
  <c r="S90" i="15" s="1"/>
  <c r="T72" i="15" s="1"/>
  <c r="X81" i="15"/>
  <c r="W81" i="15" s="1"/>
  <c r="V81" i="15" s="1"/>
  <c r="U81" i="15" s="1"/>
  <c r="T81" i="15" s="1"/>
  <c r="S81" i="15" s="1"/>
  <c r="T63" i="15" s="1"/>
  <c r="X85" i="15"/>
  <c r="W85" i="15" s="1"/>
  <c r="V85" i="15" s="1"/>
  <c r="U85" i="15" s="1"/>
  <c r="T85" i="15" s="1"/>
  <c r="S85" i="15" s="1"/>
  <c r="T67" i="15" s="1"/>
  <c r="V88" i="15"/>
  <c r="U88" i="15" s="1"/>
  <c r="T88" i="15" s="1"/>
  <c r="S88" i="15" s="1"/>
  <c r="T70" i="15" s="1"/>
  <c r="X89" i="15"/>
  <c r="W89" i="15" s="1"/>
  <c r="V89" i="15" s="1"/>
  <c r="U89" i="15" s="1"/>
  <c r="T89" i="15" s="1"/>
  <c r="S89" i="15" s="1"/>
  <c r="T71" i="15" s="1"/>
  <c r="X84" i="15"/>
  <c r="W84" i="15" s="1"/>
  <c r="V84" i="15" s="1"/>
  <c r="U84" i="15" s="1"/>
  <c r="T84" i="15" s="1"/>
  <c r="S84" i="15" s="1"/>
  <c r="T66" i="15" s="1"/>
  <c r="W83" i="15"/>
  <c r="V83" i="15" s="1"/>
  <c r="U83" i="15" s="1"/>
  <c r="T83" i="15" s="1"/>
  <c r="S83" i="15" s="1"/>
  <c r="T65" i="15" s="1"/>
  <c r="W87" i="15"/>
  <c r="V87" i="15" s="1"/>
  <c r="U87" i="15" s="1"/>
  <c r="T87" i="15" s="1"/>
  <c r="S87" i="15" s="1"/>
  <c r="T69" i="15" s="1"/>
  <c r="B21" i="15"/>
  <c r="B22" i="15"/>
  <c r="B23" i="15"/>
  <c r="B24" i="15"/>
  <c r="B25" i="15"/>
  <c r="B26" i="15"/>
  <c r="B27" i="15"/>
  <c r="B28" i="15"/>
  <c r="R141" i="15" l="1"/>
  <c r="U164" i="15" s="1"/>
  <c r="V164" i="15" s="1"/>
  <c r="U53" i="15"/>
  <c r="V58" i="15" s="1"/>
  <c r="V72" i="15" s="1"/>
  <c r="U160" i="15" l="1"/>
  <c r="V160" i="15" s="1"/>
  <c r="W160" i="15" s="1"/>
  <c r="W175" i="15" s="1"/>
  <c r="R181" i="15" s="1"/>
  <c r="R182" i="15" s="1"/>
  <c r="R187" i="15" s="1"/>
  <c r="R186" i="15" s="1"/>
  <c r="R185" i="15" s="1"/>
  <c r="R184" i="15" s="1"/>
  <c r="U166" i="15"/>
  <c r="V166" i="15" s="1"/>
  <c r="U167" i="15"/>
  <c r="V167" i="15" s="1"/>
  <c r="U163" i="15"/>
  <c r="V163" i="15" s="1"/>
  <c r="U162" i="15"/>
  <c r="V162" i="15" s="1"/>
  <c r="U169" i="15"/>
  <c r="V169" i="15" s="1"/>
  <c r="U165" i="15"/>
  <c r="V165" i="15" s="1"/>
  <c r="U161" i="15"/>
  <c r="V161" i="15" s="1"/>
  <c r="U168" i="15"/>
  <c r="V168" i="15" s="1"/>
  <c r="V64" i="15"/>
  <c r="V71" i="15"/>
  <c r="V68" i="15"/>
  <c r="V66" i="15"/>
  <c r="V63" i="15"/>
  <c r="Y58" i="15"/>
  <c r="Y57" i="15" s="1"/>
  <c r="Y56" i="15" s="1"/>
  <c r="Y55" i="15" s="1"/>
  <c r="Y54" i="15" s="1"/>
  <c r="AA54" i="15" s="1"/>
  <c r="D11" i="15" s="1"/>
  <c r="G19" i="15" s="1"/>
  <c r="F19" i="15" s="1"/>
  <c r="AG197" i="15"/>
  <c r="AG196" i="15" s="1"/>
  <c r="AF197" i="15" s="1"/>
  <c r="AF196" i="15" s="1"/>
  <c r="AE197" i="15" s="1"/>
  <c r="AE196" i="15" s="1"/>
  <c r="AL197" i="15"/>
  <c r="AL196" i="15" s="1"/>
  <c r="AK197" i="15" s="1"/>
  <c r="AK196" i="15" s="1"/>
  <c r="Y153" i="15"/>
  <c r="Y152" i="15" s="1"/>
  <c r="Y151" i="15" s="1"/>
  <c r="Y150" i="15" s="1"/>
  <c r="Y149" i="15" s="1"/>
  <c r="V70" i="15"/>
  <c r="V65" i="15"/>
  <c r="V69" i="15"/>
  <c r="V67" i="15"/>
  <c r="H35" i="15"/>
  <c r="F35" i="15"/>
  <c r="V175" i="15" l="1"/>
  <c r="G26" i="15"/>
  <c r="G28" i="15"/>
  <c r="V73" i="15"/>
  <c r="O73" i="15" s="1"/>
  <c r="G21" i="15"/>
  <c r="G20" i="15"/>
  <c r="G24" i="15"/>
  <c r="G22" i="15"/>
  <c r="AJ191" i="15"/>
  <c r="G27" i="15"/>
  <c r="G23" i="15"/>
  <c r="G25" i="15"/>
  <c r="AB161" i="15"/>
  <c r="AC161" i="15" s="1"/>
  <c r="AB165" i="15"/>
  <c r="AC165" i="15" s="1"/>
  <c r="AB169" i="15"/>
  <c r="AC169" i="15" s="1"/>
  <c r="AB162" i="15"/>
  <c r="AC162" i="15" s="1"/>
  <c r="AB166" i="15"/>
  <c r="AC166" i="15" s="1"/>
  <c r="AB167" i="15"/>
  <c r="AC167" i="15" s="1"/>
  <c r="AB163" i="15"/>
  <c r="AC163" i="15" s="1"/>
  <c r="AB160" i="15"/>
  <c r="AC160" i="15" s="1"/>
  <c r="AB164" i="15"/>
  <c r="AC164" i="15" s="1"/>
  <c r="AB168" i="15"/>
  <c r="AC168" i="15" s="1"/>
  <c r="O36" i="6"/>
  <c r="K52" i="6"/>
  <c r="AC175" i="15" l="1"/>
  <c r="B19" i="15"/>
  <c r="N29" i="15"/>
  <c r="I29" i="15"/>
  <c r="O28" i="6"/>
  <c r="I34" i="15"/>
  <c r="J34" i="15" s="1"/>
  <c r="M69" i="14" l="1"/>
  <c r="O27" i="6" s="1"/>
  <c r="O30" i="6" s="1"/>
  <c r="H11" i="15"/>
  <c r="K24" i="15" s="1"/>
  <c r="B20" i="15"/>
  <c r="I33" i="15"/>
  <c r="N11" i="15"/>
  <c r="Q19" i="15" s="1"/>
  <c r="L23" i="15" l="1"/>
  <c r="L24" i="15"/>
  <c r="K26" i="15"/>
  <c r="K22" i="15"/>
  <c r="L22" i="15"/>
  <c r="L26" i="15"/>
  <c r="K25" i="15"/>
  <c r="K20" i="15"/>
  <c r="K27" i="15"/>
  <c r="L21" i="15"/>
  <c r="L27" i="15"/>
  <c r="K28" i="15"/>
  <c r="L20" i="15"/>
  <c r="L19" i="15"/>
  <c r="K19" i="15" s="1"/>
  <c r="K21" i="15"/>
  <c r="L25" i="15"/>
  <c r="K23" i="15"/>
  <c r="L28" i="15"/>
  <c r="I35" i="15"/>
  <c r="J33" i="15"/>
  <c r="V40" i="6"/>
  <c r="U40" i="6" s="1"/>
  <c r="P23" i="15"/>
  <c r="P25" i="15"/>
  <c r="P20" i="15"/>
  <c r="P27" i="15"/>
  <c r="P24" i="15"/>
  <c r="P28" i="15"/>
  <c r="P21" i="15"/>
  <c r="P26" i="15"/>
  <c r="P22" i="15"/>
  <c r="F27" i="15"/>
  <c r="F23" i="15"/>
  <c r="F20" i="15"/>
  <c r="F28" i="15"/>
  <c r="F24" i="15"/>
  <c r="F25" i="15"/>
  <c r="F21" i="15"/>
  <c r="F26" i="15"/>
  <c r="F22" i="15"/>
  <c r="V39" i="6"/>
  <c r="U39" i="6" s="1"/>
  <c r="F29" i="15" l="1"/>
  <c r="D14" i="15" s="1"/>
  <c r="K29" i="15"/>
  <c r="N15" i="15" s="1"/>
  <c r="O40" i="6"/>
  <c r="N32" i="15" s="1"/>
  <c r="O134" i="15"/>
  <c r="Q26" i="15"/>
  <c r="Q22" i="15"/>
  <c r="Q27" i="15"/>
  <c r="Q23" i="15"/>
  <c r="P19" i="15"/>
  <c r="Q25" i="15"/>
  <c r="Q28" i="15"/>
  <c r="Q24" i="15"/>
  <c r="Q20" i="15"/>
  <c r="Q21" i="15"/>
  <c r="O38" i="6" l="1"/>
  <c r="P29" i="15"/>
  <c r="N14" i="15" l="1"/>
  <c r="K14" i="15" l="1"/>
  <c r="O39" i="6" s="1"/>
  <c r="O42" i="6" l="1"/>
  <c r="O52" i="6" s="1"/>
  <c r="R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randy</author>
  </authors>
  <commentList>
    <comment ref="C8" authorId="0" shapeId="0" xr:uid="{00000000-0006-0000-0100-000001000000}">
      <text>
        <r>
          <rPr>
            <sz val="8"/>
            <color indexed="81"/>
            <rFont val="Tahoma"/>
            <family val="2"/>
          </rPr>
          <t>This is not the design year volume (12, 20) you will use for design.  Rather, use the current 30th highest volume of the year, or estimate for a seasonal volume.</t>
        </r>
        <r>
          <rPr>
            <b/>
            <sz val="8"/>
            <color indexed="81"/>
            <rFont val="Tahoma"/>
            <family val="2"/>
          </rPr>
          <t xml:space="preserve">
</t>
        </r>
      </text>
    </comment>
    <comment ref="D19" authorId="0" shapeId="0" xr:uid="{00000000-0006-0000-0100-000002000000}">
      <text>
        <r>
          <rPr>
            <sz val="8"/>
            <color indexed="81"/>
            <rFont val="Tahoma"/>
            <family val="2"/>
          </rPr>
          <t>Must be an actual base, not office, training, or recruiting center.</t>
        </r>
      </text>
    </comment>
    <comment ref="D20" authorId="0" shapeId="0" xr:uid="{00000000-0006-0000-0100-000003000000}">
      <text>
        <r>
          <rPr>
            <sz val="8"/>
            <color indexed="81"/>
            <rFont val="Tahoma"/>
            <family val="2"/>
          </rPr>
          <t>A section adjacent to or within some distance (miles) of the project, or on the same main travel route, has been improved to equal or greater scope within the last 10 years.</t>
        </r>
      </text>
    </comment>
    <comment ref="D21" authorId="0" shapeId="0" xr:uid="{00000000-0006-0000-0100-000004000000}">
      <text>
        <r>
          <rPr>
            <sz val="8"/>
            <color indexed="81"/>
            <rFont val="Tahoma"/>
            <family val="2"/>
          </rPr>
          <t>School, church, grange, fire station, hospital, museum</t>
        </r>
      </text>
    </comment>
    <comment ref="D22" authorId="0" shapeId="0" xr:uid="{00000000-0006-0000-0100-000005000000}">
      <text>
        <r>
          <rPr>
            <sz val="8"/>
            <color indexed="81"/>
            <rFont val="Tahoma"/>
            <family val="2"/>
          </rPr>
          <t xml:space="preserve">YMCA, Park, Amusement Park
</t>
        </r>
      </text>
    </comment>
    <comment ref="D23" authorId="0" shapeId="0" xr:uid="{00000000-0006-0000-0100-000006000000}">
      <text>
        <r>
          <rPr>
            <sz val="8"/>
            <color indexed="81"/>
            <rFont val="Tahoma"/>
            <family val="2"/>
          </rPr>
          <t xml:space="preserve">Serves as or directly connects to a detour for a state or interstate hwy. (miles from route that is detoured)
</t>
        </r>
      </text>
    </comment>
    <comment ref="D28" authorId="0" shapeId="0" xr:uid="{00000000-0006-0000-0100-000007000000}">
      <text>
        <r>
          <rPr>
            <sz val="8"/>
            <color indexed="81"/>
            <rFont val="Tahoma"/>
            <family val="2"/>
          </rPr>
          <t xml:space="preserve">Include commercial food processing, not retail.
</t>
        </r>
      </text>
    </comment>
    <comment ref="D29" authorId="0" shapeId="0" xr:uid="{00000000-0006-0000-0100-000008000000}">
      <text>
        <r>
          <rPr>
            <sz val="8"/>
            <color indexed="81"/>
            <rFont val="Tahoma"/>
            <family val="2"/>
          </rPr>
          <t>i.e. parcel service, collection point. Not corporate office, or government post office.</t>
        </r>
        <r>
          <rPr>
            <sz val="8"/>
            <color indexed="81"/>
            <rFont val="Tahoma"/>
            <family val="2"/>
          </rPr>
          <t xml:space="preserve">
</t>
        </r>
      </text>
    </comment>
    <comment ref="D32" authorId="0" shapeId="0" xr:uid="{00000000-0006-0000-0100-000009000000}">
      <text>
        <r>
          <rPr>
            <sz val="8"/>
            <color indexed="81"/>
            <rFont val="Tahoma"/>
            <family val="2"/>
          </rPr>
          <t>Includes parcel service corporate office, post office, military recruiting, union hall.</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randy</author>
  </authors>
  <commentList>
    <comment ref="F6" authorId="0" shapeId="0" xr:uid="{00000000-0006-0000-0300-000001000000}">
      <text>
        <r>
          <rPr>
            <sz val="8"/>
            <color indexed="81"/>
            <rFont val="Tahoma"/>
            <family val="2"/>
          </rPr>
          <t xml:space="preserve">AASHTO 2001, page 235
</t>
        </r>
      </text>
    </comment>
    <comment ref="E34" authorId="0" shapeId="0" xr:uid="{00000000-0006-0000-0300-000002000000}">
      <text>
        <r>
          <rPr>
            <sz val="8"/>
            <color indexed="81"/>
            <rFont val="Tahoma"/>
            <family val="2"/>
          </rPr>
          <t>Shoulders can be paved or gravel or both.</t>
        </r>
      </text>
    </comment>
  </commentList>
</comments>
</file>

<file path=xl/sharedStrings.xml><?xml version="1.0" encoding="utf-8"?>
<sst xmlns="http://schemas.openxmlformats.org/spreadsheetml/2006/main" count="492" uniqueCount="353">
  <si>
    <t>WAC 136-130-030</t>
  </si>
  <si>
    <t>County:</t>
  </si>
  <si>
    <t>Project Name:</t>
  </si>
  <si>
    <t>(from prospectus)</t>
  </si>
  <si>
    <t>Possible</t>
  </si>
  <si>
    <t xml:space="preserve"> Points:</t>
  </si>
  <si>
    <t>Points:</t>
  </si>
  <si>
    <t>SERVICE RATING</t>
  </si>
  <si>
    <t>Traffic Volume</t>
  </si>
  <si>
    <t>Accident History</t>
  </si>
  <si>
    <t>Subtotal</t>
  </si>
  <si>
    <t>CONDITION RATING</t>
  </si>
  <si>
    <t>(possible)</t>
  </si>
  <si>
    <t>Rating points may be assigned only to the extent that the deficient condition will be improved.</t>
  </si>
  <si>
    <t xml:space="preserve"> </t>
  </si>
  <si>
    <t>Traffic Volume (20 Points Max.)</t>
  </si>
  <si>
    <t>Existing ADT</t>
  </si>
  <si>
    <t xml:space="preserve">ADT Year </t>
  </si>
  <si>
    <t>or</t>
  </si>
  <si>
    <t>Existing Truck ADT</t>
  </si>
  <si>
    <t>Truck ADT Yr</t>
  </si>
  <si>
    <t>Determine traffic volume rating using table below</t>
  </si>
  <si>
    <t>ADT = Average Weekday Traffic Volumes</t>
  </si>
  <si>
    <t>TRAFFIC VOLUME RATING TABLE</t>
  </si>
  <si>
    <t>Average</t>
  </si>
  <si>
    <t xml:space="preserve">  </t>
  </si>
  <si>
    <t>ADT</t>
  </si>
  <si>
    <t>Truck ADT</t>
  </si>
  <si>
    <t>Points</t>
  </si>
  <si>
    <t xml:space="preserve">   </t>
  </si>
  <si>
    <t>501 - 1000</t>
  </si>
  <si>
    <t>51 - 100</t>
  </si>
  <si>
    <t>1001 - 2000</t>
  </si>
  <si>
    <t>101 - 200</t>
  </si>
  <si>
    <t>2001 - 5000</t>
  </si>
  <si>
    <t>201 - 500</t>
  </si>
  <si>
    <t>TRAFFIC VOLUME RATING</t>
  </si>
  <si>
    <t>Accident History (25 Points Max.)</t>
  </si>
  <si>
    <t>Property</t>
  </si>
  <si>
    <t>Damage</t>
  </si>
  <si>
    <t>Only</t>
  </si>
  <si>
    <t>Injury</t>
  </si>
  <si>
    <t>Fatal</t>
  </si>
  <si>
    <t>x 1</t>
  </si>
  <si>
    <t>x 2</t>
  </si>
  <si>
    <t>x 5</t>
  </si>
  <si>
    <t>TOTAL  =</t>
  </si>
  <si>
    <t>+</t>
  </si>
  <si>
    <t>ACCIDENT HISTORY RATING</t>
  </si>
  <si>
    <t>(from Total above)</t>
  </si>
  <si>
    <t>OR</t>
  </si>
  <si>
    <t xml:space="preserve">Using the DESIGN STANDARDS table below as a guide, determine the adequacy </t>
  </si>
  <si>
    <t>of the horizontal alignment</t>
  </si>
  <si>
    <t xml:space="preserve">                            </t>
  </si>
  <si>
    <t>Minimum Design Speed For:</t>
  </si>
  <si>
    <t>ADT:</t>
  </si>
  <si>
    <t>TERRAIN:</t>
  </si>
  <si>
    <t>&lt; 400</t>
  </si>
  <si>
    <t>400 - 2000</t>
  </si>
  <si>
    <t>&gt; 2000</t>
  </si>
  <si>
    <t>FLAT</t>
  </si>
  <si>
    <t>ROLLING</t>
  </si>
  <si>
    <t>MOUNTAINOUS</t>
  </si>
  <si>
    <t>Condition</t>
  </si>
  <si>
    <t>HORIZONTAL ALIGNMENT POINTS</t>
  </si>
  <si>
    <t>of the vertical alignment.</t>
  </si>
  <si>
    <t>Standard Grades (% max.):</t>
  </si>
  <si>
    <t>Required Stopping Sight Distance:</t>
  </si>
  <si>
    <t>TERRAIN</t>
  </si>
  <si>
    <t>&lt;400</t>
  </si>
  <si>
    <t>&gt;2000</t>
  </si>
  <si>
    <t xml:space="preserve">                                 </t>
  </si>
  <si>
    <t>Design Speed</t>
  </si>
  <si>
    <t xml:space="preserve">Flat </t>
  </si>
  <si>
    <t>Rolling</t>
  </si>
  <si>
    <t>Mountain</t>
  </si>
  <si>
    <t>Condition:</t>
  </si>
  <si>
    <t>VERTICAL ALIGNMENT POINTS</t>
  </si>
  <si>
    <t>GEOMETRIC CONDITIONS (cont.)</t>
  </si>
  <si>
    <t>Sheet 5 of 5</t>
  </si>
  <si>
    <t xml:space="preserve">Using the DESIGN STANDARDS table below, determine the adequacy of the </t>
  </si>
  <si>
    <t>Good</t>
  </si>
  <si>
    <t>Fair</t>
  </si>
  <si>
    <t>Poor</t>
  </si>
  <si>
    <t xml:space="preserve">                                                                </t>
  </si>
  <si>
    <t>&gt;22</t>
  </si>
  <si>
    <t>20 - 22</t>
  </si>
  <si>
    <t xml:space="preserve"> &lt;20</t>
  </si>
  <si>
    <t>&gt;3</t>
  </si>
  <si>
    <t xml:space="preserve"> 2 - 3</t>
  </si>
  <si>
    <t xml:space="preserve"> &lt;2</t>
  </si>
  <si>
    <t>&gt;6</t>
  </si>
  <si>
    <t xml:space="preserve"> 4 - 6</t>
  </si>
  <si>
    <t xml:space="preserve"> &lt;4</t>
  </si>
  <si>
    <t>&gt;24</t>
  </si>
  <si>
    <t>22 - 24</t>
  </si>
  <si>
    <t xml:space="preserve"> &lt;22</t>
  </si>
  <si>
    <t>&gt;8</t>
  </si>
  <si>
    <t xml:space="preserve"> 6 - 8</t>
  </si>
  <si>
    <t xml:space="preserve"> &lt;6</t>
  </si>
  <si>
    <t xml:space="preserve">     </t>
  </si>
  <si>
    <t>Rating</t>
  </si>
  <si>
    <t>ROADWAY WIDTH POINTS</t>
  </si>
  <si>
    <t>Structural Condition</t>
  </si>
  <si>
    <t>Horizontal Alignment</t>
  </si>
  <si>
    <t>Vertical Alignment</t>
  </si>
  <si>
    <t>Roadway Width</t>
  </si>
  <si>
    <t>Rutting</t>
  </si>
  <si>
    <t>Patching</t>
  </si>
  <si>
    <t>Cracking</t>
  </si>
  <si>
    <t>Roadway</t>
  </si>
  <si>
    <t>existing lane and shoulder widths</t>
  </si>
  <si>
    <t xml:space="preserve">  Total Lane Width (ft)</t>
  </si>
  <si>
    <t xml:space="preserve">  Shoulder Width (ft)</t>
  </si>
  <si>
    <t>Total Lane Width =</t>
  </si>
  <si>
    <t xml:space="preserve">Shoulder Width   = </t>
  </si>
  <si>
    <t>Horizontal Alignment (8 Points Max.)</t>
  </si>
  <si>
    <t xml:space="preserve">  All existing alignment is better than design standards.</t>
  </si>
  <si>
    <t xml:space="preserve">  All existing curves are equal to design standards or within 5 MPH below design standards.</t>
  </si>
  <si>
    <t xml:space="preserve">  One or more substandard curves 10 MPH below design standards.</t>
  </si>
  <si>
    <t xml:space="preserve">  One or more substandard curves 15 MPH below design standards.</t>
  </si>
  <si>
    <t>Vertical Alignment (8 Points Max.)</t>
  </si>
  <si>
    <t>No portion of roadway deviates from design standards</t>
  </si>
  <si>
    <t>Short sections of the project deviate from design standards</t>
  </si>
  <si>
    <t>5% of the project deviates from the design standards</t>
  </si>
  <si>
    <t>10% of the project deviates from the design standards</t>
  </si>
  <si>
    <t>Roadway Width (9 Points Max.)</t>
  </si>
  <si>
    <t>Traffic Volume:</t>
  </si>
  <si>
    <t>AADT</t>
  </si>
  <si>
    <t>Truck AADT</t>
  </si>
  <si>
    <t>Injury, non fatal</t>
  </si>
  <si>
    <t>From CRAB</t>
  </si>
  <si>
    <t>Minimum Design Speed Table</t>
  </si>
  <si>
    <t>Existing</t>
  </si>
  <si>
    <t>Speed</t>
  </si>
  <si>
    <t>HORIZONTAL ALIGNMENT CALCULATION:</t>
  </si>
  <si>
    <t>Required Radius:</t>
  </si>
  <si>
    <t>Flat</t>
  </si>
  <si>
    <t>Mountainous</t>
  </si>
  <si>
    <t>Minimum Design Speed:</t>
  </si>
  <si>
    <t>Safe</t>
  </si>
  <si>
    <t>MPH</t>
  </si>
  <si>
    <t xml:space="preserve">Existing </t>
  </si>
  <si>
    <t>Curve No.</t>
  </si>
  <si>
    <t>Radius</t>
  </si>
  <si>
    <t>Standard</t>
  </si>
  <si>
    <r>
      <t xml:space="preserve">MIN, </t>
    </r>
    <r>
      <rPr>
        <b/>
        <sz val="10"/>
        <color indexed="14"/>
        <rFont val="Arial"/>
        <family val="2"/>
      </rPr>
      <t>RADIUS</t>
    </r>
  </si>
  <si>
    <t>400-2000</t>
  </si>
  <si>
    <t>FOR 6% SUPER.</t>
  </si>
  <si>
    <t>Horizontal</t>
  </si>
  <si>
    <t>Safe Speed Calculation Table</t>
  </si>
  <si>
    <t>Collectors</t>
  </si>
  <si>
    <t>Arterials</t>
  </si>
  <si>
    <t>Safe Speed</t>
  </si>
  <si>
    <t>Exist. Sight</t>
  </si>
  <si>
    <t>(Vs)</t>
  </si>
  <si>
    <t>Dist.  (S)</t>
  </si>
  <si>
    <t>~</t>
  </si>
  <si>
    <t>FUNCTIONAL CLASS</t>
  </si>
  <si>
    <t>% GRADE</t>
  </si>
  <si>
    <t>Grade</t>
  </si>
  <si>
    <t>Sight dist.</t>
  </si>
  <si>
    <t>% Grade</t>
  </si>
  <si>
    <t>Length</t>
  </si>
  <si>
    <t>% Grade Required</t>
  </si>
  <si>
    <t>Std</t>
  </si>
  <si>
    <t>Deficient</t>
  </si>
  <si>
    <t>Total</t>
  </si>
  <si>
    <t>Grade Deficiency</t>
  </si>
  <si>
    <t>SSD</t>
  </si>
  <si>
    <t>Stopping Sight Distance Deficiency</t>
  </si>
  <si>
    <t>Substnd</t>
  </si>
  <si>
    <t>Substd</t>
  </si>
  <si>
    <t>Project Length, ft</t>
  </si>
  <si>
    <t>Stopping Sight Distance Required</t>
  </si>
  <si>
    <t xml:space="preserve">Curve#  </t>
  </si>
  <si>
    <t>Calculation Table</t>
  </si>
  <si>
    <t>CALC</t>
  </si>
  <si>
    <t>TRUCK AADT</t>
  </si>
  <si>
    <t>POINTS</t>
  </si>
  <si>
    <t>Lane Width Points</t>
  </si>
  <si>
    <t>Lane width table</t>
  </si>
  <si>
    <t>Shoulder width table</t>
  </si>
  <si>
    <t>&lt;10%</t>
  </si>
  <si>
    <t>Geometric Rating:</t>
  </si>
  <si>
    <t>Assigned</t>
  </si>
  <si>
    <t>Max.</t>
  </si>
  <si>
    <t>Existing shoulder width (one side)</t>
  </si>
  <si>
    <t>Existing total lane width (both sides)</t>
  </si>
  <si>
    <r>
      <t>&gt;</t>
    </r>
    <r>
      <rPr>
        <sz val="10"/>
        <rFont val="MS Sans Serif"/>
      </rPr>
      <t>5001</t>
    </r>
  </si>
  <si>
    <r>
      <t>&gt;</t>
    </r>
    <r>
      <rPr>
        <sz val="10"/>
        <rFont val="MS Sans Serif"/>
      </rPr>
      <t>501</t>
    </r>
  </si>
  <si>
    <r>
      <t>&lt;</t>
    </r>
    <r>
      <rPr>
        <sz val="10"/>
        <rFont val="MS Sans Serif"/>
      </rPr>
      <t xml:space="preserve"> 50</t>
    </r>
  </si>
  <si>
    <r>
      <t>&lt;</t>
    </r>
    <r>
      <rPr>
        <sz val="10"/>
        <rFont val="MS Sans Serif"/>
      </rPr>
      <t xml:space="preserve"> 500</t>
    </r>
  </si>
  <si>
    <t>Length ft</t>
  </si>
  <si>
    <t>AASHTO 2001</t>
  </si>
  <si>
    <t>(p 145)</t>
  </si>
  <si>
    <t>(AASHTO 2001, p 427)</t>
  </si>
  <si>
    <t>(AASHTO 2001, p 450)</t>
  </si>
  <si>
    <t>Road Log Number</t>
  </si>
  <si>
    <t>STATE OF WASHINGTON</t>
  </si>
  <si>
    <t>COUNTY ROAD ADMINISTRATION BOARD</t>
  </si>
  <si>
    <t>VERIFICATION OF 3R SCOPE FOR RAP PROJECT</t>
  </si>
  <si>
    <t>County</t>
  </si>
  <si>
    <t>Project name</t>
  </si>
  <si>
    <t>Project mileposts</t>
  </si>
  <si>
    <t xml:space="preserve">The scope of work for the RATA funding proposal mentioned above, and which was </t>
  </si>
  <si>
    <t xml:space="preserve">submitted to CRAB on </t>
  </si>
  <si>
    <t xml:space="preserve">, is based on 3R design standards as </t>
  </si>
  <si>
    <t xml:space="preserve">referrenced in the Local Agency Guidelines.   </t>
  </si>
  <si>
    <t xml:space="preserve">In keeping with these guidelines, I have considered the following factors as well as others </t>
  </si>
  <si>
    <t>in arriving at the proposed scope of improvements:</t>
  </si>
  <si>
    <t>Roadside conditions</t>
  </si>
  <si>
    <t>Funding constraints</t>
  </si>
  <si>
    <t>Environmental concerns</t>
  </si>
  <si>
    <t>Changing traffic and land use patterns</t>
  </si>
  <si>
    <t>Deterioration rate of surfacing</t>
  </si>
  <si>
    <t>Accidents or accident rates.</t>
  </si>
  <si>
    <t xml:space="preserve">Where justified, the project will include: </t>
  </si>
  <si>
    <t>Guardrail improvements or upgrades</t>
  </si>
  <si>
    <t>Approach and and transition guardrail improvements for bridges</t>
  </si>
  <si>
    <t>Beveled end sections for crossing and parallel culverts located in the clear zone.</t>
  </si>
  <si>
    <t>Relocating, protecting, or providing breakaway features for sign supports and luminaires</t>
  </si>
  <si>
    <t>Protection for exposed bridge piers and abuttments.</t>
  </si>
  <si>
    <t>Removing fixed objects from the clear zone</t>
  </si>
  <si>
    <t>Improvements to roadway geometry.</t>
  </si>
  <si>
    <t xml:space="preserve">With these and other improvements as mentioned in the project prospectus, the project </t>
  </si>
  <si>
    <t xml:space="preserve">will sufficiently extend service life, provide additonal pavement strength, restore or </t>
  </si>
  <si>
    <t>improve the original cross section, and enhance safety.</t>
  </si>
  <si>
    <t>County Engineer</t>
  </si>
  <si>
    <t>Date</t>
  </si>
  <si>
    <t>This letter must be completed prior to commencing construction and retained in the county's project files.</t>
  </si>
  <si>
    <t>TOTAL RATING</t>
  </si>
  <si>
    <t>LANE WIDTH CALCULATION</t>
  </si>
  <si>
    <t>DESIGN LANE WIDTH</t>
  </si>
  <si>
    <t>COLLECTORS</t>
  </si>
  <si>
    <t>ARTERIALS</t>
  </si>
  <si>
    <t>400 - 1500</t>
  </si>
  <si>
    <t>1500 - 2000</t>
  </si>
  <si>
    <t>&lt; 1501</t>
  </si>
  <si>
    <t>1501 - 2000</t>
  </si>
  <si>
    <t>SHOULDER WIDTH CALCULATION</t>
  </si>
  <si>
    <t>DESIGN SHOULDER WIDTH</t>
  </si>
  <si>
    <t>REFERRENCE TABLES</t>
  </si>
  <si>
    <t>DESIGN</t>
  </si>
  <si>
    <t>LANE WIDTHS PER ADT</t>
  </si>
  <si>
    <t>SHOULDER WIDTHS PER ADT</t>
  </si>
  <si>
    <t>SPEED</t>
  </si>
  <si>
    <t>ALL SPEEDS</t>
  </si>
  <si>
    <t>Structural Rating:</t>
  </si>
  <si>
    <t>Shoulder width, 1 side</t>
  </si>
  <si>
    <t>Total lane width</t>
  </si>
  <si>
    <t>Width Reduction Calcs</t>
  </si>
  <si>
    <t>HORIZONTAL</t>
  </si>
  <si>
    <t>Accidents:</t>
  </si>
  <si>
    <t>Minimum Radius, Ft.</t>
  </si>
  <si>
    <t>Maximum Grade</t>
  </si>
  <si>
    <t>Proposed</t>
  </si>
  <si>
    <t>Impr.</t>
  </si>
  <si>
    <t>Sight Dist.</t>
  </si>
  <si>
    <t>Avg.</t>
  </si>
  <si>
    <t>Pts Assigned</t>
  </si>
  <si>
    <t>Road Width:</t>
  </si>
  <si>
    <t>Proposed:</t>
  </si>
  <si>
    <t>Existing:</t>
  </si>
  <si>
    <t>LIST ALL DEFICIENT ALIGNMENT</t>
  </si>
  <si>
    <t>Cum.</t>
  </si>
  <si>
    <t>weighted %</t>
  </si>
  <si>
    <t>Geometric Condition:</t>
  </si>
  <si>
    <t xml:space="preserve">Military base          </t>
  </si>
  <si>
    <t>Missing Link</t>
  </si>
  <si>
    <t xml:space="preserve">Community           </t>
  </si>
  <si>
    <t>Recreation</t>
  </si>
  <si>
    <t>Detour</t>
  </si>
  <si>
    <t>Manufacturing facility</t>
  </si>
  <si>
    <t>Retail facility</t>
  </si>
  <si>
    <t>Corporate or government office facility</t>
  </si>
  <si>
    <t>Terrain (check one)</t>
  </si>
  <si>
    <t>AADT Year</t>
  </si>
  <si>
    <t>Truck AADT Year</t>
  </si>
  <si>
    <t>Community facility</t>
  </si>
  <si>
    <t>Commercial facility</t>
  </si>
  <si>
    <t>ROADWAY SURFACE CONDITION - ACP AND ACP/PCC (15 Points Max.)</t>
  </si>
  <si>
    <t>ACP</t>
  </si>
  <si>
    <t xml:space="preserve">TYPE OF </t>
  </si>
  <si>
    <t>PERCENTAGE OF DISTRESS</t>
  </si>
  <si>
    <t>DISTRESS</t>
  </si>
  <si>
    <t>No Distress</t>
  </si>
  <si>
    <t>10%-30%</t>
  </si>
  <si>
    <t>&gt;30%</t>
  </si>
  <si>
    <t>Corrugations</t>
  </si>
  <si>
    <t>Alligator Cracking</t>
  </si>
  <si>
    <t>Ravelling</t>
  </si>
  <si>
    <t>ROADWAY SURFACE CONDITION RATING:</t>
  </si>
  <si>
    <t>TOTAL</t>
  </si>
  <si>
    <t>ROADWAY SURFACE CONDITION -  PCC (15 Points Max.)</t>
  </si>
  <si>
    <t>PERCENTAGE OF DISTRESS:</t>
  </si>
  <si>
    <t>DISTRESS:</t>
  </si>
  <si>
    <t>Joint Spalling</t>
  </si>
  <si>
    <t>Pumping</t>
  </si>
  <si>
    <t>Faulting</t>
  </si>
  <si>
    <t>Pavement Wear</t>
  </si>
  <si>
    <t>ROADWAY SURFACE CONDITION RATING - PCC</t>
  </si>
  <si>
    <t>TOTAL STRUCTURE RATING</t>
  </si>
  <si>
    <t>Construction or industrial materials processing</t>
  </si>
  <si>
    <t>Storage or handling facitity</t>
  </si>
  <si>
    <t>Prop. Damage only</t>
  </si>
  <si>
    <t xml:space="preserve">Good (0) Fair (4) Poor (8) </t>
  </si>
  <si>
    <t xml:space="preserve">Good (0) Fair (3) Poor (6)  </t>
  </si>
  <si>
    <t xml:space="preserve">weighted %  </t>
  </si>
  <si>
    <t>POINTS:</t>
  </si>
  <si>
    <t>ACP/PCC &amp; PCC</t>
  </si>
  <si>
    <r>
      <t xml:space="preserve">% </t>
    </r>
    <r>
      <rPr>
        <b/>
        <sz val="8"/>
        <rFont val="MS Sans Serif"/>
        <family val="2"/>
      </rPr>
      <t>Grade</t>
    </r>
  </si>
  <si>
    <r>
      <t xml:space="preserve">PSR RAP </t>
    </r>
    <r>
      <rPr>
        <b/>
        <sz val="10"/>
        <color indexed="10"/>
        <rFont val="MS Sans Serif"/>
        <family val="2"/>
      </rPr>
      <t>Road</t>
    </r>
    <r>
      <rPr>
        <sz val="10"/>
        <rFont val="MS Sans Serif"/>
      </rPr>
      <t xml:space="preserve"> Rating Worksheet</t>
    </r>
  </si>
  <si>
    <t>Improved</t>
  </si>
  <si>
    <t>Def. Length</t>
  </si>
  <si>
    <t>Length of Vertical Deficiencies improved</t>
  </si>
  <si>
    <t>% Deficient improvement</t>
  </si>
  <si>
    <t>Sht 5</t>
  </si>
  <si>
    <t>Exist</t>
  </si>
  <si>
    <t>Project Length</t>
  </si>
  <si>
    <t>miles in 1 / 100s</t>
  </si>
  <si>
    <t>PS Region</t>
  </si>
  <si>
    <r>
      <t>RC</t>
    </r>
    <r>
      <rPr>
        <b/>
        <sz val="12"/>
        <rFont val="MS Sans Serif"/>
        <family val="2"/>
      </rPr>
      <t xml:space="preserve"> PROJECT SUBMITTAL</t>
    </r>
  </si>
  <si>
    <t>FED Funct. Class</t>
  </si>
  <si>
    <t>COMBINED POINTS</t>
  </si>
  <si>
    <t>See below</t>
  </si>
  <si>
    <t>Vertical Curves</t>
  </si>
  <si>
    <t>(Stopping Sight Distance)</t>
  </si>
  <si>
    <t>safe</t>
  </si>
  <si>
    <t>speed</t>
  </si>
  <si>
    <r>
      <t xml:space="preserve">Scores of existing curves Safe Speed compared to </t>
    </r>
    <r>
      <rPr>
        <b/>
        <sz val="10"/>
        <color rgb="FF0070C0"/>
        <rFont val="MS Sans Serif"/>
      </rPr>
      <t>Standard</t>
    </r>
  </si>
  <si>
    <t>FED F/C</t>
  </si>
  <si>
    <t>Miles from project (&gt;0)</t>
  </si>
  <si>
    <t>Community subtotal</t>
  </si>
  <si>
    <t>Commercial subtotal</t>
  </si>
  <si>
    <t>Total Local SignificancePoints:</t>
  </si>
  <si>
    <t>Local Significance</t>
  </si>
  <si>
    <t>LOCAL SIGNIFICANCE</t>
  </si>
  <si>
    <t>Weighting Factor</t>
  </si>
  <si>
    <t>No. of Accidents</t>
  </si>
  <si>
    <t xml:space="preserve">Year  </t>
  </si>
  <si>
    <t>measured</t>
  </si>
  <si>
    <t>RC RATING SUMMARY:</t>
  </si>
  <si>
    <t>(Click on underlined text to input project data)</t>
  </si>
  <si>
    <t xml:space="preserve">TOTAL PSR RC PROJECT RATING    </t>
  </si>
  <si>
    <t>(assigned)</t>
  </si>
  <si>
    <t>LAG-defined Reconstruction Proposals below design standards require WSDOT deviation approval.</t>
  </si>
  <si>
    <t>Minimum Design Speed</t>
  </si>
  <si>
    <t>Min. Radius Calc:</t>
  </si>
  <si>
    <t>Use the last three 
full years' reports</t>
  </si>
  <si>
    <t>PS -  RC</t>
  </si>
  <si>
    <t>Trans &amp; Long. Cracking</t>
  </si>
  <si>
    <t>PS - 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</si>
</sst>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
    <numFmt numFmtId="166" formatCode="0#"/>
    <numFmt numFmtId="167" formatCode="yyyy"/>
  </numFmts>
  <fonts count="90" x14ac:knownFonts="1">
    <font>
      <sz val="10"/>
      <name val="MS Sans Serif"/>
    </font>
    <font>
      <b/>
      <sz val="10"/>
      <name val="MS Sans Serif"/>
    </font>
    <font>
      <sz val="10"/>
      <name val="MS Sans Serif"/>
      <family val="2"/>
    </font>
    <font>
      <u/>
      <sz val="10"/>
      <name val="MS Sans Serif"/>
      <family val="2"/>
    </font>
    <font>
      <u/>
      <sz val="10"/>
      <name val="Arial"/>
      <family val="2"/>
    </font>
    <font>
      <sz val="10"/>
      <name val="Arial"/>
      <family val="2"/>
    </font>
    <font>
      <b/>
      <u/>
      <sz val="10"/>
      <name val="MS Sans Serif"/>
      <family val="2"/>
    </font>
    <font>
      <b/>
      <u/>
      <sz val="10"/>
      <name val="Arial"/>
      <family val="2"/>
    </font>
    <font>
      <u/>
      <sz val="10"/>
      <name val="MS Sans Serif"/>
      <family val="2"/>
    </font>
    <font>
      <b/>
      <u/>
      <sz val="10"/>
      <name val="MS Sans Serif"/>
      <family val="2"/>
    </font>
    <font>
      <b/>
      <sz val="10"/>
      <name val="MS Sans Serif"/>
      <family val="2"/>
    </font>
    <font>
      <sz val="10"/>
      <name val="MS Sans Serif"/>
      <family val="2"/>
    </font>
    <font>
      <b/>
      <sz val="12"/>
      <name val="MS Sans Serif"/>
      <family val="2"/>
    </font>
    <font>
      <b/>
      <sz val="10"/>
      <name val="Arial"/>
      <family val="2"/>
    </font>
    <font>
      <b/>
      <sz val="10"/>
      <color indexed="61"/>
      <name val="MS Sans Serif"/>
      <family val="2"/>
    </font>
    <font>
      <sz val="10"/>
      <color indexed="61"/>
      <name val="MS Sans Serif"/>
      <family val="2"/>
    </font>
    <font>
      <sz val="10"/>
      <name val="Arial"/>
      <family val="2"/>
    </font>
    <font>
      <sz val="12"/>
      <name val="MS Sans Serif"/>
      <family val="2"/>
    </font>
    <font>
      <sz val="8.5"/>
      <name val="MS Sans Serif"/>
      <family val="2"/>
    </font>
    <font>
      <sz val="8"/>
      <color indexed="81"/>
      <name val="Tahoma"/>
      <family val="2"/>
    </font>
    <font>
      <sz val="10"/>
      <color indexed="10"/>
      <name val="MS Sans Serif"/>
      <family val="2"/>
    </font>
    <font>
      <sz val="10"/>
      <name val="MS Sans Serif"/>
      <family val="2"/>
    </font>
    <font>
      <b/>
      <sz val="8"/>
      <name val="MS Sans Serif"/>
      <family val="2"/>
    </font>
    <font>
      <sz val="8"/>
      <name val="MS Sans Serif"/>
      <family val="2"/>
    </font>
    <font>
      <b/>
      <u/>
      <sz val="8"/>
      <name val="MS Sans Serif"/>
      <family val="2"/>
    </font>
    <font>
      <b/>
      <sz val="10"/>
      <color indexed="10"/>
      <name val="MS Sans Serif"/>
      <family val="2"/>
    </font>
    <font>
      <b/>
      <sz val="8.5"/>
      <color indexed="10"/>
      <name val="MS Sans Serif"/>
      <family val="2"/>
    </font>
    <font>
      <b/>
      <sz val="10"/>
      <color indexed="14"/>
      <name val="MS Sans Serif"/>
      <family val="2"/>
    </font>
    <font>
      <b/>
      <u/>
      <sz val="10"/>
      <color indexed="14"/>
      <name val="Arial"/>
      <family val="2"/>
    </font>
    <font>
      <sz val="8"/>
      <name val="Arial"/>
      <family val="2"/>
    </font>
    <font>
      <u/>
      <sz val="8"/>
      <name val="Arial"/>
      <family val="2"/>
    </font>
    <font>
      <b/>
      <sz val="10"/>
      <color indexed="14"/>
      <name val="Arial"/>
      <family val="2"/>
    </font>
    <font>
      <b/>
      <sz val="8"/>
      <name val="Arial"/>
      <family val="2"/>
    </font>
    <font>
      <sz val="10"/>
      <color indexed="14"/>
      <name val="MS Sans Serif"/>
      <family val="2"/>
    </font>
    <font>
      <sz val="8"/>
      <name val="MS Sans Serif"/>
      <family val="2"/>
    </font>
    <font>
      <sz val="6"/>
      <name val="MS Sans Serif"/>
      <family val="2"/>
    </font>
    <font>
      <u/>
      <sz val="8"/>
      <name val="MS Sans Serif"/>
      <family val="2"/>
    </font>
    <font>
      <sz val="10"/>
      <color indexed="14"/>
      <name val="MS Sans Serif"/>
      <family val="2"/>
    </font>
    <font>
      <sz val="8.5"/>
      <name val="MS Sans Serif"/>
      <family val="2"/>
    </font>
    <font>
      <b/>
      <sz val="8"/>
      <color indexed="14"/>
      <name val="MS Sans Serif"/>
      <family val="2"/>
    </font>
    <font>
      <b/>
      <sz val="10"/>
      <color indexed="10"/>
      <name val="MS Sans Serif"/>
      <family val="2"/>
    </font>
    <font>
      <u/>
      <sz val="7.5"/>
      <color indexed="12"/>
      <name val="MS Sans Serif"/>
      <family val="2"/>
    </font>
    <font>
      <b/>
      <sz val="10"/>
      <color indexed="11"/>
      <name val="MS Sans Serif"/>
      <family val="2"/>
    </font>
    <font>
      <sz val="14"/>
      <name val="Courier New"/>
      <family val="3"/>
    </font>
    <font>
      <sz val="12"/>
      <name val="Arial"/>
      <family val="2"/>
    </font>
    <font>
      <b/>
      <sz val="12"/>
      <name val="Arial"/>
      <family val="2"/>
    </font>
    <font>
      <i/>
      <sz val="12"/>
      <name val="Arial"/>
      <family val="2"/>
    </font>
    <font>
      <b/>
      <u/>
      <sz val="8"/>
      <color indexed="14"/>
      <name val="MS Sans Serif"/>
      <family val="2"/>
    </font>
    <font>
      <sz val="10"/>
      <color indexed="9"/>
      <name val="MS Sans Serif"/>
      <family val="2"/>
    </font>
    <font>
      <b/>
      <sz val="8"/>
      <color indexed="10"/>
      <name val="MS Sans Serif"/>
      <family val="2"/>
    </font>
    <font>
      <b/>
      <u/>
      <sz val="10"/>
      <color indexed="12"/>
      <name val="MS Sans Serif"/>
      <family val="2"/>
    </font>
    <font>
      <b/>
      <u/>
      <sz val="10"/>
      <color indexed="12"/>
      <name val="MS Sans Serif"/>
      <family val="2"/>
    </font>
    <font>
      <u/>
      <sz val="8"/>
      <name val="MS Sans Serif"/>
      <family val="2"/>
    </font>
    <font>
      <b/>
      <sz val="10"/>
      <color indexed="12"/>
      <name val="MS Sans Serif"/>
      <family val="2"/>
    </font>
    <font>
      <b/>
      <sz val="8"/>
      <color indexed="10"/>
      <name val="MS Sans Serif"/>
      <family val="2"/>
    </font>
    <font>
      <b/>
      <sz val="10"/>
      <color indexed="10"/>
      <name val="Arial"/>
      <family val="2"/>
    </font>
    <font>
      <b/>
      <sz val="7"/>
      <color indexed="10"/>
      <name val="Arial"/>
      <family val="2"/>
    </font>
    <font>
      <b/>
      <sz val="10"/>
      <color indexed="14"/>
      <name val="MS Sans Serif"/>
      <family val="2"/>
    </font>
    <font>
      <b/>
      <u/>
      <sz val="8"/>
      <name val="Arial"/>
      <family val="2"/>
    </font>
    <font>
      <sz val="10"/>
      <name val="MS Sans Serif"/>
      <family val="2"/>
    </font>
    <font>
      <b/>
      <sz val="10"/>
      <color indexed="12"/>
      <name val="MS Sans Serif"/>
      <family val="2"/>
    </font>
    <font>
      <b/>
      <sz val="14"/>
      <name val="MS Sans Serif"/>
      <family val="2"/>
    </font>
    <font>
      <b/>
      <sz val="8"/>
      <color indexed="81"/>
      <name val="Tahoma"/>
      <family val="2"/>
    </font>
    <font>
      <sz val="6"/>
      <color indexed="14"/>
      <name val="MS Sans Serif"/>
      <family val="2"/>
    </font>
    <font>
      <u/>
      <sz val="8.5"/>
      <color indexed="12"/>
      <name val="MS Sans Serif"/>
      <family val="2"/>
    </font>
    <font>
      <u/>
      <sz val="12"/>
      <name val="MS Sans Serif"/>
      <family val="2"/>
    </font>
    <font>
      <sz val="12"/>
      <name val="Arial"/>
      <family val="2"/>
    </font>
    <font>
      <b/>
      <sz val="12"/>
      <name val="MS Sans Serif"/>
      <family val="2"/>
    </font>
    <font>
      <sz val="9"/>
      <name val="MS Sans Serif"/>
      <family val="2"/>
    </font>
    <font>
      <sz val="10"/>
      <name val="MS Sans Serif"/>
      <family val="2"/>
    </font>
    <font>
      <b/>
      <sz val="12"/>
      <color indexed="10"/>
      <name val="MS Sans Serif"/>
      <family val="2"/>
    </font>
    <font>
      <b/>
      <u/>
      <sz val="10"/>
      <color indexed="12"/>
      <name val="MS Sans Serif"/>
    </font>
    <font>
      <sz val="10"/>
      <color rgb="FFFF0000"/>
      <name val="MS Sans Serif"/>
      <family val="2"/>
    </font>
    <font>
      <b/>
      <sz val="18"/>
      <name val="MS Sans Serif"/>
      <family val="2"/>
    </font>
    <font>
      <sz val="10"/>
      <color theme="0" tint="-0.14999847407452621"/>
      <name val="MS Sans Serif"/>
      <family val="2"/>
    </font>
    <font>
      <u/>
      <sz val="10"/>
      <color indexed="12"/>
      <name val="MS Sans Serif"/>
    </font>
    <font>
      <u/>
      <sz val="10"/>
      <name val="MS Sans Serif"/>
    </font>
    <font>
      <b/>
      <sz val="10"/>
      <color rgb="FF0070C0"/>
      <name val="MS Sans Serif"/>
    </font>
    <font>
      <u/>
      <sz val="10"/>
      <color indexed="12"/>
      <name val="MS Sans Serif"/>
      <family val="2"/>
    </font>
    <font>
      <b/>
      <u/>
      <sz val="10"/>
      <name val="MS Sans Serif"/>
    </font>
    <font>
      <b/>
      <u/>
      <sz val="12"/>
      <color indexed="10"/>
      <name val="MS Sans Serif"/>
      <family val="2"/>
    </font>
    <font>
      <sz val="12"/>
      <name val="MS Sans Serif"/>
    </font>
    <font>
      <u/>
      <sz val="12"/>
      <name val="MS Sans Serif"/>
    </font>
    <font>
      <sz val="10"/>
      <color indexed="10"/>
      <name val="MS Sans Serif"/>
    </font>
    <font>
      <sz val="8"/>
      <name val="MS Sans Serif"/>
    </font>
    <font>
      <sz val="6"/>
      <color indexed="14"/>
      <name val="MS Sans Serif"/>
    </font>
    <font>
      <b/>
      <sz val="8"/>
      <color rgb="FFFF0000"/>
      <name val="MS Sans Serif"/>
    </font>
    <font>
      <b/>
      <sz val="18"/>
      <name val="MS Sans Serif"/>
    </font>
    <font>
      <b/>
      <sz val="18"/>
      <color rgb="FF0070C0"/>
      <name val="MS Sans Serif"/>
    </font>
    <font>
      <b/>
      <sz val="14"/>
      <color rgb="FFFF0000"/>
      <name val="MS Sans Serif"/>
    </font>
  </fonts>
  <fills count="12">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indexed="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s>
  <borders count="5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14"/>
      </left>
      <right style="medium">
        <color indexed="14"/>
      </right>
      <top style="medium">
        <color indexed="14"/>
      </top>
      <bottom style="medium">
        <color indexed="14"/>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12"/>
      </top>
      <bottom/>
      <diagonal/>
    </border>
    <border>
      <left/>
      <right/>
      <top/>
      <bottom style="medium">
        <color indexed="12"/>
      </bottom>
      <diagonal/>
    </border>
    <border>
      <left style="medium">
        <color indexed="48"/>
      </left>
      <right/>
      <top/>
      <bottom/>
      <diagonal/>
    </border>
    <border>
      <left style="medium">
        <color indexed="12"/>
      </left>
      <right/>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right style="medium">
        <color indexed="48"/>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style="medium">
        <color indexed="12"/>
      </top>
      <bottom/>
      <diagonal/>
    </border>
    <border>
      <left/>
      <right style="medium">
        <color indexed="12"/>
      </right>
      <top style="medium">
        <color indexed="12"/>
      </top>
      <bottom/>
      <diagonal/>
    </border>
    <border>
      <left/>
      <right style="medium">
        <color indexed="12"/>
      </right>
      <top/>
      <bottom/>
      <diagonal/>
    </border>
    <border>
      <left style="medium">
        <color indexed="12"/>
      </left>
      <right/>
      <top/>
      <bottom style="medium">
        <color indexed="12"/>
      </bottom>
      <diagonal/>
    </border>
    <border>
      <left/>
      <right style="medium">
        <color indexed="12"/>
      </right>
      <top/>
      <bottom style="medium">
        <color indexed="1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7030A0"/>
      </left>
      <right style="medium">
        <color rgb="FF7030A0"/>
      </right>
      <top style="medium">
        <color rgb="FF7030A0"/>
      </top>
      <bottom style="medium">
        <color rgb="FF7030A0"/>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ck">
        <color indexed="64"/>
      </top>
      <bottom style="thin">
        <color indexed="64"/>
      </bottom>
      <diagonal/>
    </border>
    <border>
      <left style="thick">
        <color rgb="FF7030A0"/>
      </left>
      <right style="thick">
        <color rgb="FF7030A0"/>
      </right>
      <top style="thick">
        <color rgb="FF7030A0"/>
      </top>
      <bottom style="thick">
        <color rgb="FF7030A0"/>
      </bottom>
      <diagonal/>
    </border>
    <border>
      <left/>
      <right/>
      <top/>
      <bottom style="double">
        <color indexed="64"/>
      </bottom>
      <diagonal/>
    </border>
  </borders>
  <cellStyleXfs count="3">
    <xf numFmtId="0" fontId="0" fillId="0" borderId="0"/>
    <xf numFmtId="0" fontId="41" fillId="0" borderId="0" applyNumberFormat="0" applyFill="0" applyBorder="0" applyAlignment="0" applyProtection="0">
      <alignment vertical="top"/>
      <protection locked="0"/>
    </xf>
    <xf numFmtId="9" fontId="2" fillId="0" borderId="0" applyFont="0" applyFill="0" applyBorder="0" applyAlignment="0" applyProtection="0"/>
  </cellStyleXfs>
  <cellXfs count="600">
    <xf numFmtId="0" fontId="0" fillId="0" borderId="0" xfId="0"/>
    <xf numFmtId="0" fontId="0" fillId="0" borderId="0" xfId="0" applyAlignment="1">
      <alignment horizontal="left"/>
    </xf>
    <xf numFmtId="0" fontId="0" fillId="0" borderId="0" xfId="0" applyAlignment="1">
      <alignment horizontal="center"/>
    </xf>
    <xf numFmtId="0" fontId="0" fillId="0" borderId="0" xfId="0" applyFill="1" applyBorder="1" applyAlignment="1">
      <alignment horizontal="left"/>
    </xf>
    <xf numFmtId="0" fontId="0" fillId="0" borderId="0" xfId="0" applyAlignment="1">
      <alignment horizontal="right"/>
    </xf>
    <xf numFmtId="0" fontId="0" fillId="0" borderId="0" xfId="0" applyBorder="1"/>
    <xf numFmtId="0" fontId="0" fillId="0" borderId="0" xfId="0" applyBorder="1" applyAlignment="1">
      <alignment horizontal="left"/>
    </xf>
    <xf numFmtId="0" fontId="0" fillId="0" borderId="0" xfId="0" applyBorder="1" applyAlignment="1">
      <alignment horizontal="center"/>
    </xf>
    <xf numFmtId="0" fontId="4" fillId="0" borderId="0" xfId="0" applyFont="1" applyAlignment="1">
      <alignment horizontal="left"/>
    </xf>
    <xf numFmtId="0" fontId="5" fillId="0" borderId="0" xfId="0" applyFont="1" applyAlignment="1">
      <alignment horizontal="left"/>
    </xf>
    <xf numFmtId="0" fontId="5" fillId="0" borderId="0" xfId="0" applyFont="1" applyAlignment="1">
      <alignment horizontal="center"/>
    </xf>
    <xf numFmtId="0" fontId="7" fillId="0" borderId="0" xfId="0" applyFont="1" applyAlignment="1">
      <alignment horizontal="left"/>
    </xf>
    <xf numFmtId="0" fontId="8" fillId="0" borderId="0" xfId="0" applyFont="1" applyBorder="1" applyAlignment="1">
      <alignment horizontal="left"/>
    </xf>
    <xf numFmtId="0" fontId="0" fillId="0" borderId="0" xfId="0" applyFill="1" applyBorder="1"/>
    <xf numFmtId="0" fontId="0" fillId="0" borderId="0" xfId="0" applyFill="1" applyBorder="1" applyAlignment="1">
      <alignment horizontal="right"/>
    </xf>
    <xf numFmtId="0" fontId="0" fillId="0" borderId="0" xfId="0" applyFill="1" applyBorder="1" applyAlignment="1">
      <alignment horizontal="center"/>
    </xf>
    <xf numFmtId="0" fontId="8" fillId="0" borderId="0" xfId="0" applyFont="1" applyFill="1" applyBorder="1" applyAlignment="1">
      <alignment horizontal="left"/>
    </xf>
    <xf numFmtId="0" fontId="11" fillId="0" borderId="0" xfId="0" applyFont="1" applyFill="1" applyBorder="1" applyAlignment="1">
      <alignment horizontal="left"/>
    </xf>
    <xf numFmtId="0" fontId="10" fillId="0" borderId="0" xfId="0" applyFont="1" applyFill="1" applyBorder="1" applyAlignment="1">
      <alignment horizontal="center"/>
    </xf>
    <xf numFmtId="0" fontId="27" fillId="0" borderId="0" xfId="0" applyFont="1" applyAlignment="1">
      <alignment horizontal="center"/>
    </xf>
    <xf numFmtId="0" fontId="5" fillId="0" borderId="0" xfId="0" applyFont="1"/>
    <xf numFmtId="0" fontId="5" fillId="0" borderId="0" xfId="0" applyFont="1" applyAlignment="1">
      <alignment horizontal="right"/>
    </xf>
    <xf numFmtId="0" fontId="5" fillId="0" borderId="0" xfId="0" applyFont="1" applyAlignment="1">
      <alignment horizontal="center" vertical="top"/>
    </xf>
    <xf numFmtId="0" fontId="27" fillId="0" borderId="0" xfId="0" applyFont="1" applyBorder="1" applyAlignment="1">
      <alignment horizontal="left"/>
    </xf>
    <xf numFmtId="0" fontId="4" fillId="0" borderId="0" xfId="0" applyFont="1"/>
    <xf numFmtId="0" fontId="31" fillId="0" borderId="0" xfId="0" applyFont="1" applyAlignment="1">
      <alignment horizontal="center" vertical="top"/>
    </xf>
    <xf numFmtId="1" fontId="5" fillId="0" borderId="0" xfId="0" applyNumberFormat="1" applyFont="1" applyFill="1" applyBorder="1"/>
    <xf numFmtId="0" fontId="5" fillId="0" borderId="0" xfId="0" applyFont="1" applyBorder="1" applyAlignment="1">
      <alignment horizontal="left"/>
    </xf>
    <xf numFmtId="3" fontId="13" fillId="0" borderId="0" xfId="0" applyNumberFormat="1" applyFont="1" applyBorder="1" applyAlignment="1">
      <alignment horizontal="center" vertical="top"/>
    </xf>
    <xf numFmtId="0" fontId="0" fillId="0" borderId="0" xfId="0" applyFill="1"/>
    <xf numFmtId="0" fontId="44" fillId="0" borderId="0" xfId="0" applyFont="1"/>
    <xf numFmtId="0" fontId="46" fillId="3" borderId="0" xfId="0" applyFont="1" applyFill="1"/>
    <xf numFmtId="0" fontId="44" fillId="3" borderId="0" xfId="0" applyFont="1" applyFill="1"/>
    <xf numFmtId="0" fontId="16" fillId="0" borderId="0" xfId="0" applyFont="1"/>
    <xf numFmtId="0" fontId="10" fillId="0" borderId="0" xfId="0" applyFont="1" applyFill="1" applyBorder="1" applyAlignment="1">
      <alignment horizontal="right"/>
    </xf>
    <xf numFmtId="2" fontId="0" fillId="0" borderId="0" xfId="0" applyNumberFormat="1" applyFill="1" applyBorder="1" applyAlignment="1">
      <alignment horizontal="center"/>
    </xf>
    <xf numFmtId="0" fontId="0" fillId="0" borderId="0" xfId="0" applyFill="1" applyBorder="1" applyAlignment="1">
      <alignment horizontal="left" vertical="center"/>
    </xf>
    <xf numFmtId="0" fontId="12" fillId="0" borderId="0" xfId="0"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xf>
    <xf numFmtId="0" fontId="11" fillId="0" borderId="0" xfId="0" applyFont="1" applyFill="1" applyBorder="1" applyAlignment="1">
      <alignment horizontal="center"/>
    </xf>
    <xf numFmtId="0" fontId="25" fillId="0" borderId="0" xfId="0" applyFont="1" applyFill="1" applyBorder="1" applyAlignment="1">
      <alignment horizontal="center"/>
    </xf>
    <xf numFmtId="0" fontId="26" fillId="0" borderId="0" xfId="0" applyFont="1" applyFill="1" applyBorder="1" applyAlignment="1">
      <alignment horizontal="center"/>
    </xf>
    <xf numFmtId="0" fontId="8" fillId="0" borderId="0" xfId="0" applyFont="1" applyFill="1" applyBorder="1" applyAlignment="1">
      <alignment horizontal="center"/>
    </xf>
    <xf numFmtId="0" fontId="18" fillId="0" borderId="0" xfId="0"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alignment horizontal="center"/>
    </xf>
    <xf numFmtId="0" fontId="10" fillId="0" borderId="0" xfId="0" quotePrefix="1" applyFont="1" applyFill="1" applyBorder="1" applyAlignment="1">
      <alignment horizontal="right"/>
    </xf>
    <xf numFmtId="164" fontId="0" fillId="0" borderId="0" xfId="0" applyNumberFormat="1" applyFill="1" applyBorder="1" applyAlignment="1">
      <alignment horizontal="center"/>
    </xf>
    <xf numFmtId="9" fontId="10" fillId="0" borderId="0" xfId="0" applyNumberFormat="1" applyFont="1" applyFill="1" applyBorder="1" applyAlignment="1">
      <alignment horizontal="center" vertical="top"/>
    </xf>
    <xf numFmtId="9" fontId="10" fillId="0" borderId="0" xfId="0" applyNumberFormat="1" applyFont="1" applyFill="1" applyBorder="1" applyAlignment="1">
      <alignment horizontal="center"/>
    </xf>
    <xf numFmtId="2" fontId="0" fillId="0" borderId="0" xfId="0" applyNumberFormat="1" applyFill="1" applyBorder="1" applyAlignment="1">
      <alignment horizontal="right"/>
    </xf>
    <xf numFmtId="2" fontId="5" fillId="0" borderId="0" xfId="0" applyNumberFormat="1" applyFont="1" applyFill="1" applyBorder="1" applyAlignment="1">
      <alignment horizontal="center"/>
    </xf>
    <xf numFmtId="0" fontId="0" fillId="4" borderId="4" xfId="0" applyFill="1" applyBorder="1" applyAlignment="1" applyProtection="1">
      <alignment horizontal="center"/>
      <protection locked="0"/>
    </xf>
    <xf numFmtId="2" fontId="0" fillId="4" borderId="4" xfId="0" applyNumberForma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0" fillId="0" borderId="0" xfId="0" applyFill="1" applyBorder="1" applyAlignment="1" applyProtection="1">
      <alignment horizontal="center"/>
    </xf>
    <xf numFmtId="0" fontId="0" fillId="0" borderId="0" xfId="0" applyFill="1" applyProtection="1"/>
    <xf numFmtId="0" fontId="0" fillId="0" borderId="0" xfId="0" applyFill="1" applyAlignment="1" applyProtection="1">
      <alignment horizontal="center"/>
    </xf>
    <xf numFmtId="167" fontId="20" fillId="0" borderId="0" xfId="0" applyNumberFormat="1" applyFont="1" applyFill="1" applyBorder="1" applyAlignment="1" applyProtection="1">
      <alignment horizontal="center"/>
    </xf>
    <xf numFmtId="0" fontId="34" fillId="0" borderId="0" xfId="0" applyFont="1" applyFill="1" applyBorder="1" applyAlignment="1" applyProtection="1">
      <alignment horizontal="center"/>
    </xf>
    <xf numFmtId="0" fontId="34" fillId="0" borderId="0" xfId="0" applyFont="1" applyFill="1" applyBorder="1" applyAlignment="1" applyProtection="1">
      <alignment horizontal="left"/>
    </xf>
    <xf numFmtId="0" fontId="23" fillId="0" borderId="0" xfId="0" applyFont="1" applyFill="1" applyBorder="1" applyAlignment="1" applyProtection="1">
      <alignment horizontal="left"/>
    </xf>
    <xf numFmtId="0" fontId="52" fillId="0" borderId="0" xfId="0" applyFont="1" applyFill="1" applyBorder="1" applyAlignment="1" applyProtection="1">
      <alignment horizontal="left"/>
    </xf>
    <xf numFmtId="0" fontId="29" fillId="0" borderId="0" xfId="0" applyFont="1" applyFill="1" applyBorder="1" applyProtection="1"/>
    <xf numFmtId="9" fontId="48" fillId="0" borderId="0" xfId="2" applyFont="1" applyFill="1" applyBorder="1" applyAlignment="1" applyProtection="1">
      <alignment horizontal="center"/>
    </xf>
    <xf numFmtId="9" fontId="0" fillId="0" borderId="0" xfId="2" applyFont="1" applyFill="1" applyBorder="1" applyAlignment="1" applyProtection="1">
      <alignment horizontal="left"/>
    </xf>
    <xf numFmtId="9" fontId="3" fillId="0" borderId="0" xfId="2" applyFont="1" applyFill="1" applyBorder="1" applyAlignment="1" applyProtection="1">
      <alignment horizontal="left"/>
    </xf>
    <xf numFmtId="0" fontId="5" fillId="0" borderId="4" xfId="0" quotePrefix="1" applyFont="1" applyFill="1" applyBorder="1" applyAlignment="1" applyProtection="1">
      <alignment horizontal="center"/>
    </xf>
    <xf numFmtId="0" fontId="40" fillId="0" borderId="4" xfId="0" applyFont="1" applyFill="1" applyBorder="1" applyAlignment="1" applyProtection="1">
      <alignment horizontal="center"/>
    </xf>
    <xf numFmtId="0" fontId="40" fillId="0" borderId="4" xfId="0" quotePrefix="1" applyFont="1" applyFill="1" applyBorder="1" applyAlignment="1" applyProtection="1">
      <alignment horizontal="center"/>
    </xf>
    <xf numFmtId="0" fontId="48" fillId="0" borderId="0" xfId="0" applyFont="1" applyFill="1"/>
    <xf numFmtId="0" fontId="5" fillId="0" borderId="0" xfId="0" applyFont="1" applyFill="1" applyBorder="1" applyAlignment="1" applyProtection="1">
      <alignment horizontal="left"/>
    </xf>
    <xf numFmtId="0" fontId="0" fillId="0" borderId="0" xfId="0" applyFill="1" applyAlignment="1" applyProtection="1">
      <alignment horizontal="left"/>
    </xf>
    <xf numFmtId="0" fontId="0" fillId="0" borderId="0" xfId="0" applyFill="1" applyBorder="1" applyAlignment="1" applyProtection="1">
      <alignment horizontal="left"/>
    </xf>
    <xf numFmtId="0" fontId="0" fillId="0" borderId="4" xfId="0" applyFill="1" applyBorder="1" applyAlignment="1" applyProtection="1">
      <alignment horizontal="center"/>
    </xf>
    <xf numFmtId="0" fontId="11" fillId="0" borderId="0" xfId="0" applyFont="1"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2" fontId="0" fillId="0" borderId="4" xfId="0" applyNumberFormat="1" applyFill="1" applyBorder="1" applyAlignment="1" applyProtection="1">
      <alignment horizontal="center"/>
    </xf>
    <xf numFmtId="0" fontId="2" fillId="4" borderId="4" xfId="0" applyFont="1" applyFill="1" applyBorder="1" applyAlignment="1" applyProtection="1">
      <alignment horizontal="center"/>
      <protection locked="0"/>
    </xf>
    <xf numFmtId="0" fontId="34" fillId="0" borderId="0" xfId="0" applyFont="1" applyFill="1" applyBorder="1" applyProtection="1"/>
    <xf numFmtId="0" fontId="34" fillId="0" borderId="0" xfId="0" applyFont="1" applyFill="1" applyBorder="1" applyAlignment="1" applyProtection="1">
      <alignment horizontal="right"/>
    </xf>
    <xf numFmtId="0" fontId="0" fillId="0" borderId="0" xfId="0" applyFill="1" applyBorder="1" applyProtection="1"/>
    <xf numFmtId="49" fontId="0" fillId="0" borderId="0" xfId="0" applyNumberFormat="1" applyFill="1" applyAlignment="1" applyProtection="1">
      <alignment horizontal="center"/>
    </xf>
    <xf numFmtId="49" fontId="0" fillId="0" borderId="0" xfId="0" applyNumberFormat="1" applyFill="1" applyAlignment="1" applyProtection="1">
      <alignment horizontal="left"/>
    </xf>
    <xf numFmtId="0" fontId="34" fillId="0" borderId="0" xfId="0" applyFont="1" applyFill="1" applyAlignment="1" applyProtection="1">
      <alignment horizontal="center"/>
    </xf>
    <xf numFmtId="0" fontId="42" fillId="0" borderId="0" xfId="0" applyFont="1" applyFill="1" applyBorder="1" applyProtection="1"/>
    <xf numFmtId="49" fontId="0" fillId="0" borderId="0" xfId="0" applyNumberFormat="1" applyFill="1" applyProtection="1"/>
    <xf numFmtId="0" fontId="0" fillId="0" borderId="7" xfId="0" applyFill="1" applyBorder="1" applyAlignment="1" applyProtection="1"/>
    <xf numFmtId="0" fontId="0" fillId="0" borderId="0" xfId="0" applyFill="1" applyBorder="1" applyAlignment="1" applyProtection="1"/>
    <xf numFmtId="0" fontId="8" fillId="0" borderId="0" xfId="0" applyFont="1" applyFill="1" applyBorder="1" applyAlignment="1" applyProtection="1">
      <alignment horizontal="left"/>
    </xf>
    <xf numFmtId="0" fontId="0" fillId="0" borderId="7" xfId="0" applyFill="1" applyBorder="1" applyAlignment="1" applyProtection="1">
      <alignment horizontal="left"/>
    </xf>
    <xf numFmtId="0" fontId="52" fillId="0" borderId="0" xfId="0" applyFont="1" applyFill="1" applyBorder="1" applyAlignment="1" applyProtection="1">
      <alignment horizontal="center"/>
    </xf>
    <xf numFmtId="1" fontId="29" fillId="0" borderId="0" xfId="0" applyNumberFormat="1" applyFont="1" applyFill="1" applyBorder="1" applyAlignment="1" applyProtection="1">
      <alignment horizontal="center"/>
    </xf>
    <xf numFmtId="0" fontId="25" fillId="0" borderId="0" xfId="0" applyFont="1" applyFill="1" applyAlignment="1" applyProtection="1">
      <alignment horizontal="left"/>
    </xf>
    <xf numFmtId="1" fontId="0" fillId="0" borderId="0" xfId="0" applyNumberFormat="1" applyFill="1" applyBorder="1" applyAlignment="1" applyProtection="1">
      <alignment horizontal="center"/>
    </xf>
    <xf numFmtId="1" fontId="5" fillId="0" borderId="0" xfId="0" applyNumberFormat="1" applyFont="1" applyFill="1" applyBorder="1" applyAlignment="1" applyProtection="1">
      <alignment horizontal="center"/>
    </xf>
    <xf numFmtId="0" fontId="11" fillId="0" borderId="4" xfId="0" applyFont="1" applyFill="1" applyBorder="1" applyAlignment="1" applyProtection="1">
      <alignment horizontal="center"/>
    </xf>
    <xf numFmtId="0" fontId="54" fillId="0" borderId="0" xfId="0" applyFont="1" applyFill="1" applyBorder="1" applyAlignment="1" applyProtection="1">
      <alignment horizontal="right"/>
    </xf>
    <xf numFmtId="0" fontId="40" fillId="0" borderId="1" xfId="0" applyFont="1" applyFill="1" applyBorder="1" applyAlignment="1" applyProtection="1">
      <alignment horizontal="center"/>
    </xf>
    <xf numFmtId="1" fontId="13" fillId="0" borderId="0" xfId="0" applyNumberFormat="1" applyFont="1" applyFill="1" applyBorder="1" applyAlignment="1" applyProtection="1">
      <alignment horizontal="center"/>
    </xf>
    <xf numFmtId="1" fontId="34" fillId="0" borderId="0" xfId="0" applyNumberFormat="1" applyFont="1" applyFill="1" applyBorder="1" applyAlignment="1" applyProtection="1">
      <alignment horizontal="center"/>
    </xf>
    <xf numFmtId="0" fontId="0" fillId="0" borderId="0" xfId="0" applyFill="1" applyBorder="1" applyAlignment="1" applyProtection="1">
      <alignment horizontal="right"/>
    </xf>
    <xf numFmtId="0" fontId="10" fillId="0" borderId="0" xfId="0" applyFont="1" applyFill="1" applyBorder="1" applyProtection="1"/>
    <xf numFmtId="0" fontId="2" fillId="0" borderId="0" xfId="0" applyFont="1" applyFill="1" applyBorder="1" applyProtection="1"/>
    <xf numFmtId="0" fontId="51" fillId="0" borderId="0" xfId="1" applyFont="1" applyFill="1" applyBorder="1" applyAlignment="1" applyProtection="1">
      <alignment horizontal="center"/>
      <protection locked="0"/>
    </xf>
    <xf numFmtId="0" fontId="51" fillId="0" borderId="0" xfId="1" applyFont="1" applyFill="1" applyBorder="1" applyAlignment="1" applyProtection="1">
      <alignment horizontal="left"/>
      <protection locked="0"/>
    </xf>
    <xf numFmtId="0" fontId="30" fillId="0" borderId="1" xfId="0" applyFont="1" applyBorder="1" applyAlignment="1" applyProtection="1">
      <alignment horizontal="center"/>
    </xf>
    <xf numFmtId="0" fontId="0" fillId="0" borderId="0" xfId="0" applyFill="1" applyBorder="1" applyAlignment="1" applyProtection="1">
      <alignment textRotation="90"/>
    </xf>
    <xf numFmtId="0" fontId="23" fillId="0" borderId="0" xfId="0" applyFont="1" applyFill="1" applyBorder="1" applyAlignment="1" applyProtection="1">
      <alignment horizontal="center"/>
    </xf>
    <xf numFmtId="2" fontId="5" fillId="0" borderId="0" xfId="0" applyNumberFormat="1" applyFont="1" applyFill="1" applyBorder="1" applyAlignment="1" applyProtection="1">
      <alignment horizontal="center" vertical="top"/>
    </xf>
    <xf numFmtId="1" fontId="5" fillId="0" borderId="0" xfId="0" applyNumberFormat="1" applyFont="1" applyFill="1" applyBorder="1" applyAlignment="1" applyProtection="1">
      <alignment horizontal="center" vertical="top"/>
    </xf>
    <xf numFmtId="0" fontId="63" fillId="0" borderId="0" xfId="0" applyFont="1" applyFill="1" applyBorder="1" applyAlignment="1" applyProtection="1">
      <alignment horizontal="right"/>
    </xf>
    <xf numFmtId="166" fontId="11" fillId="4" borderId="4" xfId="0" applyNumberFormat="1" applyFont="1" applyFill="1" applyBorder="1" applyAlignment="1" applyProtection="1">
      <alignment horizontal="center"/>
      <protection locked="0"/>
    </xf>
    <xf numFmtId="0" fontId="10" fillId="0" borderId="30" xfId="0" applyFont="1" applyFill="1" applyBorder="1" applyProtection="1"/>
    <xf numFmtId="0" fontId="0" fillId="0" borderId="31" xfId="0" applyFill="1" applyBorder="1" applyProtection="1"/>
    <xf numFmtId="0" fontId="47" fillId="0" borderId="31" xfId="0" applyFont="1" applyFill="1" applyBorder="1" applyAlignment="1" applyProtection="1">
      <alignment horizontal="center"/>
    </xf>
    <xf numFmtId="0" fontId="34" fillId="0" borderId="31" xfId="0" applyFont="1" applyFill="1" applyBorder="1" applyAlignment="1" applyProtection="1">
      <alignment horizontal="center"/>
    </xf>
    <xf numFmtId="0" fontId="0" fillId="0" borderId="32" xfId="0" applyFill="1" applyBorder="1" applyProtection="1"/>
    <xf numFmtId="0" fontId="0" fillId="0" borderId="33" xfId="0" applyFill="1" applyBorder="1" applyProtection="1"/>
    <xf numFmtId="0" fontId="51" fillId="0" borderId="34" xfId="1" applyFont="1" applyFill="1" applyBorder="1" applyAlignment="1" applyProtection="1">
      <protection locked="0"/>
    </xf>
    <xf numFmtId="0" fontId="49" fillId="0" borderId="0" xfId="0" applyFont="1" applyFill="1" applyBorder="1" applyAlignment="1" applyProtection="1">
      <alignment horizontal="left"/>
    </xf>
    <xf numFmtId="0" fontId="0" fillId="0" borderId="35" xfId="0" applyFill="1" applyBorder="1" applyProtection="1"/>
    <xf numFmtId="0" fontId="34" fillId="0" borderId="11" xfId="0" applyFont="1" applyFill="1" applyBorder="1" applyAlignment="1" applyProtection="1">
      <alignment horizontal="right"/>
    </xf>
    <xf numFmtId="0" fontId="34" fillId="0" borderId="11" xfId="0" applyFont="1" applyFill="1" applyBorder="1" applyProtection="1"/>
    <xf numFmtId="0" fontId="0" fillId="0" borderId="11" xfId="0" applyFill="1" applyBorder="1" applyProtection="1"/>
    <xf numFmtId="0" fontId="51" fillId="0" borderId="36" xfId="1" applyFont="1" applyFill="1" applyBorder="1" applyAlignment="1" applyProtection="1">
      <protection locked="0"/>
    </xf>
    <xf numFmtId="0" fontId="32" fillId="0" borderId="0" xfId="0" applyFont="1" applyFill="1" applyBorder="1" applyProtection="1"/>
    <xf numFmtId="0" fontId="58" fillId="0" borderId="0" xfId="0" applyFont="1" applyFill="1" applyBorder="1" applyProtection="1"/>
    <xf numFmtId="0" fontId="68" fillId="0" borderId="0" xfId="0" applyFont="1" applyFill="1" applyAlignment="1" applyProtection="1">
      <alignment horizontal="left"/>
    </xf>
    <xf numFmtId="0" fontId="0" fillId="6" borderId="0" xfId="0" applyFill="1" applyAlignment="1">
      <alignment horizontal="left"/>
    </xf>
    <xf numFmtId="0" fontId="0" fillId="6" borderId="0" xfId="0" applyFill="1" applyBorder="1" applyAlignment="1">
      <alignment horizontal="left"/>
    </xf>
    <xf numFmtId="0" fontId="0" fillId="6" borderId="0" xfId="0" applyFill="1"/>
    <xf numFmtId="0" fontId="0" fillId="6" borderId="0" xfId="0" applyFill="1" applyBorder="1"/>
    <xf numFmtId="0" fontId="24" fillId="0" borderId="0" xfId="0" applyFont="1" applyFill="1" applyBorder="1" applyAlignment="1" applyProtection="1">
      <alignment horizontal="center"/>
    </xf>
    <xf numFmtId="0" fontId="0" fillId="0" borderId="39" xfId="0" applyFill="1" applyBorder="1" applyProtection="1"/>
    <xf numFmtId="0" fontId="0" fillId="0" borderId="40" xfId="0" applyFill="1" applyBorder="1" applyProtection="1"/>
    <xf numFmtId="0" fontId="0" fillId="0" borderId="41" xfId="0" applyFill="1" applyBorder="1" applyProtection="1"/>
    <xf numFmtId="0" fontId="0" fillId="0" borderId="42" xfId="0" applyFill="1" applyBorder="1" applyProtection="1"/>
    <xf numFmtId="0" fontId="0" fillId="0" borderId="43" xfId="0" applyFill="1" applyBorder="1" applyProtection="1"/>
    <xf numFmtId="0" fontId="0" fillId="0" borderId="44" xfId="0" applyFill="1" applyBorder="1" applyProtection="1"/>
    <xf numFmtId="0" fontId="0" fillId="0" borderId="45" xfId="0" applyFill="1" applyBorder="1" applyProtection="1"/>
    <xf numFmtId="0" fontId="0" fillId="0" borderId="45" xfId="0" applyFill="1" applyBorder="1" applyAlignment="1" applyProtection="1">
      <alignment horizontal="center"/>
    </xf>
    <xf numFmtId="0" fontId="42" fillId="0" borderId="45" xfId="0" applyFont="1" applyFill="1" applyBorder="1" applyProtection="1"/>
    <xf numFmtId="0" fontId="0" fillId="0" borderId="45" xfId="0" applyFill="1" applyBorder="1" applyAlignment="1" applyProtection="1">
      <alignment horizontal="left"/>
    </xf>
    <xf numFmtId="0" fontId="0" fillId="0" borderId="43" xfId="0" applyFill="1" applyBorder="1" applyAlignment="1" applyProtection="1">
      <alignment horizontal="left"/>
    </xf>
    <xf numFmtId="0" fontId="5" fillId="0" borderId="0" xfId="0" applyFont="1" applyBorder="1" applyAlignment="1" applyProtection="1">
      <alignment horizontal="left"/>
    </xf>
    <xf numFmtId="0" fontId="0" fillId="0" borderId="46" xfId="0" applyFill="1" applyBorder="1" applyProtection="1"/>
    <xf numFmtId="0" fontId="26" fillId="0" borderId="0" xfId="0" applyFont="1" applyFill="1" applyBorder="1" applyProtection="1"/>
    <xf numFmtId="0" fontId="25" fillId="0" borderId="0" xfId="0" applyFont="1" applyFill="1" applyBorder="1" applyAlignment="1" applyProtection="1">
      <alignment horizontal="right"/>
    </xf>
    <xf numFmtId="0" fontId="49" fillId="0" borderId="0" xfId="0" applyFont="1" applyFill="1" applyBorder="1" applyAlignment="1" applyProtection="1">
      <alignment horizontal="right"/>
    </xf>
    <xf numFmtId="0" fontId="51" fillId="0" borderId="0" xfId="1" applyFont="1" applyFill="1" applyBorder="1" applyAlignment="1" applyProtection="1">
      <protection locked="0"/>
    </xf>
    <xf numFmtId="0" fontId="26" fillId="0" borderId="40" xfId="0" applyFont="1" applyFill="1" applyBorder="1" applyProtection="1"/>
    <xf numFmtId="0" fontId="25" fillId="0" borderId="45" xfId="0" applyFont="1" applyFill="1" applyBorder="1" applyAlignment="1" applyProtection="1">
      <alignment horizontal="right"/>
    </xf>
    <xf numFmtId="0" fontId="22" fillId="0" borderId="0" xfId="0" applyFont="1" applyFill="1" applyBorder="1" applyAlignment="1" applyProtection="1"/>
    <xf numFmtId="0" fontId="48" fillId="0" borderId="0" xfId="0" applyFont="1" applyFill="1" applyBorder="1" applyProtection="1"/>
    <xf numFmtId="0" fontId="22" fillId="0" borderId="0" xfId="0" applyFont="1" applyFill="1" applyBorder="1" applyAlignment="1" applyProtection="1">
      <alignment horizontal="left"/>
    </xf>
    <xf numFmtId="0" fontId="23" fillId="0" borderId="0" xfId="0" applyFont="1" applyFill="1" applyBorder="1" applyProtection="1"/>
    <xf numFmtId="0" fontId="36" fillId="0" borderId="0" xfId="0" applyFont="1" applyFill="1" applyBorder="1" applyAlignment="1" applyProtection="1">
      <alignment horizontal="center"/>
    </xf>
    <xf numFmtId="0" fontId="22" fillId="0" borderId="0" xfId="0" applyFont="1" applyFill="1" applyBorder="1" applyProtection="1"/>
    <xf numFmtId="0" fontId="0" fillId="0" borderId="42" xfId="0" applyFill="1" applyBorder="1" applyAlignment="1" applyProtection="1">
      <alignment horizontal="center"/>
    </xf>
    <xf numFmtId="9" fontId="69" fillId="0" borderId="43" xfId="2" applyFont="1" applyFill="1" applyBorder="1" applyAlignment="1" applyProtection="1">
      <alignment horizontal="left"/>
    </xf>
    <xf numFmtId="9" fontId="20" fillId="0" borderId="43" xfId="2" applyFont="1" applyFill="1" applyBorder="1" applyAlignment="1" applyProtection="1">
      <alignment horizontal="left"/>
    </xf>
    <xf numFmtId="9" fontId="0" fillId="0" borderId="0" xfId="0" applyNumberFormat="1" applyFill="1" applyBorder="1" applyAlignment="1" applyProtection="1">
      <alignment horizontal="left"/>
    </xf>
    <xf numFmtId="9" fontId="3" fillId="0" borderId="43" xfId="2" applyFont="1" applyFill="1" applyBorder="1" applyAlignment="1" applyProtection="1">
      <alignment horizontal="left"/>
    </xf>
    <xf numFmtId="0" fontId="34" fillId="0" borderId="45" xfId="0" applyFont="1" applyFill="1" applyBorder="1" applyProtection="1"/>
    <xf numFmtId="0" fontId="49" fillId="0" borderId="45" xfId="0" applyFont="1" applyFill="1" applyBorder="1" applyAlignment="1" applyProtection="1">
      <alignment horizontal="center"/>
    </xf>
    <xf numFmtId="0" fontId="0" fillId="0" borderId="40" xfId="0" applyFill="1" applyBorder="1" applyAlignment="1" applyProtection="1">
      <alignment horizontal="left"/>
    </xf>
    <xf numFmtId="0" fontId="0" fillId="0" borderId="39" xfId="0" applyFill="1" applyBorder="1" applyAlignment="1" applyProtection="1">
      <alignment horizontal="left"/>
    </xf>
    <xf numFmtId="0" fontId="0" fillId="0" borderId="40" xfId="0" applyFill="1" applyBorder="1" applyAlignment="1" applyProtection="1">
      <alignment horizontal="center"/>
    </xf>
    <xf numFmtId="0" fontId="0" fillId="0" borderId="42" xfId="0" applyFill="1" applyBorder="1" applyAlignment="1" applyProtection="1">
      <alignment horizontal="left"/>
    </xf>
    <xf numFmtId="0" fontId="34" fillId="0" borderId="0" xfId="0" applyFont="1" applyFill="1" applyBorder="1" applyAlignment="1" applyProtection="1"/>
    <xf numFmtId="0" fontId="0" fillId="0" borderId="44" xfId="0" applyFill="1" applyBorder="1" applyAlignment="1" applyProtection="1">
      <alignment horizontal="left"/>
    </xf>
    <xf numFmtId="1" fontId="0" fillId="0" borderId="45" xfId="0" applyNumberFormat="1" applyFill="1" applyBorder="1" applyAlignment="1" applyProtection="1">
      <alignment horizontal="left"/>
    </xf>
    <xf numFmtId="2" fontId="0" fillId="0" borderId="11" xfId="0" applyNumberFormat="1" applyFill="1" applyBorder="1" applyAlignment="1" applyProtection="1">
      <alignment horizontal="center"/>
    </xf>
    <xf numFmtId="0" fontId="0" fillId="0" borderId="0" xfId="0" applyFill="1" applyBorder="1" applyAlignment="1" applyProtection="1">
      <alignment horizontal="center"/>
      <protection locked="0"/>
    </xf>
    <xf numFmtId="0" fontId="50" fillId="0" borderId="0" xfId="1" applyFont="1" applyFill="1" applyBorder="1" applyAlignment="1" applyProtection="1"/>
    <xf numFmtId="0" fontId="24" fillId="0" borderId="1" xfId="0" applyFont="1" applyFill="1" applyBorder="1" applyAlignment="1" applyProtection="1">
      <alignment horizontal="left"/>
    </xf>
    <xf numFmtId="0" fontId="0" fillId="7" borderId="0" xfId="0" applyFill="1" applyProtection="1"/>
    <xf numFmtId="0" fontId="59" fillId="7" borderId="0" xfId="0" applyFont="1" applyFill="1" applyProtection="1"/>
    <xf numFmtId="0" fontId="0" fillId="7" borderId="0" xfId="0" applyFill="1" applyBorder="1" applyProtection="1"/>
    <xf numFmtId="0" fontId="52" fillId="0" borderId="43" xfId="0" applyFont="1" applyFill="1" applyBorder="1" applyAlignment="1" applyProtection="1">
      <alignment horizontal="center"/>
    </xf>
    <xf numFmtId="0" fontId="0" fillId="8" borderId="0" xfId="0" applyFill="1" applyProtection="1"/>
    <xf numFmtId="0" fontId="0" fillId="8" borderId="0" xfId="0" applyFill="1" applyBorder="1" applyProtection="1"/>
    <xf numFmtId="0" fontId="0" fillId="7" borderId="0" xfId="0" applyFill="1" applyAlignment="1">
      <alignment horizontal="center"/>
    </xf>
    <xf numFmtId="0" fontId="71" fillId="0" borderId="0" xfId="1" applyFont="1" applyFill="1" applyBorder="1" applyAlignment="1" applyProtection="1">
      <protection locked="0"/>
    </xf>
    <xf numFmtId="0" fontId="71" fillId="0" borderId="0" xfId="1" applyFont="1" applyFill="1" applyBorder="1" applyAlignment="1" applyProtection="1">
      <alignment horizontal="center"/>
      <protection locked="0"/>
    </xf>
    <xf numFmtId="0" fontId="71" fillId="0" borderId="34" xfId="1" applyFont="1" applyFill="1" applyBorder="1" applyAlignment="1" applyProtection="1">
      <protection locked="0"/>
    </xf>
    <xf numFmtId="2" fontId="0" fillId="0" borderId="0" xfId="0" applyNumberFormat="1" applyFill="1" applyBorder="1" applyAlignment="1" applyProtection="1">
      <alignment horizontal="center"/>
    </xf>
    <xf numFmtId="0" fontId="34" fillId="0" borderId="0" xfId="0" applyFont="1" applyFill="1" applyBorder="1" applyAlignment="1" applyProtection="1">
      <alignment horizontal="center"/>
    </xf>
    <xf numFmtId="0" fontId="22" fillId="0" borderId="0" xfId="0" applyFont="1" applyFill="1" applyBorder="1" applyAlignment="1" applyProtection="1">
      <alignment horizontal="center"/>
    </xf>
    <xf numFmtId="0" fontId="0" fillId="0" borderId="0" xfId="0" applyFill="1" applyBorder="1" applyAlignment="1" applyProtection="1">
      <alignment horizontal="center"/>
    </xf>
    <xf numFmtId="0" fontId="0" fillId="9" borderId="0" xfId="0" applyFill="1"/>
    <xf numFmtId="0" fontId="0" fillId="9" borderId="0" xfId="0" applyFill="1" applyProtection="1"/>
    <xf numFmtId="0" fontId="0" fillId="9" borderId="0" xfId="0" applyFill="1" applyBorder="1" applyProtection="1"/>
    <xf numFmtId="0" fontId="0" fillId="9" borderId="0" xfId="0" applyFill="1" applyBorder="1" applyAlignment="1" applyProtection="1">
      <alignment horizontal="center"/>
    </xf>
    <xf numFmtId="166" fontId="5" fillId="9" borderId="0" xfId="0" applyNumberFormat="1" applyFont="1" applyFill="1" applyBorder="1" applyAlignment="1" applyProtection="1">
      <alignment horizontal="center"/>
    </xf>
    <xf numFmtId="0" fontId="21" fillId="9" borderId="0" xfId="0" applyFont="1" applyFill="1" applyProtection="1"/>
    <xf numFmtId="0" fontId="25" fillId="9" borderId="0" xfId="0" applyFont="1" applyFill="1" applyAlignment="1" applyProtection="1">
      <alignment horizontal="left"/>
    </xf>
    <xf numFmtId="0" fontId="1" fillId="9" borderId="0" xfId="0" applyFont="1" applyFill="1" applyAlignment="1" applyProtection="1">
      <alignment horizontal="left"/>
    </xf>
    <xf numFmtId="0" fontId="2" fillId="9" borderId="0" xfId="0" applyFont="1" applyFill="1" applyBorder="1" applyProtection="1"/>
    <xf numFmtId="0" fontId="24" fillId="0" borderId="0" xfId="0" applyFont="1" applyFill="1" applyBorder="1" applyAlignment="1" applyProtection="1">
      <alignment horizontal="left"/>
    </xf>
    <xf numFmtId="0" fontId="0" fillId="0" borderId="0" xfId="0" applyFill="1" applyBorder="1" applyAlignment="1" applyProtection="1">
      <alignment horizontal="center"/>
    </xf>
    <xf numFmtId="0" fontId="25" fillId="0" borderId="0" xfId="0" applyFont="1" applyFill="1" applyBorder="1" applyAlignment="1" applyProtection="1">
      <alignment horizontal="center"/>
    </xf>
    <xf numFmtId="9" fontId="48" fillId="0" borderId="3" xfId="2" applyFont="1" applyFill="1" applyBorder="1" applyAlignment="1" applyProtection="1">
      <alignment horizontal="center"/>
    </xf>
    <xf numFmtId="0" fontId="23" fillId="0" borderId="0" xfId="0" applyFont="1" applyFill="1" applyBorder="1" applyAlignment="1" applyProtection="1">
      <alignment horizontal="right"/>
    </xf>
    <xf numFmtId="49" fontId="0" fillId="0" borderId="0" xfId="0" applyNumberFormat="1" applyFill="1" applyBorder="1" applyAlignment="1" applyProtection="1">
      <protection locked="0"/>
    </xf>
    <xf numFmtId="0" fontId="0" fillId="0" borderId="41" xfId="0" applyBorder="1"/>
    <xf numFmtId="0" fontId="0" fillId="0" borderId="43" xfId="0" applyBorder="1"/>
    <xf numFmtId="0" fontId="0" fillId="0" borderId="0" xfId="0" applyFill="1" applyBorder="1" applyAlignment="1" applyProtection="1">
      <alignment wrapText="1"/>
    </xf>
    <xf numFmtId="0" fontId="0" fillId="7" borderId="0" xfId="0" applyFill="1"/>
    <xf numFmtId="0" fontId="34" fillId="7" borderId="0" xfId="0" applyFont="1" applyFill="1" applyAlignment="1" applyProtection="1">
      <alignment horizontal="center"/>
    </xf>
    <xf numFmtId="9" fontId="59" fillId="7" borderId="0" xfId="2" applyFont="1" applyFill="1" applyBorder="1" applyAlignment="1" applyProtection="1">
      <alignment horizontal="center"/>
    </xf>
    <xf numFmtId="9" fontId="74" fillId="7" borderId="0" xfId="2" applyFont="1" applyFill="1" applyBorder="1" applyAlignment="1" applyProtection="1">
      <alignment horizontal="center"/>
    </xf>
    <xf numFmtId="0" fontId="74" fillId="7" borderId="0" xfId="0" applyFont="1" applyFill="1" applyProtection="1"/>
    <xf numFmtId="0" fontId="10" fillId="0" borderId="0" xfId="0" applyFont="1" applyFill="1" applyBorder="1" applyAlignment="1" applyProtection="1"/>
    <xf numFmtId="0" fontId="22" fillId="0" borderId="43" xfId="0" applyFont="1" applyFill="1" applyBorder="1" applyAlignment="1" applyProtection="1"/>
    <xf numFmtId="0" fontId="2" fillId="0" borderId="1" xfId="0" applyFont="1" applyFill="1" applyBorder="1" applyAlignment="1" applyProtection="1"/>
    <xf numFmtId="0" fontId="75" fillId="0" borderId="0" xfId="1" applyFont="1" applyFill="1" applyBorder="1" applyAlignment="1" applyProtection="1">
      <protection locked="0"/>
    </xf>
    <xf numFmtId="0" fontId="6" fillId="0" borderId="0" xfId="0" applyFont="1" applyFill="1" applyBorder="1" applyAlignment="1" applyProtection="1">
      <alignment textRotation="90"/>
    </xf>
    <xf numFmtId="0" fontId="38" fillId="0" borderId="0" xfId="0" applyFont="1" applyFill="1" applyBorder="1" applyAlignment="1" applyProtection="1">
      <alignment horizontal="center"/>
    </xf>
    <xf numFmtId="0" fontId="0" fillId="0" borderId="39" xfId="0" applyFill="1" applyBorder="1"/>
    <xf numFmtId="0" fontId="0" fillId="0" borderId="42" xfId="0" applyFill="1" applyBorder="1"/>
    <xf numFmtId="0" fontId="0" fillId="0" borderId="44" xfId="0" applyFill="1" applyBorder="1"/>
    <xf numFmtId="0" fontId="76" fillId="0" borderId="42" xfId="0" applyFont="1" applyFill="1" applyBorder="1" applyAlignment="1" applyProtection="1">
      <alignment horizontal="center"/>
    </xf>
    <xf numFmtId="1" fontId="0" fillId="0" borderId="2" xfId="0" applyNumberFormat="1" applyFill="1" applyBorder="1" applyAlignment="1" applyProtection="1">
      <alignment horizontal="center"/>
    </xf>
    <xf numFmtId="0" fontId="2" fillId="0" borderId="0" xfId="0" applyFont="1" applyFill="1" applyBorder="1" applyAlignment="1" applyProtection="1">
      <alignment horizontal="center"/>
      <protection locked="0"/>
    </xf>
    <xf numFmtId="0" fontId="25" fillId="0" borderId="0" xfId="0" applyFont="1" applyFill="1" applyBorder="1" applyAlignment="1" applyProtection="1"/>
    <xf numFmtId="0" fontId="1" fillId="7" borderId="47" xfId="0" applyFont="1" applyFill="1" applyBorder="1" applyAlignment="1">
      <alignment horizontal="center"/>
    </xf>
    <xf numFmtId="0" fontId="5" fillId="7" borderId="0" xfId="0" applyFont="1" applyFill="1" applyBorder="1"/>
    <xf numFmtId="0" fontId="51" fillId="7" borderId="0" xfId="0" applyFont="1" applyFill="1" applyBorder="1" applyAlignment="1">
      <alignment horizontal="left"/>
    </xf>
    <xf numFmtId="0" fontId="0" fillId="7" borderId="0" xfId="0" applyFill="1" applyBorder="1" applyAlignment="1">
      <alignment horizontal="left"/>
    </xf>
    <xf numFmtId="0" fontId="0" fillId="7" borderId="0" xfId="0" applyFill="1" applyBorder="1" applyAlignment="1">
      <alignment horizontal="center"/>
    </xf>
    <xf numFmtId="0" fontId="0" fillId="7" borderId="0" xfId="0" applyFill="1" applyAlignment="1">
      <alignment horizontal="left"/>
    </xf>
    <xf numFmtId="0" fontId="0" fillId="7" borderId="0" xfId="0" applyFill="1" applyBorder="1"/>
    <xf numFmtId="0" fontId="27" fillId="7" borderId="0" xfId="0" applyFont="1" applyFill="1" applyBorder="1" applyAlignment="1">
      <alignment horizontal="left"/>
    </xf>
    <xf numFmtId="0" fontId="3" fillId="7" borderId="0" xfId="0" applyFont="1" applyFill="1" applyBorder="1" applyAlignment="1">
      <alignment horizontal="left"/>
    </xf>
    <xf numFmtId="0" fontId="5" fillId="7" borderId="0" xfId="0" applyFont="1" applyFill="1" applyAlignment="1">
      <alignment horizontal="left"/>
    </xf>
    <xf numFmtId="0" fontId="4" fillId="7" borderId="0" xfId="0" applyFont="1" applyFill="1"/>
    <xf numFmtId="0" fontId="4" fillId="7" borderId="0" xfId="0" applyFont="1" applyFill="1" applyAlignment="1">
      <alignment horizontal="left"/>
    </xf>
    <xf numFmtId="0" fontId="3" fillId="7" borderId="0" xfId="0" applyFont="1" applyFill="1" applyBorder="1" applyAlignment="1">
      <alignment horizontal="center"/>
    </xf>
    <xf numFmtId="0" fontId="27" fillId="7" borderId="0" xfId="0" applyFont="1" applyFill="1" applyAlignment="1">
      <alignment horizontal="center"/>
    </xf>
    <xf numFmtId="0" fontId="0" fillId="7" borderId="3" xfId="0" applyFill="1" applyBorder="1" applyAlignment="1">
      <alignment horizontal="center"/>
    </xf>
    <xf numFmtId="0" fontId="27" fillId="7" borderId="1" xfId="0" applyFont="1" applyFill="1" applyBorder="1" applyAlignment="1">
      <alignment horizontal="center"/>
    </xf>
    <xf numFmtId="0" fontId="0" fillId="7" borderId="5" xfId="0" applyFill="1" applyBorder="1" applyAlignment="1">
      <alignment horizontal="center"/>
    </xf>
    <xf numFmtId="0" fontId="8" fillId="7" borderId="0" xfId="0" applyFont="1" applyFill="1" applyAlignment="1">
      <alignment horizontal="left"/>
    </xf>
    <xf numFmtId="0" fontId="8" fillId="7" borderId="0" xfId="0" applyFont="1" applyFill="1" applyAlignment="1">
      <alignment horizontal="centerContinuous"/>
    </xf>
    <xf numFmtId="0" fontId="0" fillId="7" borderId="0" xfId="0" applyFill="1" applyAlignment="1">
      <alignment horizontal="centerContinuous"/>
    </xf>
    <xf numFmtId="0" fontId="14" fillId="7" borderId="0" xfId="0" applyFont="1" applyFill="1" applyBorder="1" applyAlignment="1">
      <alignment horizontal="left"/>
    </xf>
    <xf numFmtId="1" fontId="5" fillId="7" borderId="4" xfId="0" applyNumberFormat="1" applyFont="1" applyFill="1" applyBorder="1" applyAlignment="1">
      <alignment horizontal="center"/>
    </xf>
    <xf numFmtId="0" fontId="27" fillId="7" borderId="0" xfId="0" applyFont="1" applyFill="1" applyBorder="1" applyAlignment="1">
      <alignment horizontal="center"/>
    </xf>
    <xf numFmtId="0" fontId="0" fillId="7" borderId="1" xfId="0" applyFill="1" applyBorder="1" applyAlignment="1">
      <alignment horizontal="center"/>
    </xf>
    <xf numFmtId="0" fontId="5" fillId="7" borderId="6" xfId="0" applyFont="1" applyFill="1" applyBorder="1"/>
    <xf numFmtId="0" fontId="5" fillId="7" borderId="7" xfId="0" applyFont="1" applyFill="1" applyBorder="1"/>
    <xf numFmtId="0" fontId="0" fillId="7" borderId="7" xfId="0" applyFill="1" applyBorder="1"/>
    <xf numFmtId="0" fontId="5" fillId="7" borderId="8" xfId="0" applyFont="1" applyFill="1" applyBorder="1"/>
    <xf numFmtId="0" fontId="5" fillId="7" borderId="2" xfId="0" applyFont="1" applyFill="1" applyBorder="1"/>
    <xf numFmtId="0" fontId="28" fillId="7" borderId="0" xfId="0" applyFont="1" applyFill="1" applyBorder="1" applyAlignment="1">
      <alignment horizontal="left"/>
    </xf>
    <xf numFmtId="0" fontId="28" fillId="7" borderId="0" xfId="0" applyFont="1" applyFill="1" applyBorder="1" applyAlignment="1">
      <alignment horizontal="center"/>
    </xf>
    <xf numFmtId="0" fontId="5" fillId="7" borderId="3" xfId="0" applyFont="1" applyFill="1" applyBorder="1"/>
    <xf numFmtId="0" fontId="5" fillId="7" borderId="4" xfId="0" applyFont="1" applyFill="1" applyBorder="1" applyAlignment="1">
      <alignment horizontal="center"/>
    </xf>
    <xf numFmtId="0" fontId="8" fillId="7" borderId="0" xfId="0" applyFont="1" applyFill="1" applyBorder="1" applyAlignment="1">
      <alignment horizontal="left"/>
    </xf>
    <xf numFmtId="0" fontId="5" fillId="7" borderId="0" xfId="0" applyFont="1" applyFill="1" applyBorder="1" applyAlignment="1">
      <alignment horizontal="left"/>
    </xf>
    <xf numFmtId="0" fontId="5" fillId="7" borderId="2" xfId="0" applyFont="1" applyFill="1" applyBorder="1" applyAlignment="1">
      <alignment horizontal="center"/>
    </xf>
    <xf numFmtId="0" fontId="4" fillId="7" borderId="0" xfId="0" applyFont="1" applyFill="1" applyBorder="1" applyAlignment="1">
      <alignment horizontal="left"/>
    </xf>
    <xf numFmtId="0" fontId="0" fillId="7" borderId="2" xfId="0" applyFill="1" applyBorder="1" applyAlignment="1">
      <alignment horizontal="left"/>
    </xf>
    <xf numFmtId="0" fontId="5" fillId="7" borderId="4" xfId="0" applyFont="1" applyFill="1" applyBorder="1"/>
    <xf numFmtId="0" fontId="77" fillId="7" borderId="4" xfId="0" applyFont="1" applyFill="1" applyBorder="1" applyAlignment="1">
      <alignment horizontal="center"/>
    </xf>
    <xf numFmtId="0" fontId="29" fillId="7" borderId="2" xfId="0" applyFont="1" applyFill="1" applyBorder="1"/>
    <xf numFmtId="0" fontId="29" fillId="7" borderId="0" xfId="0" applyFont="1" applyFill="1" applyBorder="1"/>
    <xf numFmtId="0" fontId="30" fillId="7" borderId="2" xfId="0" applyFont="1" applyFill="1" applyBorder="1" applyAlignment="1">
      <alignment horizontal="left"/>
    </xf>
    <xf numFmtId="0" fontId="30" fillId="7" borderId="0" xfId="0" applyFont="1" applyFill="1" applyBorder="1"/>
    <xf numFmtId="0" fontId="0" fillId="7" borderId="2" xfId="0" applyFill="1" applyBorder="1" applyAlignment="1">
      <alignment horizontal="center"/>
    </xf>
    <xf numFmtId="165" fontId="5" fillId="7" borderId="0" xfId="0" applyNumberFormat="1" applyFont="1" applyFill="1" applyBorder="1" applyAlignment="1">
      <alignment horizontal="center"/>
    </xf>
    <xf numFmtId="0" fontId="5" fillId="7" borderId="0" xfId="0" applyFont="1" applyFill="1" applyBorder="1" applyAlignment="1">
      <alignment horizontal="center"/>
    </xf>
    <xf numFmtId="1" fontId="5" fillId="7" borderId="0" xfId="0" applyNumberFormat="1" applyFont="1" applyFill="1" applyBorder="1" applyAlignment="1">
      <alignment horizontal="center"/>
    </xf>
    <xf numFmtId="1" fontId="13" fillId="7" borderId="0" xfId="0" applyNumberFormat="1" applyFont="1" applyFill="1" applyBorder="1" applyAlignment="1">
      <alignment horizontal="center"/>
    </xf>
    <xf numFmtId="1" fontId="5" fillId="7" borderId="0" xfId="0" applyNumberFormat="1" applyFont="1" applyFill="1" applyBorder="1"/>
    <xf numFmtId="0" fontId="24" fillId="7" borderId="2" xfId="0" applyFont="1" applyFill="1" applyBorder="1" applyAlignment="1">
      <alignment horizontal="left"/>
    </xf>
    <xf numFmtId="0" fontId="32" fillId="7" borderId="0" xfId="0" applyFont="1" applyFill="1" applyBorder="1" applyAlignment="1">
      <alignment horizontal="left"/>
    </xf>
    <xf numFmtId="0" fontId="0" fillId="7" borderId="3" xfId="0" applyFill="1" applyBorder="1"/>
    <xf numFmtId="165" fontId="0" fillId="7" borderId="4" xfId="0" applyNumberFormat="1" applyFill="1" applyBorder="1" applyAlignment="1">
      <alignment horizontal="center"/>
    </xf>
    <xf numFmtId="165" fontId="0" fillId="7" borderId="0" xfId="0" applyNumberFormat="1" applyFill="1" applyBorder="1" applyAlignment="1">
      <alignment horizontal="center"/>
    </xf>
    <xf numFmtId="0" fontId="5" fillId="7" borderId="10" xfId="0" applyFont="1" applyFill="1" applyBorder="1"/>
    <xf numFmtId="0" fontId="5" fillId="7" borderId="1" xfId="0" applyFont="1" applyFill="1" applyBorder="1"/>
    <xf numFmtId="0" fontId="0" fillId="7" borderId="1" xfId="0" applyFill="1" applyBorder="1"/>
    <xf numFmtId="2" fontId="0" fillId="0" borderId="0" xfId="0" applyNumberFormat="1" applyFill="1" applyBorder="1" applyAlignment="1" applyProtection="1">
      <alignment horizontal="center"/>
    </xf>
    <xf numFmtId="2" fontId="5" fillId="0" borderId="0" xfId="0" applyNumberFormat="1" applyFont="1" applyFill="1" applyBorder="1" applyAlignment="1" applyProtection="1">
      <alignment horizontal="center"/>
    </xf>
    <xf numFmtId="0" fontId="0" fillId="0" borderId="0" xfId="0" applyFill="1" applyBorder="1" applyAlignment="1" applyProtection="1">
      <alignment horizontal="center"/>
    </xf>
    <xf numFmtId="0" fontId="6" fillId="0" borderId="0" xfId="0" applyFont="1" applyFill="1" applyBorder="1" applyAlignment="1" applyProtection="1">
      <alignment horizontal="center"/>
    </xf>
    <xf numFmtId="0" fontId="0" fillId="9" borderId="0" xfId="0" applyFill="1" applyBorder="1"/>
    <xf numFmtId="167" fontId="20" fillId="9" borderId="0" xfId="0" quotePrefix="1" applyNumberFormat="1" applyFont="1" applyFill="1" applyBorder="1" applyAlignment="1" applyProtection="1">
      <alignment horizontal="center"/>
    </xf>
    <xf numFmtId="0" fontId="0" fillId="9" borderId="0" xfId="0" applyFill="1" applyBorder="1" applyAlignment="1" applyProtection="1">
      <alignment horizontal="left"/>
    </xf>
    <xf numFmtId="0" fontId="8" fillId="9" borderId="0" xfId="0" applyFont="1" applyFill="1" applyBorder="1" applyAlignment="1" applyProtection="1">
      <alignment horizontal="left"/>
    </xf>
    <xf numFmtId="0" fontId="11" fillId="9" borderId="0" xfId="0" applyFont="1" applyFill="1" applyBorder="1" applyAlignment="1" applyProtection="1">
      <alignment horizontal="right"/>
    </xf>
    <xf numFmtId="2" fontId="0" fillId="9" borderId="0" xfId="0" applyNumberFormat="1" applyFill="1" applyBorder="1" applyAlignment="1" applyProtection="1">
      <alignment horizontal="center"/>
    </xf>
    <xf numFmtId="0" fontId="2" fillId="0" borderId="0" xfId="0" applyFont="1" applyFill="1" applyBorder="1" applyAlignment="1" applyProtection="1">
      <alignment horizontal="left"/>
    </xf>
    <xf numFmtId="0" fontId="23" fillId="0" borderId="42" xfId="0" applyFont="1" applyFill="1" applyBorder="1" applyAlignment="1" applyProtection="1">
      <alignment horizontal="right"/>
    </xf>
    <xf numFmtId="0" fontId="3" fillId="0" borderId="43" xfId="0" applyFont="1" applyFill="1" applyBorder="1" applyAlignment="1" applyProtection="1">
      <alignment horizontal="left"/>
    </xf>
    <xf numFmtId="166" fontId="2" fillId="4" borderId="4" xfId="0" applyNumberFormat="1" applyFont="1" applyFill="1" applyBorder="1" applyAlignment="1" applyProtection="1">
      <alignment horizontal="center"/>
      <protection locked="0"/>
    </xf>
    <xf numFmtId="0" fontId="2" fillId="0" borderId="0" xfId="0" applyFont="1" applyFill="1" applyBorder="1" applyAlignment="1" applyProtection="1">
      <alignment horizontal="right"/>
    </xf>
    <xf numFmtId="166" fontId="2" fillId="0" borderId="0" xfId="0" applyNumberFormat="1" applyFont="1" applyFill="1" applyBorder="1" applyAlignment="1" applyProtection="1">
      <alignment horizontal="center"/>
      <protection locked="0"/>
    </xf>
    <xf numFmtId="0" fontId="50" fillId="0" borderId="0" xfId="1" applyFont="1" applyFill="1" applyBorder="1" applyAlignment="1" applyProtection="1">
      <alignment horizontal="center"/>
    </xf>
    <xf numFmtId="2" fontId="0" fillId="0" borderId="48" xfId="0" applyNumberFormat="1" applyBorder="1" applyAlignment="1">
      <alignment horizontal="center"/>
    </xf>
    <xf numFmtId="0" fontId="2" fillId="0" borderId="0" xfId="0" applyFont="1" applyFill="1" applyAlignment="1">
      <alignment horizontal="right"/>
    </xf>
    <xf numFmtId="2" fontId="5" fillId="0" borderId="49" xfId="0" applyNumberFormat="1" applyFont="1" applyFill="1" applyBorder="1" applyAlignment="1">
      <alignment horizontal="center"/>
    </xf>
    <xf numFmtId="0" fontId="2" fillId="0" borderId="0" xfId="0" applyFont="1" applyFill="1" applyAlignment="1">
      <alignment horizontal="left"/>
    </xf>
    <xf numFmtId="0" fontId="50" fillId="0" borderId="42" xfId="1" applyFont="1" applyFill="1" applyBorder="1" applyAlignment="1" applyProtection="1">
      <alignment horizontal="center"/>
    </xf>
    <xf numFmtId="0" fontId="2" fillId="0" borderId="0" xfId="1" applyFont="1" applyFill="1" applyBorder="1" applyAlignment="1" applyProtection="1">
      <alignment horizontal="center"/>
    </xf>
    <xf numFmtId="0" fontId="0" fillId="0" borderId="43" xfId="0" applyBorder="1" applyProtection="1"/>
    <xf numFmtId="0" fontId="23" fillId="0" borderId="42" xfId="0" applyFont="1" applyFill="1" applyBorder="1" applyProtection="1"/>
    <xf numFmtId="0" fontId="0" fillId="0" borderId="42" xfId="0" applyBorder="1" applyProtection="1"/>
    <xf numFmtId="0" fontId="1" fillId="0" borderId="0" xfId="0" applyFont="1" applyFill="1" applyBorder="1" applyAlignment="1" applyProtection="1">
      <alignment horizontal="right"/>
    </xf>
    <xf numFmtId="2" fontId="10" fillId="0" borderId="50" xfId="0" applyNumberFormat="1" applyFont="1" applyBorder="1" applyAlignment="1">
      <alignment horizontal="center"/>
    </xf>
    <xf numFmtId="0" fontId="0" fillId="0" borderId="44" xfId="0" applyBorder="1" applyProtection="1"/>
    <xf numFmtId="0" fontId="0" fillId="0" borderId="45" xfId="0" applyBorder="1" applyProtection="1"/>
    <xf numFmtId="0" fontId="0" fillId="0" borderId="46" xfId="0" applyBorder="1" applyProtection="1"/>
    <xf numFmtId="0" fontId="51" fillId="9" borderId="0" xfId="0" applyFont="1" applyFill="1" applyAlignment="1">
      <alignment horizontal="left"/>
    </xf>
    <xf numFmtId="0" fontId="0" fillId="9" borderId="0" xfId="0" applyFill="1" applyAlignment="1">
      <alignment horizontal="left"/>
    </xf>
    <xf numFmtId="0" fontId="0" fillId="9" borderId="0" xfId="0" applyFill="1" applyAlignment="1">
      <alignment horizontal="center"/>
    </xf>
    <xf numFmtId="0" fontId="0" fillId="9" borderId="4" xfId="0" applyFill="1" applyBorder="1" applyAlignment="1">
      <alignment horizontal="center"/>
    </xf>
    <xf numFmtId="0" fontId="0" fillId="9" borderId="0" xfId="0" applyFill="1" applyBorder="1" applyAlignment="1">
      <alignment horizontal="left"/>
    </xf>
    <xf numFmtId="0" fontId="25" fillId="9" borderId="0" xfId="0" applyFont="1" applyFill="1" applyAlignment="1">
      <alignment horizontal="center"/>
    </xf>
    <xf numFmtId="0" fontId="8" fillId="9" borderId="0" xfId="0" applyFont="1" applyFill="1" applyAlignment="1">
      <alignment horizontal="left"/>
    </xf>
    <xf numFmtId="0" fontId="35" fillId="9" borderId="0" xfId="0" applyFont="1" applyFill="1" applyAlignment="1">
      <alignment horizontal="left"/>
    </xf>
    <xf numFmtId="0" fontId="23" fillId="9" borderId="0" xfId="0" applyFont="1" applyFill="1" applyAlignment="1">
      <alignment horizontal="left"/>
    </xf>
    <xf numFmtId="0" fontId="5" fillId="9" borderId="0" xfId="0" applyFont="1" applyFill="1" applyAlignment="1">
      <alignment horizontal="center"/>
    </xf>
    <xf numFmtId="0" fontId="3" fillId="9" borderId="0" xfId="0" applyFont="1" applyFill="1" applyAlignment="1">
      <alignment horizontal="center"/>
    </xf>
    <xf numFmtId="0" fontId="36" fillId="9" borderId="0" xfId="0" applyFont="1" applyFill="1" applyAlignment="1"/>
    <xf numFmtId="0" fontId="8" fillId="9" borderId="0" xfId="0" applyFont="1" applyFill="1" applyAlignment="1">
      <alignment horizontal="center"/>
    </xf>
    <xf numFmtId="0" fontId="10" fillId="9" borderId="0" xfId="0" applyFont="1" applyFill="1" applyAlignment="1">
      <alignment horizontal="center"/>
    </xf>
    <xf numFmtId="0" fontId="23" fillId="9" borderId="0" xfId="0" applyFont="1" applyFill="1" applyAlignment="1">
      <alignment horizontal="center"/>
    </xf>
    <xf numFmtId="0" fontId="14" fillId="9" borderId="0" xfId="0" applyFont="1" applyFill="1" applyAlignment="1">
      <alignment horizontal="left"/>
    </xf>
    <xf numFmtId="0" fontId="5" fillId="9" borderId="4" xfId="0" applyFont="1" applyFill="1" applyBorder="1" applyAlignment="1">
      <alignment horizontal="center"/>
    </xf>
    <xf numFmtId="0" fontId="0" fillId="9" borderId="0" xfId="0" applyFill="1" applyBorder="1" applyAlignment="1">
      <alignment horizontal="right"/>
    </xf>
    <xf numFmtId="0" fontId="3" fillId="9" borderId="0" xfId="0" applyFont="1" applyFill="1" applyBorder="1" applyAlignment="1">
      <alignment horizontal="left"/>
    </xf>
    <xf numFmtId="0" fontId="3" fillId="9" borderId="0" xfId="0" applyFont="1" applyFill="1" applyAlignment="1">
      <alignment horizontal="left"/>
    </xf>
    <xf numFmtId="0" fontId="0" fillId="9" borderId="11" xfId="0" applyFill="1" applyBorder="1" applyAlignment="1">
      <alignment horizontal="center"/>
    </xf>
    <xf numFmtId="0" fontId="0" fillId="9" borderId="1" xfId="0" applyFill="1" applyBorder="1" applyAlignment="1">
      <alignment horizontal="center"/>
    </xf>
    <xf numFmtId="0" fontId="10" fillId="9" borderId="0" xfId="0" applyFont="1" applyFill="1"/>
    <xf numFmtId="0" fontId="14" fillId="9" borderId="0" xfId="0" applyFont="1" applyFill="1" applyAlignment="1">
      <alignment horizontal="right"/>
    </xf>
    <xf numFmtId="0" fontId="15" fillId="9" borderId="0" xfId="0" applyFont="1" applyFill="1" applyAlignment="1">
      <alignment horizontal="left"/>
    </xf>
    <xf numFmtId="0" fontId="59" fillId="9" borderId="0" xfId="0" applyFont="1" applyFill="1" applyProtection="1"/>
    <xf numFmtId="0" fontId="2" fillId="9" borderId="0" xfId="0" applyFont="1" applyFill="1" applyProtection="1"/>
    <xf numFmtId="0" fontId="34" fillId="9" borderId="0" xfId="0" applyFont="1" applyFill="1" applyAlignment="1" applyProtection="1">
      <alignment horizontal="center"/>
    </xf>
    <xf numFmtId="9" fontId="59" fillId="9" borderId="0" xfId="2" applyFont="1" applyFill="1" applyBorder="1" applyAlignment="1" applyProtection="1">
      <alignment horizontal="center"/>
    </xf>
    <xf numFmtId="0" fontId="2" fillId="9" borderId="0" xfId="0" applyFont="1" applyFill="1" applyAlignment="1" applyProtection="1">
      <alignment horizontal="center"/>
    </xf>
    <xf numFmtId="0" fontId="3" fillId="9" borderId="0" xfId="0" applyFont="1" applyFill="1" applyAlignment="1" applyProtection="1">
      <alignment horizontal="center"/>
    </xf>
    <xf numFmtId="2" fontId="2" fillId="9" borderId="0" xfId="0" applyNumberFormat="1" applyFont="1" applyFill="1" applyProtection="1"/>
    <xf numFmtId="2" fontId="2" fillId="9" borderId="0" xfId="0" applyNumberFormat="1" applyFont="1" applyFill="1" applyAlignment="1" applyProtection="1">
      <alignment horizontal="right"/>
    </xf>
    <xf numFmtId="0" fontId="0" fillId="9" borderId="0" xfId="0" applyFill="1" applyAlignment="1" applyProtection="1">
      <alignment horizontal="center"/>
    </xf>
    <xf numFmtId="0" fontId="3" fillId="9" borderId="0" xfId="0" applyFont="1" applyFill="1" applyBorder="1" applyAlignment="1" applyProtection="1">
      <alignment horizontal="center"/>
    </xf>
    <xf numFmtId="2" fontId="0" fillId="9" borderId="0" xfId="0" applyNumberFormat="1" applyFill="1" applyProtection="1"/>
    <xf numFmtId="2" fontId="0" fillId="9" borderId="0" xfId="0" applyNumberFormat="1" applyFill="1" applyBorder="1" applyProtection="1"/>
    <xf numFmtId="2" fontId="0" fillId="9" borderId="0" xfId="0" applyNumberFormat="1" applyFill="1" applyAlignment="1" applyProtection="1">
      <alignment horizontal="right"/>
    </xf>
    <xf numFmtId="2" fontId="0" fillId="9" borderId="0" xfId="0" applyNumberFormat="1" applyFill="1" applyBorder="1" applyAlignment="1" applyProtection="1">
      <alignment horizontal="right"/>
    </xf>
    <xf numFmtId="0" fontId="3" fillId="2" borderId="6" xfId="0" applyFont="1" applyFill="1" applyBorder="1" applyAlignment="1" applyProtection="1">
      <alignment horizontal="left"/>
    </xf>
    <xf numFmtId="0" fontId="3" fillId="2" borderId="7" xfId="0" applyFont="1" applyFill="1" applyBorder="1" applyAlignment="1" applyProtection="1">
      <alignment horizontal="left"/>
    </xf>
    <xf numFmtId="0" fontId="3" fillId="2" borderId="8" xfId="0" applyFont="1" applyFill="1" applyBorder="1" applyAlignment="1" applyProtection="1">
      <alignment horizontal="left"/>
    </xf>
    <xf numFmtId="0" fontId="10" fillId="2" borderId="2" xfId="0" applyFont="1" applyFill="1" applyBorder="1" applyAlignment="1" applyProtection="1">
      <alignment horizontal="left"/>
    </xf>
    <xf numFmtId="0" fontId="0" fillId="2" borderId="0" xfId="0" applyFill="1" applyBorder="1" applyAlignment="1" applyProtection="1">
      <alignment horizontal="left"/>
    </xf>
    <xf numFmtId="0" fontId="0" fillId="2" borderId="3" xfId="0" applyFill="1" applyBorder="1" applyAlignment="1" applyProtection="1">
      <alignment horizontal="left"/>
    </xf>
    <xf numFmtId="0" fontId="0" fillId="2" borderId="2" xfId="0" applyFill="1" applyBorder="1" applyAlignment="1" applyProtection="1">
      <alignment horizontal="left"/>
    </xf>
    <xf numFmtId="0" fontId="0" fillId="2" borderId="10" xfId="0" applyFill="1" applyBorder="1" applyAlignment="1" applyProtection="1">
      <alignment horizontal="left"/>
    </xf>
    <xf numFmtId="0" fontId="0" fillId="2" borderId="1" xfId="0" applyFill="1" applyBorder="1" applyAlignment="1" applyProtection="1">
      <alignment horizontal="left"/>
    </xf>
    <xf numFmtId="0" fontId="0" fillId="2" borderId="5" xfId="0" applyFill="1" applyBorder="1" applyAlignment="1" applyProtection="1">
      <alignment horizontal="left"/>
    </xf>
    <xf numFmtId="0" fontId="10" fillId="9" borderId="0" xfId="0" applyFont="1" applyFill="1" applyBorder="1" applyAlignment="1" applyProtection="1">
      <alignment horizontal="left"/>
    </xf>
    <xf numFmtId="0" fontId="0" fillId="4" borderId="4" xfId="0" applyFont="1" applyFill="1" applyBorder="1" applyAlignment="1" applyProtection="1">
      <alignment horizontal="center"/>
      <protection locked="0"/>
    </xf>
    <xf numFmtId="0" fontId="34" fillId="8" borderId="0" xfId="0" applyFont="1" applyFill="1" applyBorder="1" applyAlignment="1" applyProtection="1">
      <alignment horizontal="left"/>
    </xf>
    <xf numFmtId="0" fontId="2" fillId="0" borderId="42" xfId="0" applyFont="1" applyFill="1" applyBorder="1" applyAlignment="1" applyProtection="1">
      <alignment horizontal="left"/>
    </xf>
    <xf numFmtId="0" fontId="17" fillId="0" borderId="0" xfId="0" applyFont="1" applyFill="1" applyBorder="1" applyAlignment="1" applyProtection="1">
      <alignment horizontal="left"/>
    </xf>
    <xf numFmtId="0" fontId="17" fillId="8" borderId="0" xfId="0" applyFont="1" applyFill="1" applyProtection="1"/>
    <xf numFmtId="0" fontId="0" fillId="8" borderId="0" xfId="0" applyFill="1"/>
    <xf numFmtId="0" fontId="0" fillId="8" borderId="39" xfId="0" applyFill="1" applyBorder="1"/>
    <xf numFmtId="0" fontId="0" fillId="8" borderId="40" xfId="0" applyFill="1" applyBorder="1"/>
    <xf numFmtId="0" fontId="0" fillId="8" borderId="41" xfId="0" applyFill="1" applyBorder="1"/>
    <xf numFmtId="0" fontId="79" fillId="0" borderId="0" xfId="0" applyFont="1" applyBorder="1"/>
    <xf numFmtId="0" fontId="79" fillId="0" borderId="0" xfId="0" applyFont="1" applyBorder="1" applyAlignment="1"/>
    <xf numFmtId="0" fontId="79" fillId="0" borderId="0" xfId="0" applyFont="1"/>
    <xf numFmtId="0" fontId="0" fillId="8" borderId="42" xfId="0" applyFill="1" applyBorder="1"/>
    <xf numFmtId="0" fontId="17" fillId="8" borderId="0" xfId="0" applyFont="1" applyFill="1" applyBorder="1" applyAlignment="1" applyProtection="1"/>
    <xf numFmtId="0" fontId="65" fillId="0" borderId="0" xfId="0" applyFont="1" applyFill="1" applyBorder="1" applyAlignment="1" applyProtection="1"/>
    <xf numFmtId="2" fontId="5" fillId="0" borderId="0" xfId="0" applyNumberFormat="1" applyFont="1" applyFill="1" applyBorder="1" applyAlignment="1" applyProtection="1"/>
    <xf numFmtId="2" fontId="5" fillId="0" borderId="1" xfId="0" applyNumberFormat="1" applyFont="1" applyFill="1" applyBorder="1" applyAlignment="1" applyProtection="1"/>
    <xf numFmtId="2" fontId="0" fillId="0" borderId="0" xfId="0" applyNumberFormat="1" applyFill="1" applyBorder="1" applyAlignment="1" applyProtection="1"/>
    <xf numFmtId="0" fontId="0" fillId="0" borderId="1" xfId="0" applyFill="1" applyBorder="1" applyAlignment="1" applyProtection="1"/>
    <xf numFmtId="0" fontId="0" fillId="0" borderId="0" xfId="0" applyFill="1" applyAlignment="1" applyProtection="1">
      <alignment vertical="center"/>
    </xf>
    <xf numFmtId="0" fontId="0" fillId="0" borderId="1" xfId="0" applyFill="1" applyBorder="1" applyAlignment="1" applyProtection="1">
      <alignment horizontal="left"/>
    </xf>
    <xf numFmtId="0" fontId="0" fillId="0" borderId="1" xfId="0" applyFill="1" applyBorder="1" applyProtection="1"/>
    <xf numFmtId="0" fontId="0" fillId="8" borderId="1" xfId="0" applyFill="1" applyBorder="1" applyProtection="1"/>
    <xf numFmtId="0" fontId="0" fillId="0" borderId="51" xfId="0" applyBorder="1" applyAlignment="1" applyProtection="1">
      <alignment horizontal="left"/>
    </xf>
    <xf numFmtId="0" fontId="23" fillId="0" borderId="51" xfId="0" applyFont="1" applyBorder="1" applyAlignment="1" applyProtection="1">
      <alignment horizontal="right"/>
    </xf>
    <xf numFmtId="0" fontId="10" fillId="0" borderId="51" xfId="0" applyFont="1" applyBorder="1" applyAlignment="1" applyProtection="1">
      <alignment horizontal="right"/>
    </xf>
    <xf numFmtId="0" fontId="0" fillId="0" borderId="51" xfId="0" applyFont="1" applyBorder="1" applyAlignment="1" applyProtection="1">
      <alignment horizontal="center"/>
    </xf>
    <xf numFmtId="2" fontId="25" fillId="0" borderId="51" xfId="0" applyNumberFormat="1" applyFont="1" applyBorder="1" applyAlignment="1" applyProtection="1">
      <alignment horizontal="center"/>
    </xf>
    <xf numFmtId="0" fontId="78" fillId="0" borderId="42" xfId="1" applyFont="1" applyFill="1" applyBorder="1" applyAlignment="1" applyProtection="1"/>
    <xf numFmtId="0" fontId="1" fillId="0" borderId="0" xfId="0" applyFont="1" applyFill="1" applyBorder="1" applyAlignment="1" applyProtection="1">
      <alignment horizontal="left"/>
    </xf>
    <xf numFmtId="0" fontId="23" fillId="0" borderId="0" xfId="0" applyFont="1" applyBorder="1" applyAlignment="1" applyProtection="1">
      <alignment horizontal="right"/>
    </xf>
    <xf numFmtId="0" fontId="10" fillId="0" borderId="0" xfId="0" applyFont="1" applyBorder="1" applyAlignment="1" applyProtection="1">
      <alignment horizontal="right"/>
    </xf>
    <xf numFmtId="0" fontId="0" fillId="0" borderId="0" xfId="0" applyFont="1" applyBorder="1" applyAlignment="1" applyProtection="1">
      <alignment horizontal="center"/>
    </xf>
    <xf numFmtId="2" fontId="25" fillId="0" borderId="0" xfId="0" applyNumberFormat="1" applyFont="1" applyBorder="1" applyAlignment="1" applyProtection="1">
      <alignment horizontal="center"/>
    </xf>
    <xf numFmtId="0" fontId="82" fillId="0" borderId="0" xfId="0" applyFont="1" applyFill="1" applyBorder="1" applyAlignment="1" applyProtection="1">
      <alignment horizontal="center"/>
    </xf>
    <xf numFmtId="0" fontId="0" fillId="0" borderId="0" xfId="0" applyFont="1" applyFill="1" applyBorder="1" applyAlignment="1" applyProtection="1">
      <alignment horizontal="left"/>
    </xf>
    <xf numFmtId="0" fontId="0" fillId="0" borderId="0" xfId="0" applyFont="1" applyFill="1" applyBorder="1" applyAlignment="1" applyProtection="1">
      <alignment horizontal="center"/>
    </xf>
    <xf numFmtId="0" fontId="0" fillId="0" borderId="0" xfId="0" applyFont="1" applyFill="1" applyBorder="1" applyAlignment="1" applyProtection="1">
      <alignment textRotation="90"/>
    </xf>
    <xf numFmtId="0" fontId="84" fillId="0" borderId="0" xfId="0" applyFont="1" applyFill="1" applyBorder="1" applyAlignment="1" applyProtection="1">
      <alignment horizontal="center"/>
    </xf>
    <xf numFmtId="0" fontId="83" fillId="0" borderId="0" xfId="0" applyFont="1" applyFill="1" applyBorder="1" applyAlignment="1" applyProtection="1">
      <alignment horizontal="center"/>
    </xf>
    <xf numFmtId="0" fontId="85" fillId="0" borderId="0" xfId="0" applyFont="1" applyFill="1" applyBorder="1" applyAlignment="1" applyProtection="1">
      <alignment horizontal="center" vertical="top"/>
    </xf>
    <xf numFmtId="2" fontId="13" fillId="0" borderId="0" xfId="0" applyNumberFormat="1" applyFont="1" applyFill="1" applyBorder="1" applyAlignment="1" applyProtection="1"/>
    <xf numFmtId="0" fontId="23" fillId="0" borderId="0" xfId="0" applyFont="1" applyFill="1" applyBorder="1" applyAlignment="1" applyProtection="1"/>
    <xf numFmtId="0" fontId="51" fillId="0" borderId="0" xfId="1" applyFont="1" applyFill="1" applyBorder="1" applyAlignment="1" applyProtection="1">
      <alignment horizontal="center"/>
    </xf>
    <xf numFmtId="0" fontId="0" fillId="7" borderId="0" xfId="0" applyFill="1" applyAlignment="1">
      <alignment horizontal="right"/>
    </xf>
    <xf numFmtId="0" fontId="0" fillId="7" borderId="4" xfId="0" applyFill="1" applyBorder="1" applyAlignment="1">
      <alignment horizontal="center"/>
    </xf>
    <xf numFmtId="9" fontId="0" fillId="0" borderId="0" xfId="0" applyNumberFormat="1" applyFill="1" applyBorder="1" applyAlignment="1" applyProtection="1">
      <alignment horizontal="center"/>
    </xf>
    <xf numFmtId="0" fontId="71" fillId="0" borderId="0" xfId="1" applyFont="1" applyFill="1" applyBorder="1" applyAlignment="1" applyProtection="1">
      <alignment horizontal="center"/>
    </xf>
    <xf numFmtId="0" fontId="64" fillId="0" borderId="45" xfId="1" applyFont="1" applyFill="1" applyBorder="1" applyAlignment="1" applyProtection="1">
      <alignment horizontal="left"/>
    </xf>
    <xf numFmtId="0" fontId="0" fillId="11" borderId="0" xfId="0" applyFill="1" applyAlignment="1" applyProtection="1">
      <alignment horizontal="left"/>
    </xf>
    <xf numFmtId="0" fontId="60" fillId="11" borderId="0" xfId="0" applyFont="1" applyFill="1" applyAlignment="1" applyProtection="1">
      <alignment horizontal="left"/>
    </xf>
    <xf numFmtId="0" fontId="9" fillId="11" borderId="0" xfId="0" applyFont="1" applyFill="1" applyAlignment="1" applyProtection="1">
      <alignment horizontal="left"/>
    </xf>
    <xf numFmtId="0" fontId="0" fillId="11" borderId="0" xfId="0" applyFill="1" applyProtection="1"/>
    <xf numFmtId="0" fontId="0" fillId="11" borderId="0" xfId="0" applyFill="1" applyAlignment="1" applyProtection="1">
      <alignment horizontal="center"/>
    </xf>
    <xf numFmtId="0" fontId="0" fillId="11" borderId="0" xfId="0" applyFill="1" applyAlignment="1" applyProtection="1"/>
    <xf numFmtId="0" fontId="17" fillId="11" borderId="18" xfId="0" applyFont="1" applyFill="1" applyBorder="1" applyAlignment="1" applyProtection="1">
      <alignment horizontal="left"/>
    </xf>
    <xf numFmtId="0" fontId="17" fillId="11" borderId="19" xfId="0" applyFont="1" applyFill="1" applyBorder="1" applyProtection="1"/>
    <xf numFmtId="0" fontId="17" fillId="11" borderId="19" xfId="0" applyFont="1" applyFill="1" applyBorder="1" applyAlignment="1" applyProtection="1">
      <alignment horizontal="left"/>
    </xf>
    <xf numFmtId="0" fontId="17" fillId="11" borderId="19" xfId="0" applyFont="1" applyFill="1" applyBorder="1" applyAlignment="1" applyProtection="1">
      <alignment horizontal="center"/>
    </xf>
    <xf numFmtId="0" fontId="17" fillId="11" borderId="20" xfId="0" applyFont="1" applyFill="1" applyBorder="1" applyAlignment="1" applyProtection="1">
      <alignment horizontal="left"/>
    </xf>
    <xf numFmtId="0" fontId="17" fillId="11" borderId="16" xfId="0" applyFont="1" applyFill="1" applyBorder="1" applyAlignment="1" applyProtection="1">
      <alignment horizontal="left"/>
    </xf>
    <xf numFmtId="0" fontId="17" fillId="11" borderId="0" xfId="0" applyFont="1" applyFill="1" applyBorder="1" applyProtection="1"/>
    <xf numFmtId="0" fontId="17" fillId="11" borderId="0" xfId="0" applyFont="1" applyFill="1" applyBorder="1" applyAlignment="1" applyProtection="1">
      <alignment horizontal="left"/>
    </xf>
    <xf numFmtId="0" fontId="17" fillId="11" borderId="0" xfId="0" applyFont="1" applyFill="1" applyBorder="1" applyAlignment="1" applyProtection="1"/>
    <xf numFmtId="0" fontId="17" fillId="11" borderId="0" xfId="0" applyFont="1" applyFill="1" applyBorder="1" applyAlignment="1" applyProtection="1">
      <alignment horizontal="center"/>
    </xf>
    <xf numFmtId="0" fontId="65" fillId="11" borderId="0" xfId="0" applyFont="1" applyFill="1" applyBorder="1" applyAlignment="1" applyProtection="1">
      <alignment horizontal="left"/>
    </xf>
    <xf numFmtId="0" fontId="17" fillId="11" borderId="21" xfId="0" applyFont="1" applyFill="1" applyBorder="1" applyAlignment="1" applyProtection="1">
      <alignment horizontal="left"/>
    </xf>
    <xf numFmtId="0" fontId="17" fillId="11" borderId="0" xfId="0" applyFont="1" applyFill="1" applyBorder="1" applyAlignment="1" applyProtection="1">
      <alignment horizontal="right"/>
    </xf>
    <xf numFmtId="0" fontId="66" fillId="11" borderId="4" xfId="0" applyFont="1" applyFill="1" applyBorder="1" applyAlignment="1" applyProtection="1">
      <alignment horizontal="left"/>
    </xf>
    <xf numFmtId="0" fontId="66" fillId="11" borderId="12" xfId="0" applyFont="1" applyFill="1" applyBorder="1" applyAlignment="1" applyProtection="1">
      <alignment horizontal="left"/>
    </xf>
    <xf numFmtId="0" fontId="44" fillId="11" borderId="16" xfId="0" applyFont="1" applyFill="1" applyBorder="1" applyAlignment="1" applyProtection="1">
      <alignment horizontal="left"/>
    </xf>
    <xf numFmtId="0" fontId="44" fillId="11" borderId="0" xfId="0" applyFont="1" applyFill="1" applyBorder="1" applyAlignment="1" applyProtection="1">
      <alignment horizontal="right"/>
    </xf>
    <xf numFmtId="0" fontId="67" fillId="11" borderId="0" xfId="0" applyFont="1" applyFill="1" applyBorder="1" applyProtection="1"/>
    <xf numFmtId="3" fontId="67" fillId="11" borderId="11" xfId="0" applyNumberFormat="1" applyFont="1" applyFill="1" applyBorder="1" applyAlignment="1" applyProtection="1">
      <alignment horizontal="center"/>
    </xf>
    <xf numFmtId="0" fontId="17" fillId="11" borderId="22" xfId="0" applyFont="1" applyFill="1" applyBorder="1" applyAlignment="1" applyProtection="1">
      <alignment horizontal="left"/>
    </xf>
    <xf numFmtId="0" fontId="17" fillId="11" borderId="23" xfId="0" applyFont="1" applyFill="1" applyBorder="1" applyProtection="1"/>
    <xf numFmtId="0" fontId="17" fillId="11" borderId="23" xfId="0" applyFont="1" applyFill="1" applyBorder="1" applyAlignment="1" applyProtection="1">
      <alignment horizontal="left"/>
    </xf>
    <xf numFmtId="0" fontId="17" fillId="11" borderId="23" xfId="0" applyFont="1" applyFill="1" applyBorder="1" applyAlignment="1" applyProtection="1">
      <alignment horizontal="right"/>
    </xf>
    <xf numFmtId="0" fontId="67" fillId="11" borderId="23" xfId="0" applyFont="1" applyFill="1" applyBorder="1" applyProtection="1"/>
    <xf numFmtId="0" fontId="67" fillId="11" borderId="23" xfId="0" applyFont="1" applyFill="1" applyBorder="1" applyAlignment="1" applyProtection="1">
      <alignment horizontal="center"/>
    </xf>
    <xf numFmtId="0" fontId="17" fillId="11" borderId="24" xfId="0" applyFont="1" applyFill="1" applyBorder="1" applyAlignment="1" applyProtection="1">
      <alignment horizontal="left"/>
    </xf>
    <xf numFmtId="0" fontId="0" fillId="11" borderId="0" xfId="0" applyFill="1" applyAlignment="1" applyProtection="1">
      <alignment horizontal="right"/>
    </xf>
    <xf numFmtId="0" fontId="1" fillId="11" borderId="0" xfId="0" applyFont="1" applyFill="1" applyAlignment="1" applyProtection="1">
      <alignment horizontal="center"/>
    </xf>
    <xf numFmtId="0" fontId="0" fillId="11" borderId="0" xfId="0" applyFill="1" applyBorder="1" applyAlignment="1" applyProtection="1">
      <alignment horizontal="left"/>
    </xf>
    <xf numFmtId="0" fontId="0" fillId="11" borderId="0" xfId="0" applyFill="1" applyBorder="1" applyProtection="1"/>
    <xf numFmtId="0" fontId="1" fillId="11" borderId="0" xfId="0" applyFont="1" applyFill="1" applyBorder="1" applyAlignment="1" applyProtection="1">
      <alignment horizontal="left"/>
    </xf>
    <xf numFmtId="0" fontId="17" fillId="11" borderId="25" xfId="0" applyFont="1" applyFill="1" applyBorder="1" applyAlignment="1" applyProtection="1">
      <alignment horizontal="left"/>
    </xf>
    <xf numFmtId="0" fontId="0" fillId="11" borderId="14" xfId="0" applyFill="1" applyBorder="1" applyProtection="1"/>
    <xf numFmtId="0" fontId="17" fillId="11" borderId="14" xfId="0" applyFont="1" applyFill="1" applyBorder="1" applyAlignment="1" applyProtection="1">
      <alignment horizontal="left"/>
    </xf>
    <xf numFmtId="0" fontId="17" fillId="11" borderId="14" xfId="0" applyFont="1" applyFill="1" applyBorder="1" applyAlignment="1" applyProtection="1">
      <alignment horizontal="center"/>
    </xf>
    <xf numFmtId="0" fontId="17" fillId="11" borderId="14" xfId="0" applyFont="1" applyFill="1" applyBorder="1" applyProtection="1"/>
    <xf numFmtId="0" fontId="17" fillId="11" borderId="26" xfId="0" applyFont="1" applyFill="1" applyBorder="1" applyAlignment="1" applyProtection="1">
      <alignment horizontal="left"/>
    </xf>
    <xf numFmtId="0" fontId="17" fillId="11" borderId="17" xfId="0" applyFont="1" applyFill="1" applyBorder="1" applyAlignment="1" applyProtection="1">
      <alignment horizontal="left"/>
    </xf>
    <xf numFmtId="0" fontId="17" fillId="11" borderId="27" xfId="0" applyFont="1" applyFill="1" applyBorder="1" applyAlignment="1" applyProtection="1">
      <alignment horizontal="left"/>
    </xf>
    <xf numFmtId="0" fontId="17" fillId="11" borderId="1" xfId="0" applyFont="1" applyFill="1" applyBorder="1" applyAlignment="1" applyProtection="1">
      <alignment horizontal="center"/>
    </xf>
    <xf numFmtId="0" fontId="17" fillId="11" borderId="17" xfId="0" applyFont="1" applyFill="1" applyBorder="1" applyProtection="1"/>
    <xf numFmtId="0" fontId="17" fillId="11" borderId="28" xfId="0" applyFont="1" applyFill="1" applyBorder="1" applyAlignment="1" applyProtection="1">
      <alignment horizontal="left"/>
    </xf>
    <xf numFmtId="0" fontId="0" fillId="11" borderId="15" xfId="0" applyFill="1" applyBorder="1" applyProtection="1"/>
    <xf numFmtId="0" fontId="17" fillId="11" borderId="15" xfId="0" applyFont="1" applyFill="1" applyBorder="1" applyAlignment="1" applyProtection="1">
      <alignment horizontal="left"/>
    </xf>
    <xf numFmtId="0" fontId="17" fillId="11" borderId="15" xfId="0" applyFont="1" applyFill="1" applyBorder="1" applyAlignment="1" applyProtection="1">
      <alignment horizontal="right"/>
    </xf>
    <xf numFmtId="0" fontId="17" fillId="11" borderId="15" xfId="0" applyFont="1" applyFill="1" applyBorder="1" applyProtection="1"/>
    <xf numFmtId="0" fontId="17" fillId="11" borderId="15" xfId="0" applyFont="1" applyFill="1" applyBorder="1" applyAlignment="1" applyProtection="1">
      <alignment horizontal="center"/>
    </xf>
    <xf numFmtId="0" fontId="17" fillId="11" borderId="29" xfId="0" applyFont="1" applyFill="1" applyBorder="1" applyAlignment="1" applyProtection="1">
      <alignment horizontal="left"/>
    </xf>
    <xf numFmtId="3" fontId="0" fillId="11" borderId="9" xfId="0" applyNumberFormat="1" applyFill="1" applyBorder="1" applyAlignment="1" applyProtection="1">
      <alignment horizontal="center"/>
    </xf>
    <xf numFmtId="0" fontId="0" fillId="11" borderId="0" xfId="0" applyFill="1" applyBorder="1" applyAlignment="1" applyProtection="1">
      <alignment horizontal="center"/>
    </xf>
    <xf numFmtId="0" fontId="0" fillId="11" borderId="0" xfId="0" applyFill="1" applyBorder="1" applyAlignment="1" applyProtection="1">
      <alignment horizontal="right"/>
    </xf>
    <xf numFmtId="0" fontId="0" fillId="11" borderId="0" xfId="0" quotePrefix="1" applyFill="1" applyBorder="1" applyAlignment="1" applyProtection="1">
      <alignment horizontal="center"/>
    </xf>
    <xf numFmtId="0" fontId="0" fillId="11" borderId="0" xfId="0" quotePrefix="1" applyFill="1" applyBorder="1" applyAlignment="1" applyProtection="1">
      <alignment horizontal="left"/>
    </xf>
    <xf numFmtId="3" fontId="1" fillId="11" borderId="0" xfId="0" applyNumberFormat="1" applyFont="1" applyFill="1" applyBorder="1" applyAlignment="1" applyProtection="1">
      <alignment horizontal="center"/>
    </xf>
    <xf numFmtId="0" fontId="0" fillId="0" borderId="0" xfId="0" applyAlignment="1" applyProtection="1">
      <protection locked="0"/>
    </xf>
    <xf numFmtId="0" fontId="5" fillId="7" borderId="0" xfId="0" applyFont="1" applyFill="1" applyAlignment="1">
      <alignment horizontal="center"/>
    </xf>
    <xf numFmtId="0" fontId="3" fillId="7" borderId="0" xfId="0" applyFont="1" applyFill="1" applyAlignment="1">
      <alignment horizontal="left"/>
    </xf>
    <xf numFmtId="0" fontId="39" fillId="7" borderId="0" xfId="0" applyFont="1" applyFill="1" applyBorder="1" applyAlignment="1">
      <alignment horizontal="center"/>
    </xf>
    <xf numFmtId="0" fontId="29" fillId="7" borderId="0" xfId="0" applyFont="1" applyFill="1" applyAlignment="1">
      <alignment horizontal="center"/>
    </xf>
    <xf numFmtId="0" fontId="3" fillId="7" borderId="0" xfId="0" applyFont="1" applyFill="1" applyAlignment="1">
      <alignment horizontal="center"/>
    </xf>
    <xf numFmtId="0" fontId="33" fillId="7" borderId="0" xfId="0" applyFont="1" applyFill="1" applyAlignment="1">
      <alignment horizontal="center"/>
    </xf>
    <xf numFmtId="0" fontId="0" fillId="7" borderId="0" xfId="0" quotePrefix="1" applyFill="1" applyAlignment="1">
      <alignment horizontal="left"/>
    </xf>
    <xf numFmtId="0" fontId="34" fillId="7" borderId="0" xfId="0" applyFont="1" applyFill="1" applyBorder="1" applyAlignment="1">
      <alignment horizontal="center"/>
    </xf>
    <xf numFmtId="0" fontId="14" fillId="7" borderId="0" xfId="0" applyFont="1" applyFill="1" applyAlignment="1">
      <alignment horizontal="left"/>
    </xf>
    <xf numFmtId="0" fontId="0" fillId="7" borderId="0" xfId="0" applyFill="1" applyAlignment="1" applyProtection="1">
      <protection locked="0"/>
    </xf>
    <xf numFmtId="0" fontId="0" fillId="7" borderId="4" xfId="0" quotePrefix="1" applyFill="1" applyBorder="1" applyAlignment="1">
      <alignment horizontal="center"/>
    </xf>
    <xf numFmtId="0" fontId="4" fillId="7" borderId="0" xfId="0" applyFont="1" applyFill="1" applyAlignment="1">
      <alignment horizontal="center"/>
    </xf>
    <xf numFmtId="0" fontId="3" fillId="7" borderId="0" xfId="0" applyFont="1" applyFill="1"/>
    <xf numFmtId="0" fontId="0" fillId="7" borderId="4" xfId="0" applyFill="1" applyBorder="1"/>
    <xf numFmtId="0" fontId="0" fillId="7" borderId="0" xfId="0" applyFill="1" applyBorder="1" applyAlignment="1">
      <alignment horizontal="right"/>
    </xf>
    <xf numFmtId="0" fontId="13" fillId="7" borderId="0" xfId="0" applyFont="1" applyFill="1" applyBorder="1" applyAlignment="1">
      <alignment horizontal="center"/>
    </xf>
    <xf numFmtId="0" fontId="2" fillId="7" borderId="0" xfId="0" applyFont="1" applyFill="1"/>
    <xf numFmtId="0" fontId="0" fillId="7" borderId="0" xfId="0" applyFont="1" applyFill="1"/>
    <xf numFmtId="0" fontId="2" fillId="7" borderId="0" xfId="0" applyFont="1" applyFill="1" applyAlignment="1">
      <alignment horizontal="center"/>
    </xf>
    <xf numFmtId="0" fontId="51" fillId="7" borderId="0" xfId="0" applyFont="1" applyFill="1" applyAlignment="1">
      <alignment horizontal="left"/>
    </xf>
    <xf numFmtId="0" fontId="2" fillId="7" borderId="0" xfId="0" applyFont="1" applyFill="1" applyBorder="1" applyAlignment="1">
      <alignment horizontal="center"/>
    </xf>
    <xf numFmtId="0" fontId="33" fillId="7" borderId="0" xfId="0" applyFont="1" applyFill="1" applyBorder="1" applyAlignment="1">
      <alignment horizontal="center"/>
    </xf>
    <xf numFmtId="0" fontId="0" fillId="7" borderId="0" xfId="0" quotePrefix="1" applyFill="1" applyBorder="1" applyAlignment="1">
      <alignment horizontal="center"/>
    </xf>
    <xf numFmtId="0" fontId="0" fillId="7" borderId="1" xfId="0" applyFill="1" applyBorder="1" applyAlignment="1">
      <alignment horizontal="left"/>
    </xf>
    <xf numFmtId="0" fontId="72" fillId="7" borderId="4" xfId="0" applyFont="1" applyFill="1" applyBorder="1" applyAlignment="1">
      <alignment horizontal="center"/>
    </xf>
    <xf numFmtId="0" fontId="3" fillId="7" borderId="0" xfId="0" applyFont="1" applyFill="1" applyAlignment="1">
      <alignment horizontal="centerContinuous"/>
    </xf>
    <xf numFmtId="0" fontId="72" fillId="7" borderId="0" xfId="0" applyFont="1" applyFill="1"/>
    <xf numFmtId="2" fontId="0" fillId="7" borderId="4" xfId="0" applyNumberFormat="1" applyFill="1" applyBorder="1" applyAlignment="1">
      <alignment horizontal="center"/>
    </xf>
    <xf numFmtId="9" fontId="0" fillId="7" borderId="4" xfId="2" applyFont="1" applyFill="1" applyBorder="1" applyAlignment="1">
      <alignment horizontal="center"/>
    </xf>
    <xf numFmtId="0" fontId="5" fillId="7" borderId="4" xfId="0" applyFont="1" applyFill="1" applyBorder="1" applyAlignment="1">
      <alignment horizontal="center" vertical="top"/>
    </xf>
    <xf numFmtId="0" fontId="5" fillId="7" borderId="0" xfId="0" applyFont="1" applyFill="1" applyAlignment="1">
      <alignment horizontal="center" vertical="top"/>
    </xf>
    <xf numFmtId="2" fontId="0" fillId="7" borderId="0" xfId="0" applyNumberFormat="1" applyFill="1" applyBorder="1" applyAlignment="1">
      <alignment horizontal="left"/>
    </xf>
    <xf numFmtId="0" fontId="0" fillId="7" borderId="0" xfId="0" quotePrefix="1" applyFill="1" applyAlignment="1">
      <alignment horizontal="center"/>
    </xf>
    <xf numFmtId="0" fontId="6" fillId="7" borderId="0" xfId="0" applyFont="1" applyFill="1" applyAlignment="1">
      <alignment horizontal="center"/>
    </xf>
    <xf numFmtId="0" fontId="0" fillId="7" borderId="0" xfId="0" applyFill="1" applyAlignment="1"/>
    <xf numFmtId="0" fontId="17" fillId="10" borderId="16" xfId="0" applyFont="1" applyFill="1" applyBorder="1" applyAlignment="1" applyProtection="1">
      <alignment horizontal="left"/>
    </xf>
    <xf numFmtId="0" fontId="17" fillId="10" borderId="0" xfId="0" applyFont="1" applyFill="1" applyBorder="1" applyProtection="1"/>
    <xf numFmtId="0" fontId="17" fillId="10" borderId="0" xfId="0" applyFont="1" applyFill="1" applyBorder="1" applyAlignment="1" applyProtection="1"/>
    <xf numFmtId="0" fontId="17" fillId="10" borderId="0" xfId="0" applyFont="1" applyFill="1" applyBorder="1" applyAlignment="1" applyProtection="1">
      <alignment horizontal="center"/>
    </xf>
    <xf numFmtId="0" fontId="66" fillId="10" borderId="12" xfId="0" applyFont="1" applyFill="1" applyBorder="1" applyAlignment="1" applyProtection="1">
      <alignment horizontal="left"/>
    </xf>
    <xf numFmtId="0" fontId="17" fillId="10" borderId="0" xfId="0" applyFont="1" applyFill="1" applyBorder="1" applyAlignment="1" applyProtection="1">
      <alignment horizontal="left"/>
    </xf>
    <xf numFmtId="0" fontId="17" fillId="10" borderId="1" xfId="0" applyFont="1" applyFill="1" applyBorder="1" applyAlignment="1" applyProtection="1">
      <alignment horizontal="center"/>
    </xf>
    <xf numFmtId="0" fontId="17" fillId="10" borderId="17" xfId="0" applyFont="1" applyFill="1" applyBorder="1" applyAlignment="1" applyProtection="1">
      <alignment horizontal="left"/>
    </xf>
    <xf numFmtId="0" fontId="0" fillId="10" borderId="0" xfId="0" applyFill="1" applyBorder="1" applyProtection="1"/>
    <xf numFmtId="0" fontId="51" fillId="7" borderId="0" xfId="0" applyFont="1" applyFill="1" applyBorder="1" applyAlignment="1">
      <alignment horizontal="left"/>
    </xf>
    <xf numFmtId="2" fontId="0" fillId="8" borderId="4" xfId="0" applyNumberFormat="1" applyFont="1" applyFill="1" applyBorder="1" applyAlignment="1" applyProtection="1">
      <alignment horizontal="center"/>
    </xf>
    <xf numFmtId="0" fontId="57" fillId="7" borderId="0" xfId="0" applyFont="1" applyFill="1" applyBorder="1" applyAlignment="1">
      <alignment horizontal="left"/>
    </xf>
    <xf numFmtId="0" fontId="56" fillId="7" borderId="0" xfId="0" applyFont="1" applyFill="1" applyBorder="1" applyAlignment="1">
      <alignment wrapText="1"/>
    </xf>
    <xf numFmtId="0" fontId="56" fillId="7" borderId="0" xfId="0" applyFont="1" applyFill="1" applyBorder="1" applyAlignment="1">
      <alignment horizontal="center" wrapText="1"/>
    </xf>
    <xf numFmtId="0" fontId="4" fillId="7" borderId="0" xfId="0" applyFont="1" applyFill="1" applyBorder="1" applyAlignment="1"/>
    <xf numFmtId="0" fontId="58" fillId="7" borderId="0" xfId="0" applyFont="1" applyFill="1" applyBorder="1" applyAlignment="1">
      <alignment horizontal="center"/>
    </xf>
    <xf numFmtId="0" fontId="0" fillId="7" borderId="0" xfId="0" applyFill="1" applyBorder="1" applyAlignment="1" applyProtection="1">
      <alignment horizontal="center"/>
      <protection locked="0"/>
    </xf>
    <xf numFmtId="0" fontId="5" fillId="7" borderId="0" xfId="0" applyFont="1" applyFill="1" applyBorder="1" applyAlignment="1" applyProtection="1">
      <alignment horizontal="left"/>
    </xf>
    <xf numFmtId="2" fontId="0" fillId="7" borderId="0" xfId="0" applyNumberFormat="1" applyFill="1" applyBorder="1" applyAlignment="1">
      <alignment horizontal="center"/>
    </xf>
    <xf numFmtId="0" fontId="48" fillId="7" borderId="0" xfId="0" applyFont="1" applyFill="1" applyBorder="1"/>
    <xf numFmtId="0" fontId="16" fillId="7" borderId="0" xfId="0" applyFont="1" applyFill="1" applyBorder="1"/>
    <xf numFmtId="0" fontId="37" fillId="7" borderId="0" xfId="0" applyFont="1" applyFill="1" applyBorder="1" applyAlignment="1">
      <alignment horizontal="right"/>
    </xf>
    <xf numFmtId="2" fontId="5" fillId="7" borderId="0" xfId="0" applyNumberFormat="1" applyFont="1" applyFill="1" applyBorder="1" applyAlignment="1">
      <alignment horizontal="center"/>
    </xf>
    <xf numFmtId="0" fontId="21" fillId="7" borderId="0" xfId="0" applyFont="1" applyFill="1" applyBorder="1" applyAlignment="1">
      <alignment horizontal="left"/>
    </xf>
    <xf numFmtId="0" fontId="53" fillId="7" borderId="0" xfId="0" applyFont="1" applyFill="1" applyBorder="1" applyAlignment="1">
      <alignment horizontal="right"/>
    </xf>
    <xf numFmtId="2" fontId="10" fillId="7" borderId="0" xfId="0" applyNumberFormat="1" applyFont="1" applyFill="1" applyBorder="1" applyAlignment="1">
      <alignment horizontal="center"/>
    </xf>
    <xf numFmtId="0" fontId="83" fillId="0" borderId="0" xfId="0" applyFont="1" applyFill="1" applyBorder="1" applyAlignment="1" applyProtection="1">
      <alignment horizontal="center"/>
    </xf>
    <xf numFmtId="0" fontId="83" fillId="5" borderId="0" xfId="0" applyFont="1" applyFill="1" applyBorder="1" applyAlignment="1" applyProtection="1">
      <alignment horizontal="center"/>
    </xf>
    <xf numFmtId="0" fontId="78" fillId="0" borderId="0" xfId="1" applyFont="1" applyBorder="1" applyAlignment="1" applyProtection="1">
      <alignment horizontal="center"/>
    </xf>
    <xf numFmtId="0" fontId="73" fillId="8" borderId="0" xfId="0" applyFont="1" applyFill="1" applyAlignment="1" applyProtection="1">
      <alignment horizontal="center" vertical="center" wrapText="1"/>
    </xf>
    <xf numFmtId="49" fontId="0" fillId="4" borderId="1" xfId="0" applyNumberFormat="1" applyFill="1" applyBorder="1" applyAlignment="1" applyProtection="1">
      <alignment horizontal="left"/>
      <protection locked="0"/>
    </xf>
    <xf numFmtId="0" fontId="0" fillId="0" borderId="0" xfId="0" applyFont="1" applyFill="1" applyBorder="1" applyAlignment="1" applyProtection="1">
      <alignment horizontal="center"/>
    </xf>
    <xf numFmtId="0" fontId="6" fillId="8" borderId="1" xfId="0" applyFont="1" applyFill="1" applyBorder="1" applyAlignment="1" applyProtection="1">
      <alignment horizontal="center"/>
    </xf>
    <xf numFmtId="0" fontId="10" fillId="8" borderId="0" xfId="0" applyFont="1" applyFill="1" applyBorder="1" applyAlignment="1" applyProtection="1">
      <alignment horizontal="center"/>
    </xf>
    <xf numFmtId="0" fontId="80" fillId="0" borderId="1" xfId="0" applyFont="1" applyFill="1" applyBorder="1" applyAlignment="1" applyProtection="1">
      <alignment horizontal="center"/>
    </xf>
    <xf numFmtId="0" fontId="24" fillId="8" borderId="1" xfId="0" applyFont="1" applyFill="1" applyBorder="1" applyAlignment="1" applyProtection="1">
      <alignment horizontal="center"/>
    </xf>
    <xf numFmtId="0" fontId="78" fillId="0" borderId="0" xfId="1" applyFont="1" applyFill="1" applyBorder="1" applyAlignment="1" applyProtection="1">
      <alignment horizontal="left"/>
    </xf>
    <xf numFmtId="2" fontId="70" fillId="0" borderId="6" xfId="0" applyNumberFormat="1" applyFont="1" applyFill="1" applyBorder="1" applyAlignment="1" applyProtection="1">
      <alignment horizontal="center" vertical="center"/>
    </xf>
    <xf numFmtId="2" fontId="70" fillId="0" borderId="8" xfId="0" applyNumberFormat="1" applyFont="1" applyFill="1" applyBorder="1" applyAlignment="1" applyProtection="1">
      <alignment horizontal="center" vertical="center"/>
    </xf>
    <xf numFmtId="2" fontId="70" fillId="0" borderId="10" xfId="0" applyNumberFormat="1" applyFont="1" applyFill="1" applyBorder="1" applyAlignment="1" applyProtection="1">
      <alignment horizontal="center" vertical="center"/>
    </xf>
    <xf numFmtId="2" fontId="70" fillId="0" borderId="5" xfId="0" applyNumberFormat="1" applyFont="1" applyFill="1" applyBorder="1" applyAlignment="1" applyProtection="1">
      <alignment horizontal="center" vertical="center"/>
    </xf>
    <xf numFmtId="0" fontId="61" fillId="8" borderId="0" xfId="0" applyFont="1" applyFill="1" applyBorder="1" applyAlignment="1" applyProtection="1">
      <alignment horizontal="center"/>
    </xf>
    <xf numFmtId="0" fontId="81" fillId="0" borderId="0" xfId="0" applyFont="1" applyFill="1" applyBorder="1" applyAlignment="1" applyProtection="1">
      <alignment horizontal="center"/>
    </xf>
    <xf numFmtId="0" fontId="82" fillId="0" borderId="0" xfId="0" applyFont="1" applyFill="1" applyBorder="1" applyAlignment="1" applyProtection="1">
      <alignment horizontal="center"/>
    </xf>
    <xf numFmtId="0" fontId="71" fillId="0" borderId="0" xfId="1" applyFont="1" applyFill="1" applyBorder="1" applyAlignment="1" applyProtection="1">
      <alignment horizontal="left"/>
    </xf>
    <xf numFmtId="0" fontId="1" fillId="0" borderId="0" xfId="0" applyFont="1" applyFill="1" applyAlignment="1" applyProtection="1">
      <alignment horizontal="left" wrapText="1"/>
    </xf>
    <xf numFmtId="0" fontId="84" fillId="0" borderId="0" xfId="0" applyFont="1" applyFill="1" applyBorder="1" applyAlignment="1" applyProtection="1">
      <alignment horizontal="center"/>
    </xf>
    <xf numFmtId="0" fontId="79" fillId="0" borderId="0" xfId="0" applyFont="1"/>
    <xf numFmtId="0" fontId="86" fillId="0" borderId="0" xfId="0" applyFont="1" applyBorder="1" applyAlignment="1" applyProtection="1">
      <alignment horizontal="center" wrapText="1"/>
    </xf>
    <xf numFmtId="0" fontId="71" fillId="0" borderId="42" xfId="1" applyFont="1" applyFill="1" applyBorder="1" applyAlignment="1" applyProtection="1">
      <alignment horizontal="right"/>
    </xf>
    <xf numFmtId="0" fontId="71" fillId="0" borderId="0" xfId="1" applyFont="1" applyFill="1" applyBorder="1" applyAlignment="1" applyProtection="1">
      <alignment horizontal="right"/>
    </xf>
    <xf numFmtId="0" fontId="87" fillId="0" borderId="40" xfId="0" applyFont="1" applyFill="1" applyBorder="1" applyAlignment="1" applyProtection="1">
      <alignment horizontal="center" vertical="center" wrapText="1"/>
    </xf>
    <xf numFmtId="0" fontId="87" fillId="0" borderId="41" xfId="0" applyFont="1" applyFill="1" applyBorder="1" applyAlignment="1" applyProtection="1">
      <alignment horizontal="center" vertical="center" wrapText="1"/>
    </xf>
    <xf numFmtId="0" fontId="87" fillId="0" borderId="0" xfId="0" applyFont="1" applyFill="1" applyBorder="1" applyAlignment="1" applyProtection="1">
      <alignment horizontal="center" vertical="center" wrapText="1"/>
    </xf>
    <xf numFmtId="0" fontId="87" fillId="0" borderId="43" xfId="0" applyFont="1" applyFill="1" applyBorder="1" applyAlignment="1" applyProtection="1">
      <alignment horizontal="center" vertical="center" wrapText="1"/>
    </xf>
    <xf numFmtId="0" fontId="88" fillId="11" borderId="0" xfId="0" applyFont="1" applyFill="1" applyAlignment="1" applyProtection="1">
      <alignment horizontal="center" vertical="center"/>
    </xf>
    <xf numFmtId="0" fontId="88" fillId="11" borderId="23" xfId="0" applyFont="1" applyFill="1" applyBorder="1" applyAlignment="1" applyProtection="1">
      <alignment horizontal="center" vertical="center"/>
    </xf>
    <xf numFmtId="0" fontId="6" fillId="7" borderId="0" xfId="0" applyFont="1" applyFill="1" applyAlignment="1">
      <alignment horizontal="center"/>
    </xf>
    <xf numFmtId="0" fontId="10" fillId="7" borderId="0" xfId="0" applyFont="1" applyFill="1" applyBorder="1" applyAlignment="1">
      <alignment horizontal="center"/>
    </xf>
    <xf numFmtId="0" fontId="10" fillId="7" borderId="0" xfId="0" applyFont="1" applyFill="1" applyAlignment="1"/>
    <xf numFmtId="0" fontId="0" fillId="7" borderId="0" xfId="0" applyFill="1" applyAlignment="1"/>
    <xf numFmtId="0" fontId="0" fillId="0" borderId="1" xfId="0" applyFill="1" applyBorder="1" applyAlignment="1" applyProtection="1">
      <alignment horizontal="center"/>
    </xf>
    <xf numFmtId="0" fontId="51" fillId="0" borderId="0" xfId="1" applyFont="1" applyFill="1" applyBorder="1" applyAlignment="1" applyProtection="1">
      <alignment horizontal="center"/>
    </xf>
    <xf numFmtId="0" fontId="10" fillId="0" borderId="0" xfId="0" applyFont="1" applyFill="1" applyBorder="1" applyAlignment="1" applyProtection="1">
      <alignment horizontal="center"/>
    </xf>
    <xf numFmtId="0" fontId="6" fillId="0" borderId="0" xfId="0" applyFont="1" applyFill="1" applyBorder="1" applyAlignment="1" applyProtection="1">
      <alignment horizontal="center" textRotation="90"/>
    </xf>
    <xf numFmtId="0" fontId="55" fillId="7" borderId="0" xfId="0" applyFont="1" applyFill="1" applyBorder="1" applyAlignment="1">
      <alignment horizontal="center" wrapText="1"/>
    </xf>
    <xf numFmtId="0" fontId="5" fillId="7" borderId="0" xfId="0" applyFont="1" applyFill="1" applyBorder="1" applyAlignment="1">
      <alignment horizontal="left" wrapText="1"/>
    </xf>
    <xf numFmtId="0" fontId="89" fillId="7" borderId="0" xfId="0" applyFont="1" applyFill="1" applyBorder="1" applyAlignment="1">
      <alignment horizontal="left" vertical="top" wrapText="1"/>
    </xf>
    <xf numFmtId="0" fontId="0" fillId="7" borderId="0" xfId="0" applyFill="1" applyBorder="1" applyAlignment="1">
      <alignment horizontal="center" wrapText="1"/>
    </xf>
    <xf numFmtId="0" fontId="34" fillId="0" borderId="43" xfId="0" applyFont="1" applyFill="1" applyBorder="1" applyAlignment="1" applyProtection="1">
      <alignment horizontal="center" wrapText="1"/>
    </xf>
    <xf numFmtId="0" fontId="22" fillId="0" borderId="0" xfId="0" applyFont="1" applyFill="1" applyBorder="1" applyAlignment="1" applyProtection="1">
      <alignment horizontal="center"/>
    </xf>
    <xf numFmtId="0" fontId="34" fillId="0" borderId="0" xfId="0" applyFont="1" applyFill="1" applyBorder="1" applyAlignment="1" applyProtection="1">
      <alignment horizontal="center" wrapText="1"/>
    </xf>
    <xf numFmtId="2" fontId="0" fillId="0" borderId="13" xfId="0" applyNumberFormat="1" applyFill="1" applyBorder="1" applyAlignment="1" applyProtection="1">
      <alignment horizontal="center"/>
    </xf>
    <xf numFmtId="2" fontId="0" fillId="0" borderId="37" xfId="0" applyNumberFormat="1" applyFill="1" applyBorder="1" applyAlignment="1" applyProtection="1">
      <alignment horizontal="center"/>
    </xf>
    <xf numFmtId="0" fontId="75" fillId="0" borderId="7" xfId="1" applyFont="1" applyFill="1" applyBorder="1" applyAlignment="1" applyProtection="1">
      <alignment horizontal="center"/>
      <protection locked="0"/>
    </xf>
    <xf numFmtId="0" fontId="51" fillId="7" borderId="0" xfId="0" applyFont="1" applyFill="1" applyBorder="1" applyAlignment="1">
      <alignment horizontal="left"/>
    </xf>
    <xf numFmtId="0" fontId="51" fillId="7" borderId="0" xfId="0" applyFont="1" applyFill="1" applyBorder="1" applyAlignment="1">
      <alignment horizontal="center"/>
    </xf>
    <xf numFmtId="0" fontId="0" fillId="0" borderId="0" xfId="0" applyAlignment="1" applyProtection="1">
      <alignment horizontal="center"/>
      <protection locked="0"/>
    </xf>
    <xf numFmtId="0" fontId="43" fillId="0" borderId="0" xfId="0" applyFont="1" applyAlignment="1">
      <alignment horizontal="center"/>
    </xf>
    <xf numFmtId="0" fontId="45" fillId="0" borderId="0" xfId="0" applyFont="1" applyAlignment="1">
      <alignment horizontal="center"/>
    </xf>
    <xf numFmtId="0" fontId="44" fillId="4" borderId="1" xfId="0" applyFont="1" applyFill="1" applyBorder="1" applyAlignment="1" applyProtection="1">
      <alignment horizontal="left"/>
      <protection locked="0"/>
    </xf>
    <xf numFmtId="0" fontId="44" fillId="0" borderId="7" xfId="0" applyFont="1" applyBorder="1" applyAlignment="1">
      <alignment horizontal="center"/>
    </xf>
    <xf numFmtId="0" fontId="44" fillId="0" borderId="0" xfId="0" applyFont="1" applyAlignment="1">
      <alignment horizontal="center"/>
    </xf>
    <xf numFmtId="0" fontId="44" fillId="4" borderId="38" xfId="0" applyFont="1" applyFill="1" applyBorder="1" applyAlignment="1" applyProtection="1">
      <alignment horizontal="center"/>
      <protection locked="0"/>
    </xf>
    <xf numFmtId="0" fontId="44" fillId="4" borderId="1" xfId="0" applyFont="1" applyFill="1" applyBorder="1" applyAlignment="1" applyProtection="1">
      <alignment horizontal="center"/>
      <protection locked="0"/>
    </xf>
    <xf numFmtId="0" fontId="44" fillId="4" borderId="1" xfId="0" applyFont="1" applyFill="1" applyBorder="1" applyAlignment="1" applyProtection="1">
      <protection locked="0"/>
    </xf>
  </cellXfs>
  <cellStyles count="3">
    <cellStyle name="Hyperlink" xfId="1" builtinId="8"/>
    <cellStyle name="Normal" xfId="0" builtinId="0"/>
    <cellStyle name="Percent" xfId="2" builtinId="5"/>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7030A0"/>
      </font>
      <border>
        <left style="thin">
          <color auto="1"/>
        </left>
        <right style="thin">
          <color auto="1"/>
        </right>
        <top style="thin">
          <color auto="1"/>
        </top>
        <bottom style="thin">
          <color auto="1"/>
        </bottom>
      </border>
    </dxf>
    <dxf>
      <font>
        <b/>
        <i val="0"/>
        <color rgb="FF7030A0"/>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104775</xdr:colOff>
      <xdr:row>35</xdr:row>
      <xdr:rowOff>142875</xdr:rowOff>
    </xdr:from>
    <xdr:to>
      <xdr:col>22</xdr:col>
      <xdr:colOff>371475</xdr:colOff>
      <xdr:row>41</xdr:row>
      <xdr:rowOff>0</xdr:rowOff>
    </xdr:to>
    <xdr:sp macro="" textlink="">
      <xdr:nvSpPr>
        <xdr:cNvPr id="11375" name="Rectangle 10">
          <a:extLst>
            <a:ext uri="{FF2B5EF4-FFF2-40B4-BE49-F238E27FC236}">
              <a16:creationId xmlns:a16="http://schemas.microsoft.com/office/drawing/2014/main" id="{00000000-0008-0000-0000-00006F2C0000}"/>
            </a:ext>
          </a:extLst>
        </xdr:cNvPr>
        <xdr:cNvSpPr>
          <a:spLocks noChangeArrowheads="1"/>
        </xdr:cNvSpPr>
      </xdr:nvSpPr>
      <xdr:spPr bwMode="auto">
        <a:xfrm>
          <a:off x="14268450" y="5000625"/>
          <a:ext cx="1485900" cy="828675"/>
        </a:xfrm>
        <a:prstGeom prst="rect">
          <a:avLst/>
        </a:prstGeom>
        <a:noFill/>
        <a:ln w="9525">
          <a:solidFill>
            <a:srgbClr val="80206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85725</xdr:colOff>
      <xdr:row>62</xdr:row>
      <xdr:rowOff>66675</xdr:rowOff>
    </xdr:from>
    <xdr:to>
      <xdr:col>11</xdr:col>
      <xdr:colOff>381000</xdr:colOff>
      <xdr:row>62</xdr:row>
      <xdr:rowOff>66675</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bwMode="auto">
        <a:xfrm flipH="1">
          <a:off x="10420350" y="220980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55</xdr:row>
      <xdr:rowOff>0</xdr:rowOff>
    </xdr:from>
    <xdr:to>
      <xdr:col>14</xdr:col>
      <xdr:colOff>581025</xdr:colOff>
      <xdr:row>63</xdr:row>
      <xdr:rowOff>0</xdr:rowOff>
    </xdr:to>
    <xdr:sp macro="" textlink="">
      <xdr:nvSpPr>
        <xdr:cNvPr id="2" name="Rectangle 5">
          <a:extLst>
            <a:ext uri="{FF2B5EF4-FFF2-40B4-BE49-F238E27FC236}">
              <a16:creationId xmlns:a16="http://schemas.microsoft.com/office/drawing/2014/main" id="{00000000-0008-0000-0300-000002000000}"/>
            </a:ext>
          </a:extLst>
        </xdr:cNvPr>
        <xdr:cNvSpPr>
          <a:spLocks noChangeArrowheads="1"/>
        </xdr:cNvSpPr>
      </xdr:nvSpPr>
      <xdr:spPr bwMode="auto">
        <a:xfrm>
          <a:off x="352425" y="19297650"/>
          <a:ext cx="5991225" cy="1143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228600</xdr:colOff>
      <xdr:row>55</xdr:row>
      <xdr:rowOff>0</xdr:rowOff>
    </xdr:from>
    <xdr:to>
      <xdr:col>11</xdr:col>
      <xdr:colOff>228600</xdr:colOff>
      <xdr:row>63</xdr:row>
      <xdr:rowOff>19050</xdr:rowOff>
    </xdr:to>
    <xdr:sp macro="" textlink="">
      <xdr:nvSpPr>
        <xdr:cNvPr id="3" name="Line 8">
          <a:extLst>
            <a:ext uri="{FF2B5EF4-FFF2-40B4-BE49-F238E27FC236}">
              <a16:creationId xmlns:a16="http://schemas.microsoft.com/office/drawing/2014/main" id="{00000000-0008-0000-0300-000003000000}"/>
            </a:ext>
          </a:extLst>
        </xdr:cNvPr>
        <xdr:cNvSpPr>
          <a:spLocks noChangeShapeType="1"/>
        </xdr:cNvSpPr>
      </xdr:nvSpPr>
      <xdr:spPr bwMode="auto">
        <a:xfrm>
          <a:off x="4648200" y="19297650"/>
          <a:ext cx="0" cy="1162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113</xdr:row>
      <xdr:rowOff>0</xdr:rowOff>
    </xdr:from>
    <xdr:to>
      <xdr:col>14</xdr:col>
      <xdr:colOff>200025</xdr:colOff>
      <xdr:row>121</xdr:row>
      <xdr:rowOff>9525</xdr:rowOff>
    </xdr:to>
    <xdr:sp macro="" textlink="">
      <xdr:nvSpPr>
        <xdr:cNvPr id="4" name="Rectangle 20">
          <a:extLst>
            <a:ext uri="{FF2B5EF4-FFF2-40B4-BE49-F238E27FC236}">
              <a16:creationId xmlns:a16="http://schemas.microsoft.com/office/drawing/2014/main" id="{00000000-0008-0000-0300-000004000000}"/>
            </a:ext>
          </a:extLst>
        </xdr:cNvPr>
        <xdr:cNvSpPr>
          <a:spLocks noChangeArrowheads="1"/>
        </xdr:cNvSpPr>
      </xdr:nvSpPr>
      <xdr:spPr bwMode="auto">
        <a:xfrm>
          <a:off x="3524250" y="23441025"/>
          <a:ext cx="24384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314325</xdr:colOff>
      <xdr:row>35</xdr:row>
      <xdr:rowOff>0</xdr:rowOff>
    </xdr:from>
    <xdr:to>
      <xdr:col>51</xdr:col>
      <xdr:colOff>314325</xdr:colOff>
      <xdr:row>35</xdr:row>
      <xdr:rowOff>0</xdr:rowOff>
    </xdr:to>
    <xdr:sp macro="" textlink="">
      <xdr:nvSpPr>
        <xdr:cNvPr id="3428" name="Line 14">
          <a:extLst>
            <a:ext uri="{FF2B5EF4-FFF2-40B4-BE49-F238E27FC236}">
              <a16:creationId xmlns:a16="http://schemas.microsoft.com/office/drawing/2014/main" id="{00000000-0008-0000-0400-0000640D0000}"/>
            </a:ext>
          </a:extLst>
        </xdr:cNvPr>
        <xdr:cNvSpPr>
          <a:spLocks noChangeShapeType="1"/>
        </xdr:cNvSpPr>
      </xdr:nvSpPr>
      <xdr:spPr bwMode="auto">
        <a:xfrm>
          <a:off x="31375350" y="15925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5"/>
  </sheetPr>
  <dimension ref="A3:AC61"/>
  <sheetViews>
    <sheetView showGridLines="0" tabSelected="1" zoomScale="96" zoomScaleNormal="96" workbookViewId="0">
      <selection activeCell="F14" sqref="F14"/>
    </sheetView>
  </sheetViews>
  <sheetFormatPr defaultRowHeight="12.75" customHeight="1" x14ac:dyDescent="0.2"/>
  <cols>
    <col min="1" max="1" width="9.7109375" style="344" customWidth="1"/>
    <col min="2" max="2" width="2.28515625" style="195" customWidth="1"/>
    <col min="3" max="3" width="2.42578125" style="195" customWidth="1"/>
    <col min="4" max="5" width="6.28515625" style="195" customWidth="1"/>
    <col min="6" max="6" width="7" style="195" customWidth="1"/>
    <col min="7" max="7" width="6.28515625" style="195" customWidth="1"/>
    <col min="8" max="8" width="2.7109375" style="195" customWidth="1"/>
    <col min="9" max="9" width="6" style="195" customWidth="1"/>
    <col min="10" max="10" width="7.5703125" style="195" customWidth="1"/>
    <col min="11" max="11" width="2.85546875" style="195" customWidth="1"/>
    <col min="12" max="12" width="6.28515625" style="195" customWidth="1"/>
    <col min="13" max="13" width="7.5703125" style="195" customWidth="1"/>
    <col min="14" max="14" width="5.5703125" style="195" customWidth="1"/>
    <col min="15" max="15" width="6.28515625" style="195" customWidth="1"/>
    <col min="16" max="16" width="7.5703125" style="195" customWidth="1"/>
    <col min="17" max="17" width="2.5703125" style="195" customWidth="1"/>
    <col min="18" max="18" width="6.140625" style="195" customWidth="1"/>
    <col min="19" max="19" width="2.85546875" style="195" customWidth="1"/>
    <col min="20" max="20" width="3.140625" style="195" customWidth="1"/>
    <col min="21" max="16384" width="9.140625" style="195"/>
  </cols>
  <sheetData>
    <row r="3" spans="1:20" ht="12.75" customHeight="1" x14ac:dyDescent="0.2">
      <c r="B3" s="184"/>
      <c r="C3" s="184"/>
      <c r="D3" s="184"/>
      <c r="E3" s="184"/>
      <c r="F3" s="184"/>
      <c r="G3" s="555"/>
      <c r="H3" s="555"/>
      <c r="I3" s="555"/>
      <c r="J3" s="555"/>
      <c r="K3" s="555"/>
      <c r="L3" s="555"/>
      <c r="M3" s="555"/>
      <c r="N3" s="184"/>
      <c r="O3" s="184"/>
      <c r="P3" s="184"/>
      <c r="Q3" s="184"/>
      <c r="R3" s="184"/>
      <c r="S3" s="184"/>
      <c r="T3" s="184"/>
    </row>
    <row r="4" spans="1:20" ht="12.75" customHeight="1" x14ac:dyDescent="0.2">
      <c r="B4" s="184"/>
      <c r="C4" s="184"/>
      <c r="D4" s="184"/>
      <c r="E4" s="184"/>
      <c r="F4" s="184"/>
      <c r="G4" s="555"/>
      <c r="H4" s="555"/>
      <c r="I4" s="555"/>
      <c r="J4" s="555"/>
      <c r="K4" s="555"/>
      <c r="L4" s="555"/>
      <c r="M4" s="555"/>
      <c r="N4" s="184"/>
      <c r="O4" s="184"/>
      <c r="P4" s="184"/>
      <c r="Q4" s="184"/>
      <c r="R4" s="184"/>
      <c r="S4" s="184"/>
      <c r="T4" s="184"/>
    </row>
    <row r="5" spans="1:20" ht="12.75" customHeight="1" x14ac:dyDescent="0.2">
      <c r="A5" s="345"/>
      <c r="B5" s="58"/>
      <c r="C5" s="74"/>
      <c r="D5" s="74"/>
      <c r="E5" s="74"/>
      <c r="F5" s="74"/>
      <c r="G5" s="59"/>
      <c r="H5" s="59"/>
      <c r="I5" s="59"/>
      <c r="J5" s="74"/>
      <c r="K5" s="74"/>
      <c r="L5" s="59"/>
      <c r="M5" s="74"/>
      <c r="N5" s="74"/>
      <c r="O5" s="74"/>
      <c r="P5" s="543" t="s">
        <v>322</v>
      </c>
      <c r="Q5" s="543"/>
      <c r="R5" s="543"/>
      <c r="S5" s="543"/>
      <c r="T5" s="543"/>
    </row>
    <row r="6" spans="1:20" ht="12.75" customHeight="1" x14ac:dyDescent="0.2">
      <c r="A6" s="345"/>
      <c r="B6" s="58"/>
      <c r="C6" s="74" t="s">
        <v>1</v>
      </c>
      <c r="D6" s="74"/>
      <c r="E6" s="58"/>
      <c r="F6" s="544"/>
      <c r="G6" s="544"/>
      <c r="H6" s="544"/>
      <c r="I6" s="544"/>
      <c r="J6" s="85"/>
      <c r="K6" s="58"/>
      <c r="L6" s="86"/>
      <c r="M6" s="85"/>
      <c r="N6" s="74"/>
      <c r="O6" s="58"/>
      <c r="P6" s="543"/>
      <c r="Q6" s="543"/>
      <c r="R6" s="543"/>
      <c r="S6" s="543"/>
      <c r="T6" s="543"/>
    </row>
    <row r="7" spans="1:20" ht="12.75" customHeight="1" x14ac:dyDescent="0.2">
      <c r="A7" s="345"/>
      <c r="B7" s="58"/>
      <c r="C7" s="74"/>
      <c r="D7" s="74"/>
      <c r="E7" s="58"/>
      <c r="F7" s="86"/>
      <c r="G7" s="86"/>
      <c r="H7" s="85"/>
      <c r="I7" s="85"/>
      <c r="J7" s="85"/>
      <c r="K7" s="86"/>
      <c r="L7" s="86"/>
      <c r="M7" s="85"/>
      <c r="N7" s="74"/>
      <c r="O7" s="74"/>
      <c r="P7" s="543"/>
      <c r="Q7" s="543"/>
      <c r="R7" s="543"/>
      <c r="S7" s="543"/>
      <c r="T7" s="543"/>
    </row>
    <row r="8" spans="1:20" ht="12.75" customHeight="1" x14ac:dyDescent="0.2">
      <c r="A8" s="345"/>
      <c r="B8" s="58"/>
      <c r="C8" s="74" t="s">
        <v>2</v>
      </c>
      <c r="D8" s="74"/>
      <c r="E8" s="58"/>
      <c r="F8" s="544"/>
      <c r="G8" s="544"/>
      <c r="H8" s="544"/>
      <c r="I8" s="544"/>
      <c r="J8" s="544"/>
      <c r="K8" s="544"/>
      <c r="L8" s="544"/>
      <c r="M8" s="544"/>
      <c r="N8" s="544"/>
      <c r="O8" s="74"/>
      <c r="P8" s="543" t="s">
        <v>321</v>
      </c>
      <c r="Q8" s="543"/>
      <c r="R8" s="543"/>
      <c r="S8" s="543"/>
      <c r="T8" s="543"/>
    </row>
    <row r="9" spans="1:20" ht="12.75" customHeight="1" x14ac:dyDescent="0.2">
      <c r="A9" s="345"/>
      <c r="B9" s="58"/>
      <c r="C9" s="74"/>
      <c r="D9" s="74"/>
      <c r="E9" s="58"/>
      <c r="F9" s="86"/>
      <c r="G9" s="86"/>
      <c r="H9" s="89"/>
      <c r="I9" s="89"/>
      <c r="J9" s="89"/>
      <c r="K9" s="86"/>
      <c r="L9" s="89"/>
      <c r="M9" s="89"/>
      <c r="N9" s="58"/>
      <c r="O9" s="59"/>
      <c r="P9" s="543"/>
      <c r="Q9" s="543"/>
      <c r="R9" s="543"/>
      <c r="S9" s="543"/>
      <c r="T9" s="543"/>
    </row>
    <row r="10" spans="1:20" ht="12.75" customHeight="1" x14ac:dyDescent="0.2">
      <c r="B10" s="57"/>
      <c r="C10" s="131" t="s">
        <v>198</v>
      </c>
      <c r="D10" s="74"/>
      <c r="E10" s="58"/>
      <c r="F10" s="544"/>
      <c r="G10" s="544"/>
      <c r="H10" s="544"/>
      <c r="I10" s="544"/>
      <c r="J10" s="75" t="s">
        <v>3</v>
      </c>
      <c r="K10" s="84"/>
      <c r="L10" s="89"/>
      <c r="M10" s="89"/>
      <c r="N10" s="58"/>
      <c r="O10" s="59"/>
      <c r="P10" s="74"/>
      <c r="Q10" s="74"/>
      <c r="R10" s="74"/>
      <c r="S10" s="74"/>
      <c r="T10" s="74"/>
    </row>
    <row r="11" spans="1:20" ht="12.75" customHeight="1" x14ac:dyDescent="0.2">
      <c r="B11" s="57"/>
      <c r="C11" s="58"/>
      <c r="D11" s="74"/>
      <c r="E11" s="74"/>
      <c r="F11" s="93"/>
      <c r="G11" s="90"/>
      <c r="H11" s="58"/>
      <c r="I11" s="58"/>
      <c r="J11" s="58"/>
      <c r="K11" s="91"/>
      <c r="L11" s="58"/>
      <c r="M11" s="58"/>
      <c r="N11" s="58"/>
      <c r="O11" s="388" t="s">
        <v>231</v>
      </c>
      <c r="P11" s="184"/>
      <c r="Q11" s="388"/>
      <c r="R11" s="551">
        <f>SUM(O30,O42,O47)</f>
        <v>0</v>
      </c>
      <c r="S11" s="552"/>
      <c r="T11" s="184"/>
    </row>
    <row r="12" spans="1:20" ht="12.75" customHeight="1" x14ac:dyDescent="0.2">
      <c r="B12" s="75"/>
      <c r="C12" s="58" t="s">
        <v>319</v>
      </c>
      <c r="D12" s="58"/>
      <c r="E12" s="207"/>
      <c r="F12" s="55"/>
      <c r="G12" s="84" t="s">
        <v>320</v>
      </c>
      <c r="H12" s="208"/>
      <c r="I12" s="208"/>
      <c r="J12" s="58"/>
      <c r="K12" s="58"/>
      <c r="L12" s="58"/>
      <c r="M12" s="58"/>
      <c r="N12" s="58"/>
      <c r="O12" s="58"/>
      <c r="P12" s="388"/>
      <c r="Q12" s="388"/>
      <c r="R12" s="553"/>
      <c r="S12" s="554"/>
      <c r="T12" s="184"/>
    </row>
    <row r="13" spans="1:20" ht="12.75" customHeight="1" x14ac:dyDescent="0.2">
      <c r="B13" s="92"/>
      <c r="C13" s="58"/>
      <c r="D13" s="58"/>
      <c r="E13" s="58"/>
      <c r="F13" s="58"/>
      <c r="G13" s="58"/>
      <c r="H13" s="58"/>
      <c r="I13" s="58"/>
      <c r="J13" s="58"/>
      <c r="K13" s="58"/>
      <c r="L13" s="58"/>
      <c r="M13" s="58"/>
      <c r="N13" s="58"/>
      <c r="O13" s="58"/>
      <c r="P13" s="58"/>
      <c r="Q13" s="58"/>
      <c r="R13" s="58"/>
      <c r="S13" s="58"/>
      <c r="T13" s="58"/>
    </row>
    <row r="14" spans="1:20" ht="12.75" customHeight="1" x14ac:dyDescent="0.2">
      <c r="B14" s="92"/>
      <c r="C14" s="63" t="s">
        <v>323</v>
      </c>
      <c r="D14" s="58"/>
      <c r="E14" s="83"/>
      <c r="F14" s="115"/>
      <c r="G14" s="58"/>
      <c r="H14" s="58"/>
      <c r="I14" s="58"/>
      <c r="J14" s="58"/>
      <c r="K14" s="58"/>
      <c r="L14" s="58"/>
      <c r="M14" s="58"/>
      <c r="N14" s="58"/>
      <c r="O14" s="58"/>
      <c r="P14" s="58"/>
      <c r="Q14" s="58"/>
      <c r="R14" s="58"/>
      <c r="S14" s="58"/>
      <c r="T14" s="58"/>
    </row>
    <row r="15" spans="1:20" ht="12.75" customHeight="1" x14ac:dyDescent="0.2">
      <c r="B15" s="92"/>
      <c r="C15" s="58"/>
      <c r="D15" s="58"/>
      <c r="E15" s="58"/>
      <c r="F15" s="58"/>
      <c r="G15" s="58"/>
      <c r="H15" s="58"/>
      <c r="I15" s="58"/>
      <c r="J15" s="58"/>
      <c r="K15" s="58"/>
      <c r="L15" s="58"/>
      <c r="M15" s="58"/>
      <c r="N15" s="58"/>
      <c r="O15" s="58"/>
      <c r="P15" s="58"/>
      <c r="Q15" s="58"/>
      <c r="R15" s="58"/>
      <c r="S15" s="58"/>
      <c r="T15" s="58"/>
    </row>
    <row r="16" spans="1:20" ht="12.75" customHeight="1" thickBot="1" x14ac:dyDescent="0.25">
      <c r="B16" s="75"/>
      <c r="C16" s="58"/>
      <c r="D16" s="58"/>
      <c r="E16" s="58"/>
      <c r="F16" s="58"/>
      <c r="G16" s="58"/>
      <c r="H16" s="58"/>
      <c r="I16" s="58"/>
      <c r="J16" s="58"/>
      <c r="K16" s="58"/>
      <c r="L16" s="58"/>
      <c r="M16" s="58"/>
      <c r="N16" s="58"/>
      <c r="O16" s="58"/>
      <c r="P16" s="58"/>
      <c r="Q16" s="58"/>
      <c r="R16" s="58"/>
      <c r="S16" s="58"/>
      <c r="T16" s="58"/>
    </row>
    <row r="17" spans="2:24" ht="12.75" customHeight="1" x14ac:dyDescent="0.2">
      <c r="B17" s="75"/>
      <c r="C17" s="58"/>
      <c r="D17" s="170"/>
      <c r="E17" s="138"/>
      <c r="F17" s="169"/>
      <c r="G17" s="169"/>
      <c r="H17" s="169"/>
      <c r="I17" s="169"/>
      <c r="J17" s="169"/>
      <c r="K17" s="169"/>
      <c r="L17" s="169"/>
      <c r="M17" s="169"/>
      <c r="N17" s="171"/>
      <c r="O17" s="171"/>
      <c r="P17" s="169"/>
      <c r="Q17" s="169"/>
      <c r="R17" s="138"/>
      <c r="S17" s="139"/>
      <c r="T17" s="58"/>
      <c r="U17" s="196"/>
      <c r="V17" s="196"/>
      <c r="W17" s="196"/>
      <c r="X17" s="196"/>
    </row>
    <row r="18" spans="2:24" ht="12.75" customHeight="1" x14ac:dyDescent="0.2">
      <c r="B18" s="75"/>
      <c r="C18" s="58"/>
      <c r="D18" s="172"/>
      <c r="E18" s="547" t="s">
        <v>342</v>
      </c>
      <c r="F18" s="547"/>
      <c r="G18" s="547"/>
      <c r="H18" s="547"/>
      <c r="I18" s="547"/>
      <c r="J18" s="547"/>
      <c r="K18" s="547"/>
      <c r="L18" s="547"/>
      <c r="M18" s="547"/>
      <c r="N18" s="547"/>
      <c r="O18" s="547"/>
      <c r="P18" s="547"/>
      <c r="Q18" s="547"/>
      <c r="R18" s="547"/>
      <c r="S18" s="141"/>
      <c r="T18" s="58"/>
      <c r="U18" s="295"/>
      <c r="V18" s="295"/>
      <c r="W18" s="295"/>
      <c r="X18" s="196"/>
    </row>
    <row r="19" spans="2:24" ht="12.75" customHeight="1" x14ac:dyDescent="0.2">
      <c r="B19" s="75"/>
      <c r="C19" s="58"/>
      <c r="D19" s="172"/>
      <c r="E19" s="75"/>
      <c r="F19" s="75"/>
      <c r="G19" s="542" t="s">
        <v>343</v>
      </c>
      <c r="H19" s="542"/>
      <c r="I19" s="542"/>
      <c r="J19" s="542"/>
      <c r="K19" s="542"/>
      <c r="L19" s="542"/>
      <c r="M19" s="542"/>
      <c r="N19" s="542"/>
      <c r="O19" s="542"/>
      <c r="P19" s="57"/>
      <c r="Q19" s="75"/>
      <c r="R19" s="75"/>
      <c r="S19" s="141"/>
      <c r="T19" s="58"/>
      <c r="U19" s="368"/>
      <c r="V19" s="294"/>
      <c r="W19" s="294"/>
      <c r="X19" s="196"/>
    </row>
    <row r="20" spans="2:24" ht="12.75" customHeight="1" x14ac:dyDescent="0.25">
      <c r="B20" s="58"/>
      <c r="C20" s="58"/>
      <c r="D20" s="172"/>
      <c r="E20" s="389"/>
      <c r="F20" s="389"/>
      <c r="G20" s="389"/>
      <c r="H20" s="389"/>
      <c r="I20" s="387"/>
      <c r="J20" s="548"/>
      <c r="K20" s="548"/>
      <c r="L20" s="390"/>
      <c r="M20" s="546"/>
      <c r="N20" s="546"/>
      <c r="O20" s="391"/>
      <c r="P20" s="549"/>
      <c r="Q20" s="549"/>
      <c r="R20" s="84"/>
      <c r="S20" s="141"/>
      <c r="T20" s="58"/>
      <c r="U20" s="294"/>
      <c r="V20" s="294"/>
      <c r="W20" s="294"/>
      <c r="X20" s="196"/>
    </row>
    <row r="21" spans="2:24" ht="12.75" customHeight="1" x14ac:dyDescent="0.2">
      <c r="B21" s="58"/>
      <c r="C21" s="58"/>
      <c r="D21" s="172"/>
      <c r="E21" s="75"/>
      <c r="F21" s="75"/>
      <c r="G21" s="75"/>
      <c r="H21" s="75"/>
      <c r="I21" s="75"/>
      <c r="J21" s="75"/>
      <c r="K21" s="75"/>
      <c r="L21" s="84"/>
      <c r="M21" s="291"/>
      <c r="N21" s="291"/>
      <c r="O21" s="84"/>
      <c r="P21" s="84"/>
      <c r="Q21" s="84"/>
      <c r="R21" s="84"/>
      <c r="S21" s="141"/>
      <c r="T21" s="58"/>
      <c r="U21" s="294"/>
      <c r="V21" s="294"/>
      <c r="W21" s="294"/>
      <c r="X21" s="196"/>
    </row>
    <row r="22" spans="2:24" ht="12.75" customHeight="1" x14ac:dyDescent="0.2">
      <c r="B22" s="58"/>
      <c r="C22" s="58"/>
      <c r="D22" s="172"/>
      <c r="E22" s="75"/>
      <c r="F22" s="75"/>
      <c r="G22" s="75"/>
      <c r="H22" s="75"/>
      <c r="I22" s="75"/>
      <c r="J22" s="75"/>
      <c r="K22" s="75"/>
      <c r="L22" s="84"/>
      <c r="M22" s="291"/>
      <c r="N22" s="291"/>
      <c r="O22" s="84"/>
      <c r="P22" s="84"/>
      <c r="Q22" s="84"/>
      <c r="R22" s="84"/>
      <c r="S22" s="141"/>
      <c r="T22" s="58"/>
      <c r="U22" s="294"/>
      <c r="V22" s="294"/>
      <c r="W22" s="294"/>
      <c r="X22" s="196"/>
    </row>
    <row r="23" spans="2:24" ht="12.75" customHeight="1" x14ac:dyDescent="0.25">
      <c r="B23" s="58"/>
      <c r="C23" s="58"/>
      <c r="D23" s="172"/>
      <c r="E23" s="75"/>
      <c r="F23" s="75"/>
      <c r="G23" s="75"/>
      <c r="H23" s="75"/>
      <c r="I23" s="75"/>
      <c r="J23" s="75"/>
      <c r="K23" s="556" t="s">
        <v>4</v>
      </c>
      <c r="L23" s="556"/>
      <c r="M23" s="373"/>
      <c r="N23" s="184"/>
      <c r="O23" s="382" t="s">
        <v>185</v>
      </c>
      <c r="P23" s="61"/>
      <c r="Q23" s="61"/>
      <c r="R23" s="61"/>
      <c r="S23" s="141"/>
      <c r="T23" s="58"/>
      <c r="U23" s="294"/>
      <c r="V23" s="294"/>
      <c r="W23" s="294"/>
      <c r="X23" s="196"/>
    </row>
    <row r="24" spans="2:24" ht="12.75" customHeight="1" x14ac:dyDescent="0.25">
      <c r="B24" s="58"/>
      <c r="C24" s="58"/>
      <c r="D24" s="172"/>
      <c r="E24" s="398" t="s">
        <v>7</v>
      </c>
      <c r="F24" s="75"/>
      <c r="G24" s="75"/>
      <c r="H24" s="75"/>
      <c r="I24" s="75"/>
      <c r="J24" s="75"/>
      <c r="K24" s="557" t="s">
        <v>5</v>
      </c>
      <c r="L24" s="557"/>
      <c r="M24" s="373"/>
      <c r="N24" s="184"/>
      <c r="O24" s="383" t="s">
        <v>6</v>
      </c>
      <c r="P24" s="94"/>
      <c r="Q24" s="94"/>
      <c r="R24" s="94"/>
      <c r="S24" s="141"/>
      <c r="T24" s="58"/>
      <c r="U24" s="196"/>
      <c r="V24" s="196"/>
      <c r="W24" s="196"/>
      <c r="X24" s="196"/>
    </row>
    <row r="25" spans="2:24" ht="12.75" customHeight="1" x14ac:dyDescent="0.25">
      <c r="B25" s="58"/>
      <c r="C25" s="58"/>
      <c r="D25" s="172"/>
      <c r="E25" s="75"/>
      <c r="F25" s="75"/>
      <c r="G25" s="75"/>
      <c r="H25" s="75"/>
      <c r="I25" s="75"/>
      <c r="J25" s="75"/>
      <c r="K25" s="403"/>
      <c r="L25" s="403"/>
      <c r="M25" s="373"/>
      <c r="N25" s="184"/>
      <c r="O25" s="383"/>
      <c r="P25" s="94"/>
      <c r="Q25" s="94"/>
      <c r="R25" s="94"/>
      <c r="S25" s="141"/>
      <c r="T25" s="58"/>
      <c r="U25" s="196"/>
      <c r="V25" s="196"/>
      <c r="W25" s="196"/>
      <c r="X25" s="196"/>
    </row>
    <row r="26" spans="2:24" ht="12.75" customHeight="1" x14ac:dyDescent="0.2">
      <c r="B26" s="58"/>
      <c r="C26" s="58"/>
      <c r="D26" s="172"/>
      <c r="E26" s="75"/>
      <c r="F26" s="91"/>
      <c r="G26" s="75"/>
      <c r="H26" s="75"/>
      <c r="I26" s="75"/>
      <c r="J26" s="75"/>
      <c r="K26" s="404"/>
      <c r="L26" s="405"/>
      <c r="M26" s="185"/>
      <c r="N26" s="184"/>
      <c r="O26" s="290"/>
      <c r="P26" s="57"/>
      <c r="Q26" s="57"/>
      <c r="R26" s="57"/>
      <c r="S26" s="141"/>
      <c r="T26" s="58"/>
    </row>
    <row r="27" spans="2:24" ht="12.75" customHeight="1" x14ac:dyDescent="0.2">
      <c r="B27" s="58"/>
      <c r="C27" s="58"/>
      <c r="D27" s="172"/>
      <c r="E27" s="62"/>
      <c r="F27" s="550" t="s">
        <v>8</v>
      </c>
      <c r="G27" s="550"/>
      <c r="H27" s="550"/>
      <c r="I27" s="550"/>
      <c r="J27" s="62"/>
      <c r="K27" s="545">
        <v>20</v>
      </c>
      <c r="L27" s="545"/>
      <c r="M27" s="185"/>
      <c r="N27" s="184"/>
      <c r="O27" s="384">
        <f>'Traffic &amp; Accidents'!M69</f>
        <v>0</v>
      </c>
      <c r="P27" s="95"/>
      <c r="Q27" s="95"/>
      <c r="R27" s="95"/>
      <c r="S27" s="141"/>
      <c r="T27" s="58"/>
      <c r="U27" s="345"/>
      <c r="V27" s="345"/>
      <c r="W27" s="345"/>
    </row>
    <row r="28" spans="2:24" ht="12.75" customHeight="1" x14ac:dyDescent="0.2">
      <c r="B28" s="58"/>
      <c r="C28" s="58"/>
      <c r="D28" s="172"/>
      <c r="E28" s="62"/>
      <c r="F28" s="550" t="s">
        <v>9</v>
      </c>
      <c r="G28" s="550"/>
      <c r="H28" s="550"/>
      <c r="I28" s="550"/>
      <c r="J28" s="62"/>
      <c r="K28" s="545">
        <v>25</v>
      </c>
      <c r="L28" s="545"/>
      <c r="M28" s="185"/>
      <c r="N28" s="184"/>
      <c r="O28" s="385">
        <f>'Traffic &amp; Accidents'!M88</f>
        <v>0</v>
      </c>
      <c r="P28" s="95"/>
      <c r="Q28" s="95"/>
      <c r="R28" s="95"/>
      <c r="S28" s="141"/>
      <c r="T28" s="58"/>
      <c r="U28" s="345"/>
      <c r="V28" s="345"/>
      <c r="W28" s="345"/>
    </row>
    <row r="29" spans="2:24" ht="12.75" customHeight="1" x14ac:dyDescent="0.2">
      <c r="B29" s="96"/>
      <c r="C29" s="58"/>
      <c r="D29" s="140"/>
      <c r="E29" s="173"/>
      <c r="F29" s="173"/>
      <c r="G29" s="62"/>
      <c r="H29" s="62"/>
      <c r="I29" s="62"/>
      <c r="J29" s="62"/>
      <c r="K29" s="404"/>
      <c r="L29" s="405"/>
      <c r="M29" s="185"/>
      <c r="N29" s="184"/>
      <c r="O29" s="288"/>
      <c r="P29" s="97"/>
      <c r="Q29" s="97"/>
      <c r="R29" s="97"/>
      <c r="S29" s="141"/>
      <c r="T29" s="58"/>
      <c r="U29" s="345"/>
      <c r="V29" s="348"/>
      <c r="W29" s="345"/>
    </row>
    <row r="30" spans="2:24" ht="12.75" customHeight="1" x14ac:dyDescent="0.25">
      <c r="B30" s="84"/>
      <c r="C30" s="58"/>
      <c r="D30" s="140"/>
      <c r="E30" s="173"/>
      <c r="F30" s="173"/>
      <c r="G30" s="372" t="s">
        <v>10</v>
      </c>
      <c r="H30" s="62"/>
      <c r="I30" s="62"/>
      <c r="J30" s="62"/>
      <c r="K30" s="545">
        <v>45</v>
      </c>
      <c r="L30" s="545"/>
      <c r="M30" s="185"/>
      <c r="N30" s="184"/>
      <c r="O30" s="410">
        <f>ROUND(SUM(O27:O28),2)</f>
        <v>0</v>
      </c>
      <c r="P30" s="98"/>
      <c r="Q30" s="98"/>
      <c r="R30" s="98"/>
      <c r="S30" s="141"/>
      <c r="T30" s="58"/>
      <c r="U30" s="345"/>
      <c r="V30" s="349"/>
      <c r="W30" s="345"/>
    </row>
    <row r="31" spans="2:24" ht="12.75" customHeight="1" x14ac:dyDescent="0.25">
      <c r="B31" s="84"/>
      <c r="C31" s="58"/>
      <c r="D31" s="140"/>
      <c r="E31" s="173"/>
      <c r="F31" s="173"/>
      <c r="G31" s="372"/>
      <c r="H31" s="62"/>
      <c r="I31" s="62"/>
      <c r="J31" s="62"/>
      <c r="K31" s="405"/>
      <c r="L31" s="405"/>
      <c r="M31" s="185"/>
      <c r="N31" s="184"/>
      <c r="O31" s="384"/>
      <c r="P31" s="98"/>
      <c r="Q31" s="98"/>
      <c r="R31" s="98"/>
      <c r="S31" s="141"/>
      <c r="T31" s="58"/>
      <c r="U31" s="345"/>
      <c r="V31" s="349"/>
      <c r="W31" s="345"/>
    </row>
    <row r="32" spans="2:24" ht="12.75" customHeight="1" thickBot="1" x14ac:dyDescent="0.25">
      <c r="B32" s="84"/>
      <c r="C32" s="58"/>
      <c r="D32" s="172"/>
      <c r="E32" s="392"/>
      <c r="F32" s="392"/>
      <c r="G32" s="392"/>
      <c r="H32" s="392"/>
      <c r="I32" s="393"/>
      <c r="J32" s="394"/>
      <c r="K32" s="395"/>
      <c r="L32" s="395"/>
      <c r="M32" s="396"/>
      <c r="N32" s="392"/>
      <c r="O32" s="392"/>
      <c r="P32" s="392"/>
      <c r="Q32" s="392"/>
      <c r="R32" s="97"/>
      <c r="S32" s="141"/>
      <c r="T32" s="58"/>
      <c r="U32" s="350"/>
      <c r="V32" s="350"/>
      <c r="W32" s="345"/>
    </row>
    <row r="33" spans="1:29" ht="12.75" customHeight="1" thickTop="1" x14ac:dyDescent="0.2">
      <c r="B33" s="84"/>
      <c r="C33" s="58"/>
      <c r="D33" s="172"/>
      <c r="E33" s="75"/>
      <c r="F33" s="75"/>
      <c r="G33" s="75"/>
      <c r="H33" s="75"/>
      <c r="I33" s="75"/>
      <c r="J33" s="75"/>
      <c r="K33" s="404"/>
      <c r="L33" s="405"/>
      <c r="M33" s="185"/>
      <c r="N33" s="184"/>
      <c r="O33" s="288"/>
      <c r="P33" s="97"/>
      <c r="Q33" s="97"/>
      <c r="R33" s="97"/>
      <c r="S33" s="141"/>
      <c r="T33" s="58"/>
      <c r="U33" s="351"/>
      <c r="V33" s="351"/>
      <c r="W33" s="345"/>
    </row>
    <row r="34" spans="1:29" ht="12.75" customHeight="1" x14ac:dyDescent="0.2">
      <c r="B34" s="84"/>
      <c r="C34" s="58"/>
      <c r="D34" s="172"/>
      <c r="E34" s="398" t="s">
        <v>11</v>
      </c>
      <c r="F34" s="75"/>
      <c r="G34" s="75"/>
      <c r="H34" s="75"/>
      <c r="I34" s="75"/>
      <c r="J34" s="75"/>
      <c r="K34" s="404"/>
      <c r="L34" s="405"/>
      <c r="M34" s="185"/>
      <c r="N34" s="184"/>
      <c r="O34" s="288"/>
      <c r="P34" s="97"/>
      <c r="Q34" s="97"/>
      <c r="R34" s="97"/>
      <c r="S34" s="141"/>
      <c r="T34" s="58"/>
      <c r="U34" s="345"/>
      <c r="V34" s="345"/>
      <c r="W34" s="345"/>
    </row>
    <row r="35" spans="1:29" ht="12.75" customHeight="1" x14ac:dyDescent="0.2">
      <c r="A35" s="202"/>
      <c r="B35" s="84"/>
      <c r="C35" s="58"/>
      <c r="D35" s="172"/>
      <c r="E35" s="75"/>
      <c r="F35" s="84"/>
      <c r="G35" s="75"/>
      <c r="H35" s="75"/>
      <c r="I35" s="75"/>
      <c r="J35" s="75"/>
      <c r="K35" s="404"/>
      <c r="L35" s="405"/>
      <c r="M35" s="185"/>
      <c r="N35" s="184"/>
      <c r="O35" s="288"/>
      <c r="P35" s="97"/>
      <c r="Q35" s="97"/>
      <c r="R35" s="97"/>
      <c r="S35" s="141"/>
      <c r="T35" s="58"/>
      <c r="U35" s="345"/>
      <c r="V35" s="345"/>
      <c r="W35" s="345"/>
      <c r="X35" s="196"/>
      <c r="Y35" s="196"/>
      <c r="Z35" s="196"/>
      <c r="AA35" s="196"/>
      <c r="AB35" s="196"/>
      <c r="AC35" s="196"/>
    </row>
    <row r="36" spans="1:29" ht="12.75" customHeight="1" x14ac:dyDescent="0.2">
      <c r="A36" s="202"/>
      <c r="B36" s="58"/>
      <c r="C36" s="58"/>
      <c r="D36" s="172"/>
      <c r="E36" s="62"/>
      <c r="F36" s="550" t="s">
        <v>103</v>
      </c>
      <c r="G36" s="550"/>
      <c r="H36" s="550"/>
      <c r="I36" s="550"/>
      <c r="J36" s="62"/>
      <c r="K36" s="545">
        <v>15</v>
      </c>
      <c r="L36" s="545"/>
      <c r="M36" s="185"/>
      <c r="N36" s="184"/>
      <c r="O36" s="384">
        <f>Structure!J55</f>
        <v>0</v>
      </c>
      <c r="P36" s="95"/>
      <c r="Q36" s="95"/>
      <c r="R36" s="95"/>
      <c r="S36" s="141"/>
      <c r="T36" s="58"/>
      <c r="X36" s="196"/>
      <c r="Y36" s="196"/>
      <c r="Z36" s="196"/>
      <c r="AA36" s="196"/>
      <c r="AB36" s="196"/>
      <c r="AC36" s="196"/>
    </row>
    <row r="37" spans="1:29" ht="12.75" customHeight="1" x14ac:dyDescent="0.2">
      <c r="A37" s="202"/>
      <c r="B37" s="58"/>
      <c r="C37" s="58"/>
      <c r="D37" s="172"/>
      <c r="E37" s="298" t="s">
        <v>267</v>
      </c>
      <c r="F37" s="370"/>
      <c r="G37" s="370"/>
      <c r="H37" s="184"/>
      <c r="I37" s="62"/>
      <c r="J37" s="62"/>
      <c r="K37" s="404"/>
      <c r="L37" s="405"/>
      <c r="M37" s="185"/>
      <c r="N37" s="184"/>
      <c r="O37" s="386"/>
      <c r="P37" s="97"/>
      <c r="Q37" s="97"/>
      <c r="R37" s="97"/>
      <c r="S37" s="141"/>
      <c r="T37" s="58"/>
      <c r="V37" s="352"/>
      <c r="X37" s="196"/>
      <c r="Y37" s="197"/>
      <c r="Z37" s="196"/>
      <c r="AA37" s="196"/>
      <c r="AB37" s="196"/>
      <c r="AC37" s="196"/>
    </row>
    <row r="38" spans="1:29" ht="12.75" customHeight="1" x14ac:dyDescent="0.2">
      <c r="A38" s="345"/>
      <c r="B38" s="58"/>
      <c r="C38" s="58"/>
      <c r="D38" s="172"/>
      <c r="E38" s="62"/>
      <c r="F38" s="550" t="s">
        <v>104</v>
      </c>
      <c r="G38" s="550"/>
      <c r="H38" s="550"/>
      <c r="I38" s="550"/>
      <c r="J38" s="83"/>
      <c r="K38" s="545">
        <v>8</v>
      </c>
      <c r="L38" s="545"/>
      <c r="M38" s="185"/>
      <c r="N38" s="184"/>
      <c r="O38" s="384">
        <f>Geometry!D14</f>
        <v>0</v>
      </c>
      <c r="P38" s="95"/>
      <c r="Q38" s="95"/>
      <c r="R38" s="95"/>
      <c r="S38" s="141"/>
      <c r="T38" s="58"/>
      <c r="V38" s="349" t="s">
        <v>251</v>
      </c>
      <c r="X38" s="196"/>
      <c r="Y38" s="353"/>
      <c r="Z38" s="196"/>
      <c r="AA38" s="196"/>
      <c r="AB38" s="353"/>
      <c r="AC38" s="196"/>
    </row>
    <row r="39" spans="1:29" ht="12.75" customHeight="1" x14ac:dyDescent="0.2">
      <c r="A39" s="345"/>
      <c r="B39" s="58"/>
      <c r="C39" s="58"/>
      <c r="D39" s="172"/>
      <c r="E39" s="62"/>
      <c r="F39" s="550" t="s">
        <v>105</v>
      </c>
      <c r="G39" s="550"/>
      <c r="H39" s="550"/>
      <c r="I39" s="550"/>
      <c r="J39" s="83"/>
      <c r="K39" s="545">
        <v>8</v>
      </c>
      <c r="L39" s="545"/>
      <c r="M39" s="185"/>
      <c r="N39" s="184"/>
      <c r="O39" s="384">
        <f>IF(OR(Geometry!I29&lt;&gt;0,Geometry!P29&lt;&gt;0),Geometry!K14,"")</f>
        <v>0</v>
      </c>
      <c r="P39" s="95"/>
      <c r="Q39" s="95"/>
      <c r="R39" s="95"/>
      <c r="S39" s="141"/>
      <c r="T39" s="58"/>
      <c r="U39" s="354">
        <f>IF(AND(Geometry!F33&lt;Geometry!H33,Geometry!H33&lt;Geometry!I33),V39,Geometry!L185)</f>
        <v>0</v>
      </c>
      <c r="V39" s="354">
        <f>IF(Geometry!F33&gt;=Geometry!I33,0,Geometry!L185*((Geometry!H33-Geometry!F33)/(Geometry!I33-Geometry!F33)))</f>
        <v>0</v>
      </c>
      <c r="X39" s="355"/>
      <c r="Y39" s="355"/>
      <c r="Z39" s="196"/>
      <c r="AA39" s="355"/>
      <c r="AB39" s="355"/>
      <c r="AC39" s="196"/>
    </row>
    <row r="40" spans="1:29" ht="12.75" customHeight="1" x14ac:dyDescent="0.2">
      <c r="A40" s="345"/>
      <c r="B40" s="87"/>
      <c r="C40" s="58"/>
      <c r="D40" s="172"/>
      <c r="E40" s="100"/>
      <c r="F40" s="550" t="s">
        <v>106</v>
      </c>
      <c r="G40" s="550"/>
      <c r="H40" s="550"/>
      <c r="I40" s="83"/>
      <c r="J40" s="83"/>
      <c r="K40" s="541">
        <v>14</v>
      </c>
      <c r="L40" s="541"/>
      <c r="M40" s="185"/>
      <c r="N40" s="184"/>
      <c r="O40" s="385">
        <f>SUM(U39:U40)</f>
        <v>0</v>
      </c>
      <c r="P40" s="114"/>
      <c r="Q40" s="114"/>
      <c r="R40" s="114"/>
      <c r="S40" s="141"/>
      <c r="T40" s="58"/>
      <c r="U40" s="356">
        <f>IF(Geometry!H34&lt;Geometry!I34,V40,Geometry!L187)</f>
        <v>0</v>
      </c>
      <c r="V40" s="356">
        <f>Geometry!L187*((Geometry!H34-Geometry!F34)/(Geometry!I34-Geometry!F34))</f>
        <v>0</v>
      </c>
      <c r="X40" s="355"/>
      <c r="Y40" s="357"/>
      <c r="Z40" s="196"/>
      <c r="AA40" s="355"/>
      <c r="AB40" s="357"/>
      <c r="AC40" s="196"/>
    </row>
    <row r="41" spans="1:29" ht="12.75" customHeight="1" x14ac:dyDescent="0.2">
      <c r="A41" s="345"/>
      <c r="B41" s="62"/>
      <c r="C41" s="58"/>
      <c r="D41" s="172"/>
      <c r="E41" s="62"/>
      <c r="F41" s="84"/>
      <c r="G41" s="83"/>
      <c r="H41" s="83"/>
      <c r="I41" s="83"/>
      <c r="J41" s="83"/>
      <c r="K41" s="406"/>
      <c r="L41" s="407"/>
      <c r="M41" s="185"/>
      <c r="N41" s="184"/>
      <c r="O41" s="289"/>
      <c r="P41" s="110"/>
      <c r="Q41" s="110"/>
      <c r="R41" s="110"/>
      <c r="S41" s="141"/>
      <c r="T41" s="58"/>
      <c r="X41" s="196"/>
      <c r="Y41" s="196"/>
      <c r="Z41" s="196"/>
      <c r="AA41" s="196"/>
      <c r="AB41" s="196"/>
      <c r="AC41" s="196"/>
    </row>
    <row r="42" spans="1:29" ht="12.75" customHeight="1" x14ac:dyDescent="0.25">
      <c r="A42" s="346"/>
      <c r="B42" s="58"/>
      <c r="C42" s="58"/>
      <c r="D42" s="172"/>
      <c r="E42" s="75"/>
      <c r="F42" s="75"/>
      <c r="G42" s="372" t="s">
        <v>10</v>
      </c>
      <c r="H42" s="62"/>
      <c r="I42" s="62"/>
      <c r="J42" s="62"/>
      <c r="K42" s="540">
        <f>SUM(K36:K41)</f>
        <v>45</v>
      </c>
      <c r="L42" s="540"/>
      <c r="M42" s="185"/>
      <c r="N42" s="184"/>
      <c r="O42" s="410">
        <f>ROUND(SUM(O36:O40),2)</f>
        <v>0</v>
      </c>
      <c r="P42" s="110"/>
      <c r="Q42" s="110"/>
      <c r="R42" s="110"/>
      <c r="S42" s="141"/>
      <c r="T42" s="58"/>
      <c r="X42" s="196"/>
      <c r="Y42" s="196"/>
      <c r="Z42" s="196"/>
      <c r="AA42" s="196"/>
      <c r="AB42" s="196"/>
      <c r="AC42" s="196"/>
    </row>
    <row r="43" spans="1:29" ht="12.75" customHeight="1" x14ac:dyDescent="0.25">
      <c r="A43" s="346"/>
      <c r="B43" s="58"/>
      <c r="C43" s="58"/>
      <c r="D43" s="172"/>
      <c r="E43" s="75"/>
      <c r="F43" s="75"/>
      <c r="G43" s="372"/>
      <c r="H43" s="62"/>
      <c r="I43" s="62"/>
      <c r="J43" s="62"/>
      <c r="K43" s="408"/>
      <c r="L43" s="408"/>
      <c r="M43" s="185"/>
      <c r="N43" s="184"/>
      <c r="O43" s="384"/>
      <c r="P43" s="110"/>
      <c r="Q43" s="110"/>
      <c r="R43" s="110"/>
      <c r="S43" s="141"/>
      <c r="T43" s="58"/>
      <c r="X43" s="196"/>
      <c r="Y43" s="196"/>
      <c r="Z43" s="196"/>
      <c r="AA43" s="196"/>
      <c r="AB43" s="196"/>
      <c r="AC43" s="196"/>
    </row>
    <row r="44" spans="1:29" ht="12.75" customHeight="1" thickBot="1" x14ac:dyDescent="0.25">
      <c r="B44" s="66"/>
      <c r="C44" s="58"/>
      <c r="D44" s="172"/>
      <c r="E44" s="392"/>
      <c r="F44" s="392"/>
      <c r="G44" s="392"/>
      <c r="H44" s="392"/>
      <c r="I44" s="393"/>
      <c r="J44" s="394"/>
      <c r="K44" s="395"/>
      <c r="L44" s="395"/>
      <c r="M44" s="396"/>
      <c r="N44" s="392"/>
      <c r="O44" s="392"/>
      <c r="P44" s="392"/>
      <c r="Q44" s="392"/>
      <c r="R44" s="110"/>
      <c r="S44" s="141"/>
      <c r="T44" s="58"/>
    </row>
    <row r="45" spans="1:29" ht="12.75" customHeight="1" thickTop="1" x14ac:dyDescent="0.2">
      <c r="B45" s="66"/>
      <c r="C45" s="58"/>
      <c r="D45" s="172"/>
      <c r="E45" s="78"/>
      <c r="F45" s="78"/>
      <c r="G45" s="78"/>
      <c r="H45" s="78"/>
      <c r="I45" s="399"/>
      <c r="J45" s="400"/>
      <c r="K45" s="401"/>
      <c r="L45" s="401"/>
      <c r="M45" s="402"/>
      <c r="N45" s="78"/>
      <c r="O45" s="78"/>
      <c r="P45" s="78"/>
      <c r="Q45" s="78"/>
      <c r="R45" s="110"/>
      <c r="S45" s="141"/>
      <c r="T45" s="58"/>
    </row>
    <row r="46" spans="1:29" ht="12.75" customHeight="1" x14ac:dyDescent="0.2">
      <c r="B46" s="66"/>
      <c r="C46" s="58"/>
      <c r="D46" s="172"/>
      <c r="E46" s="75"/>
      <c r="F46" s="84"/>
      <c r="G46" s="75"/>
      <c r="H46" s="75"/>
      <c r="I46" s="75"/>
      <c r="J46" s="75"/>
      <c r="K46" s="406"/>
      <c r="L46" s="405"/>
      <c r="M46" s="185"/>
      <c r="N46" s="184"/>
      <c r="O46" s="288"/>
      <c r="P46" s="110"/>
      <c r="Q46" s="110"/>
      <c r="R46" s="110"/>
      <c r="S46" s="141"/>
      <c r="T46" s="58"/>
    </row>
    <row r="47" spans="1:29" ht="12.75" customHeight="1" x14ac:dyDescent="0.2">
      <c r="B47" s="66"/>
      <c r="C47" s="58"/>
      <c r="D47" s="397"/>
      <c r="E47" s="558" t="s">
        <v>337</v>
      </c>
      <c r="F47" s="558"/>
      <c r="G47" s="558"/>
      <c r="H47" s="558"/>
      <c r="I47" s="558"/>
      <c r="J47" s="75"/>
      <c r="K47" s="541">
        <v>10</v>
      </c>
      <c r="L47" s="541"/>
      <c r="M47" s="185"/>
      <c r="N47" s="184"/>
      <c r="O47" s="410">
        <f>'Traffic &amp; Accidents'!J36</f>
        <v>0</v>
      </c>
      <c r="P47" s="95"/>
      <c r="Q47" s="95"/>
      <c r="R47" s="95"/>
      <c r="S47" s="141"/>
      <c r="T47" s="58"/>
    </row>
    <row r="48" spans="1:29" ht="12.75" customHeight="1" x14ac:dyDescent="0.2">
      <c r="B48" s="66"/>
      <c r="C48" s="58"/>
      <c r="D48" s="172"/>
      <c r="E48" s="62"/>
      <c r="F48" s="84"/>
      <c r="G48" s="75"/>
      <c r="H48" s="75"/>
      <c r="I48" s="75"/>
      <c r="J48" s="75"/>
      <c r="K48" s="404"/>
      <c r="L48" s="409"/>
      <c r="M48" s="185"/>
      <c r="N48" s="184"/>
      <c r="O48" s="112"/>
      <c r="P48" s="113"/>
      <c r="Q48" s="113"/>
      <c r="R48" s="113"/>
      <c r="S48" s="141"/>
      <c r="T48" s="58"/>
    </row>
    <row r="49" spans="1:20" ht="12.75" customHeight="1" thickBot="1" x14ac:dyDescent="0.25">
      <c r="B49" s="66"/>
      <c r="C49" s="58"/>
      <c r="D49" s="172"/>
      <c r="E49" s="392"/>
      <c r="F49" s="392"/>
      <c r="G49" s="392"/>
      <c r="H49" s="392"/>
      <c r="I49" s="393"/>
      <c r="J49" s="394"/>
      <c r="K49" s="395"/>
      <c r="L49" s="395"/>
      <c r="M49" s="396"/>
      <c r="N49" s="392"/>
      <c r="O49" s="392"/>
      <c r="P49" s="392"/>
      <c r="Q49" s="392"/>
      <c r="R49" s="102"/>
      <c r="S49" s="141"/>
      <c r="T49" s="58"/>
    </row>
    <row r="50" spans="1:20" ht="12.75" customHeight="1" thickTop="1" x14ac:dyDescent="0.2">
      <c r="B50" s="66"/>
      <c r="C50" s="58"/>
      <c r="D50" s="172"/>
      <c r="E50" s="75"/>
      <c r="F50" s="75"/>
      <c r="G50" s="75"/>
      <c r="H50" s="75"/>
      <c r="I50" s="75"/>
      <c r="J50" s="75"/>
      <c r="K50" s="404"/>
      <c r="L50" s="405"/>
      <c r="M50" s="185"/>
      <c r="N50" s="184"/>
      <c r="O50" s="290"/>
      <c r="P50" s="97"/>
      <c r="Q50" s="97"/>
      <c r="R50" s="97"/>
      <c r="S50" s="141"/>
      <c r="T50" s="58"/>
    </row>
    <row r="51" spans="1:20" ht="12.75" customHeight="1" x14ac:dyDescent="0.2">
      <c r="B51" s="66"/>
      <c r="C51" s="58"/>
      <c r="D51" s="172"/>
      <c r="E51" s="75"/>
      <c r="F51" s="75"/>
      <c r="G51" s="75"/>
      <c r="H51" s="75"/>
      <c r="I51" s="75"/>
      <c r="J51" s="75"/>
      <c r="K51" s="545"/>
      <c r="L51" s="545"/>
      <c r="M51" s="185"/>
      <c r="N51" s="184"/>
      <c r="O51" s="91"/>
      <c r="P51" s="97"/>
      <c r="Q51" s="97"/>
      <c r="R51" s="97"/>
      <c r="S51" s="141"/>
      <c r="T51" s="58"/>
    </row>
    <row r="52" spans="1:20" ht="12.75" customHeight="1" x14ac:dyDescent="0.2">
      <c r="B52" s="66"/>
      <c r="C52" s="58"/>
      <c r="D52" s="371"/>
      <c r="E52" s="84"/>
      <c r="F52" s="75"/>
      <c r="G52" s="75"/>
      <c r="H52" s="75"/>
      <c r="I52" s="75"/>
      <c r="J52" s="314" t="s">
        <v>344</v>
      </c>
      <c r="K52" s="545">
        <f>SUM(K30,K42,K47)</f>
        <v>100</v>
      </c>
      <c r="L52" s="545"/>
      <c r="M52" s="185"/>
      <c r="N52" s="184"/>
      <c r="O52" s="410">
        <f>SUM(O30,O42,O47)</f>
        <v>0</v>
      </c>
      <c r="P52" s="98"/>
      <c r="Q52" s="98"/>
      <c r="R52" s="98"/>
      <c r="S52" s="141"/>
      <c r="T52" s="58"/>
    </row>
    <row r="53" spans="1:20" ht="12.75" customHeight="1" x14ac:dyDescent="0.2">
      <c r="B53" s="66"/>
      <c r="C53" s="58"/>
      <c r="D53" s="172"/>
      <c r="E53" s="75"/>
      <c r="F53" s="75"/>
      <c r="G53" s="75"/>
      <c r="H53" s="75"/>
      <c r="I53" s="75"/>
      <c r="J53" s="75"/>
      <c r="K53" s="560" t="s">
        <v>12</v>
      </c>
      <c r="L53" s="560"/>
      <c r="M53" s="185"/>
      <c r="N53" s="184"/>
      <c r="O53" s="411" t="s">
        <v>345</v>
      </c>
      <c r="P53" s="103"/>
      <c r="Q53" s="103"/>
      <c r="R53" s="103"/>
      <c r="S53" s="141"/>
      <c r="T53" s="58"/>
    </row>
    <row r="54" spans="1:20" ht="12.75" customHeight="1" thickBot="1" x14ac:dyDescent="0.25">
      <c r="B54" s="66"/>
      <c r="C54" s="58"/>
      <c r="D54" s="174"/>
      <c r="E54" s="146"/>
      <c r="F54" s="146"/>
      <c r="G54" s="146"/>
      <c r="H54" s="146"/>
      <c r="I54" s="146"/>
      <c r="J54" s="146"/>
      <c r="K54" s="146"/>
      <c r="L54" s="146"/>
      <c r="M54" s="146"/>
      <c r="N54" s="146"/>
      <c r="O54" s="144"/>
      <c r="P54" s="146"/>
      <c r="Q54" s="146"/>
      <c r="R54" s="175"/>
      <c r="S54" s="149"/>
      <c r="T54" s="58"/>
    </row>
    <row r="55" spans="1:20" ht="12.75" customHeight="1" x14ac:dyDescent="0.2">
      <c r="B55" s="66"/>
      <c r="C55" s="58"/>
      <c r="D55" s="58"/>
      <c r="E55" s="58"/>
      <c r="F55" s="58"/>
      <c r="G55" s="58"/>
      <c r="H55" s="58"/>
      <c r="I55" s="58"/>
      <c r="J55" s="58"/>
      <c r="K55" s="58"/>
      <c r="L55" s="58"/>
      <c r="M55" s="58"/>
      <c r="N55" s="58"/>
      <c r="O55" s="58"/>
      <c r="P55" s="58"/>
      <c r="Q55" s="58"/>
      <c r="R55" s="58"/>
      <c r="S55" s="58"/>
      <c r="T55" s="58"/>
    </row>
    <row r="56" spans="1:20" ht="12.75" customHeight="1" x14ac:dyDescent="0.2">
      <c r="A56" s="347"/>
      <c r="B56" s="58"/>
      <c r="C56" s="58"/>
      <c r="D56" s="58"/>
      <c r="E56" s="58"/>
      <c r="F56" s="58"/>
      <c r="G56" s="58"/>
      <c r="H56" s="58"/>
      <c r="I56" s="58"/>
      <c r="J56" s="58"/>
      <c r="K56" s="58"/>
      <c r="L56" s="58"/>
      <c r="M56" s="58"/>
      <c r="N56" s="58"/>
      <c r="O56" s="58"/>
      <c r="P56" s="58"/>
      <c r="Q56" s="58"/>
      <c r="R56" s="58"/>
      <c r="S56" s="58"/>
      <c r="T56" s="58"/>
    </row>
    <row r="57" spans="1:20" ht="12.75" customHeight="1" x14ac:dyDescent="0.2">
      <c r="A57" s="347"/>
      <c r="B57" s="58"/>
      <c r="C57" s="58"/>
      <c r="D57" s="559" t="s">
        <v>346</v>
      </c>
      <c r="E57" s="559"/>
      <c r="F57" s="559"/>
      <c r="G57" s="559"/>
      <c r="H57" s="559"/>
      <c r="I57" s="559"/>
      <c r="J57" s="559"/>
      <c r="K57" s="559"/>
      <c r="L57" s="559"/>
      <c r="M57" s="559"/>
      <c r="N57" s="559"/>
      <c r="O57" s="559"/>
      <c r="P57" s="559"/>
      <c r="Q57" s="559"/>
      <c r="R57" s="559"/>
      <c r="S57" s="58"/>
      <c r="T57" s="58"/>
    </row>
    <row r="58" spans="1:20" ht="12.75" customHeight="1" x14ac:dyDescent="0.2">
      <c r="B58" s="58"/>
      <c r="C58" s="58"/>
      <c r="D58" s="559"/>
      <c r="E58" s="559"/>
      <c r="F58" s="559"/>
      <c r="G58" s="559"/>
      <c r="H58" s="559"/>
      <c r="I58" s="559"/>
      <c r="J58" s="559"/>
      <c r="K58" s="559"/>
      <c r="L58" s="559"/>
      <c r="M58" s="559"/>
      <c r="N58" s="559"/>
      <c r="O58" s="559"/>
      <c r="P58" s="559"/>
      <c r="Q58" s="559"/>
      <c r="R58" s="559"/>
      <c r="S58" s="58"/>
      <c r="T58" s="58"/>
    </row>
    <row r="59" spans="1:20" ht="12.75" customHeight="1" x14ac:dyDescent="0.2">
      <c r="B59" s="58"/>
      <c r="C59" s="58"/>
      <c r="D59" s="74"/>
      <c r="E59" s="58"/>
      <c r="F59" s="58"/>
      <c r="G59" s="58"/>
      <c r="H59" s="58"/>
      <c r="I59" s="58"/>
      <c r="J59" s="58"/>
      <c r="K59" s="58"/>
      <c r="L59" s="58"/>
      <c r="M59" s="58"/>
      <c r="N59" s="58"/>
      <c r="O59" s="58"/>
      <c r="P59" s="58"/>
      <c r="Q59" s="58"/>
      <c r="R59" s="58"/>
      <c r="S59" s="58"/>
      <c r="T59" s="58"/>
    </row>
    <row r="60" spans="1:20" ht="12.75" customHeight="1" x14ac:dyDescent="0.2">
      <c r="B60" s="58"/>
      <c r="C60" s="58"/>
      <c r="D60" s="74" t="s">
        <v>13</v>
      </c>
      <c r="E60" s="58"/>
      <c r="F60" s="58"/>
      <c r="G60" s="58"/>
      <c r="H60" s="58"/>
      <c r="I60" s="58"/>
      <c r="J60" s="58"/>
      <c r="K60" s="58"/>
      <c r="L60" s="58"/>
      <c r="M60" s="58"/>
      <c r="N60" s="58"/>
      <c r="O60" s="58"/>
      <c r="P60" s="58"/>
      <c r="Q60" s="58"/>
      <c r="R60" s="58"/>
      <c r="S60" s="58"/>
      <c r="T60" s="58"/>
    </row>
    <row r="61" spans="1:20" ht="12.75" customHeight="1" x14ac:dyDescent="0.2">
      <c r="B61" s="58"/>
      <c r="C61" s="58"/>
      <c r="D61" s="58"/>
      <c r="E61" s="58"/>
      <c r="F61" s="58"/>
      <c r="G61" s="58"/>
      <c r="H61" s="58"/>
      <c r="I61" s="58"/>
      <c r="J61" s="58"/>
      <c r="K61" s="58"/>
      <c r="L61" s="58"/>
      <c r="M61" s="58"/>
      <c r="N61" s="58"/>
      <c r="O61" s="58"/>
      <c r="P61" s="58"/>
      <c r="Q61" s="58"/>
      <c r="R61" s="58"/>
      <c r="S61" s="58"/>
      <c r="T61" s="58"/>
    </row>
  </sheetData>
  <sheetProtection sheet="1" selectLockedCells="1"/>
  <mergeCells count="34">
    <mergeCell ref="E47:I47"/>
    <mergeCell ref="D57:R58"/>
    <mergeCell ref="K51:L51"/>
    <mergeCell ref="K52:L52"/>
    <mergeCell ref="K53:L53"/>
    <mergeCell ref="K40:L40"/>
    <mergeCell ref="G3:M4"/>
    <mergeCell ref="F6:I6"/>
    <mergeCell ref="K38:L38"/>
    <mergeCell ref="K23:L23"/>
    <mergeCell ref="K24:L24"/>
    <mergeCell ref="K30:L30"/>
    <mergeCell ref="F10:I10"/>
    <mergeCell ref="K36:L36"/>
    <mergeCell ref="F38:I38"/>
    <mergeCell ref="F39:I39"/>
    <mergeCell ref="F40:H40"/>
    <mergeCell ref="K39:L39"/>
    <mergeCell ref="K42:L42"/>
    <mergeCell ref="K47:L47"/>
    <mergeCell ref="G19:O19"/>
    <mergeCell ref="P5:T7"/>
    <mergeCell ref="P8:T9"/>
    <mergeCell ref="F8:N8"/>
    <mergeCell ref="K27:L27"/>
    <mergeCell ref="K28:L28"/>
    <mergeCell ref="M20:N20"/>
    <mergeCell ref="E18:R18"/>
    <mergeCell ref="J20:K20"/>
    <mergeCell ref="P20:Q20"/>
    <mergeCell ref="F27:I27"/>
    <mergeCell ref="F28:I28"/>
    <mergeCell ref="R11:S12"/>
    <mergeCell ref="F36:I36"/>
  </mergeCells>
  <phoneticPr fontId="0" type="noConversion"/>
  <conditionalFormatting sqref="Y39">
    <cfRule type="expression" priority="8" stopIfTrue="1">
      <formula>ISERROR(Y39)</formula>
    </cfRule>
  </conditionalFormatting>
  <conditionalFormatting sqref="O39">
    <cfRule type="expression" dxfId="10" priority="14" stopIfTrue="1">
      <formula>ISERROR($O$39)</formula>
    </cfRule>
  </conditionalFormatting>
  <hyperlinks>
    <hyperlink ref="F36:H36" location="Structure!E7" display="Structural Condition" xr:uid="{00000000-0004-0000-0000-000000000000}"/>
    <hyperlink ref="F38:H38" location="Geometry!D19" display="Horizontal Alignment" xr:uid="{00000000-0004-0000-0000-000001000000}"/>
    <hyperlink ref="F39:H39" location="Geometry!H19" display="Vertical Alignment" xr:uid="{00000000-0004-0000-0000-000002000000}"/>
    <hyperlink ref="F40:G40" location="Geometry!F33" display="Roadway Width" xr:uid="{00000000-0004-0000-0000-000003000000}"/>
    <hyperlink ref="F27:I27" location="'Traffic &amp; Accidents'!C6" display="Traffic Volume" xr:uid="{00000000-0004-0000-0000-000004000000}"/>
    <hyperlink ref="F28:I28" location="'Traffic &amp; Accidents'!G5" display="Accident History" xr:uid="{00000000-0004-0000-0000-000005000000}"/>
    <hyperlink ref="E47:H47" location="'Traffic &amp; Accidents'!C16" display="LOCAL SIGNIFICANCE" xr:uid="{00000000-0004-0000-0000-000006000000}"/>
  </hyperlinks>
  <pageMargins left="0.38" right="0.32" top="0.4" bottom="0.37" header="0.22" footer="0.19"/>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89"/>
  <sheetViews>
    <sheetView showGridLines="0" workbookViewId="0">
      <selection activeCell="C19" sqref="C19"/>
    </sheetView>
  </sheetViews>
  <sheetFormatPr defaultRowHeight="12.75" x14ac:dyDescent="0.2"/>
  <cols>
    <col min="1" max="256" width="7.7109375" style="194" customWidth="1"/>
    <col min="257" max="16384" width="9.140625" style="194"/>
  </cols>
  <sheetData>
    <row r="2" spans="1:16" ht="13.5" thickBot="1" x14ac:dyDescent="0.25"/>
    <row r="3" spans="1:16" x14ac:dyDescent="0.2">
      <c r="B3" s="375"/>
      <c r="C3" s="376"/>
      <c r="D3" s="376"/>
      <c r="E3" s="376"/>
      <c r="F3" s="376"/>
      <c r="G3" s="376"/>
      <c r="H3" s="376"/>
      <c r="I3" s="376"/>
      <c r="J3" s="376"/>
      <c r="K3" s="376"/>
      <c r="L3" s="377"/>
    </row>
    <row r="4" spans="1:16" x14ac:dyDescent="0.2">
      <c r="A4" s="292"/>
      <c r="B4" s="140"/>
      <c r="C4" s="374"/>
      <c r="D4" s="379" t="s">
        <v>127</v>
      </c>
      <c r="E4" s="84"/>
      <c r="F4" s="178"/>
      <c r="G4" s="374"/>
      <c r="H4" s="374"/>
      <c r="I4" s="379" t="s">
        <v>253</v>
      </c>
      <c r="J4" s="379"/>
      <c r="K4" s="84"/>
      <c r="L4" s="141"/>
      <c r="M4" s="196"/>
      <c r="N4" s="196"/>
      <c r="O4" s="196"/>
      <c r="P4" s="292"/>
    </row>
    <row r="5" spans="1:16" x14ac:dyDescent="0.2">
      <c r="A5" s="292"/>
      <c r="B5" s="140"/>
      <c r="C5" s="378"/>
      <c r="D5" s="378"/>
      <c r="E5" s="84"/>
      <c r="F5" s="178"/>
      <c r="G5" s="374"/>
      <c r="H5" s="562" t="s">
        <v>349</v>
      </c>
      <c r="I5" s="562"/>
      <c r="J5" s="562"/>
      <c r="K5" s="84"/>
      <c r="L5" s="141"/>
      <c r="M5" s="196"/>
      <c r="N5" s="196"/>
      <c r="O5" s="196"/>
      <c r="P5" s="292"/>
    </row>
    <row r="6" spans="1:16" x14ac:dyDescent="0.2">
      <c r="A6" s="292"/>
      <c r="B6" s="381"/>
      <c r="C6" s="84"/>
      <c r="D6" s="203"/>
      <c r="E6" s="84" t="s">
        <v>340</v>
      </c>
      <c r="F6" s="84"/>
      <c r="G6" s="374"/>
      <c r="H6" s="562"/>
      <c r="I6" s="562"/>
      <c r="J6" s="562"/>
      <c r="K6" s="374"/>
      <c r="L6" s="141"/>
      <c r="M6" s="196"/>
      <c r="N6" s="196"/>
      <c r="O6" s="196"/>
      <c r="P6" s="292"/>
    </row>
    <row r="7" spans="1:16" x14ac:dyDescent="0.2">
      <c r="A7" s="292"/>
      <c r="B7" s="381"/>
      <c r="C7" s="84"/>
      <c r="D7" s="84"/>
      <c r="E7" s="298" t="s">
        <v>341</v>
      </c>
      <c r="F7" s="84"/>
      <c r="G7" s="374"/>
      <c r="H7" s="374"/>
      <c r="I7" s="54"/>
      <c r="J7" s="159" t="s">
        <v>305</v>
      </c>
      <c r="K7" s="60"/>
      <c r="L7" s="147"/>
      <c r="M7" s="197"/>
      <c r="N7" s="196"/>
      <c r="O7" s="196"/>
      <c r="P7" s="292"/>
    </row>
    <row r="8" spans="1:16" x14ac:dyDescent="0.2">
      <c r="A8" s="292"/>
      <c r="B8" s="381"/>
      <c r="C8" s="207" t="s">
        <v>128</v>
      </c>
      <c r="D8" s="54"/>
      <c r="E8" s="54"/>
      <c r="F8" s="159" t="s">
        <v>277</v>
      </c>
      <c r="G8" s="374"/>
      <c r="H8" s="374"/>
      <c r="I8" s="54"/>
      <c r="J8" s="159" t="s">
        <v>130</v>
      </c>
      <c r="K8" s="60"/>
      <c r="L8" s="300"/>
      <c r="M8" s="293"/>
      <c r="N8" s="196"/>
      <c r="O8" s="294"/>
      <c r="P8" s="292"/>
    </row>
    <row r="9" spans="1:16" x14ac:dyDescent="0.2">
      <c r="A9" s="292"/>
      <c r="B9" s="381"/>
      <c r="C9" s="207" t="s">
        <v>129</v>
      </c>
      <c r="D9" s="54"/>
      <c r="E9" s="54"/>
      <c r="F9" s="159" t="s">
        <v>278</v>
      </c>
      <c r="G9" s="374"/>
      <c r="H9" s="374"/>
      <c r="I9" s="54"/>
      <c r="J9" s="159" t="s">
        <v>42</v>
      </c>
      <c r="K9" s="60"/>
      <c r="L9" s="147"/>
      <c r="M9" s="293"/>
      <c r="N9" s="196"/>
      <c r="O9" s="295"/>
      <c r="P9" s="292"/>
    </row>
    <row r="10" spans="1:16" x14ac:dyDescent="0.2">
      <c r="A10" s="292"/>
      <c r="B10" s="299"/>
      <c r="C10" s="290"/>
      <c r="D10" s="290"/>
      <c r="E10" s="159"/>
      <c r="F10" s="84"/>
      <c r="G10" s="290"/>
      <c r="H10" s="159"/>
      <c r="I10" s="84"/>
      <c r="J10" s="60"/>
      <c r="K10" s="84"/>
      <c r="L10" s="147"/>
      <c r="M10" s="293"/>
      <c r="N10" s="196"/>
      <c r="O10" s="294"/>
      <c r="P10" s="292"/>
    </row>
    <row r="11" spans="1:16" x14ac:dyDescent="0.2">
      <c r="A11" s="292"/>
      <c r="B11" s="299"/>
      <c r="C11" s="290"/>
      <c r="D11" s="290"/>
      <c r="E11" s="159"/>
      <c r="F11" s="159"/>
      <c r="G11" s="84"/>
      <c r="H11" s="290"/>
      <c r="I11" s="159"/>
      <c r="J11" s="84"/>
      <c r="K11" s="60"/>
      <c r="L11" s="147"/>
      <c r="M11" s="196"/>
      <c r="N11" s="196"/>
      <c r="O11" s="294"/>
      <c r="P11" s="292"/>
    </row>
    <row r="12" spans="1:16" x14ac:dyDescent="0.2">
      <c r="A12" s="292"/>
      <c r="B12" s="299"/>
      <c r="C12" s="207" t="s">
        <v>331</v>
      </c>
      <c r="D12" s="301"/>
      <c r="E12" s="159"/>
      <c r="F12" s="159"/>
      <c r="G12" s="84"/>
      <c r="H12" s="374"/>
      <c r="I12" s="374"/>
      <c r="J12" s="84"/>
      <c r="K12" s="60"/>
      <c r="L12" s="147"/>
      <c r="M12" s="296"/>
      <c r="N12" s="197"/>
      <c r="O12" s="294"/>
      <c r="P12" s="292"/>
    </row>
    <row r="13" spans="1:16" x14ac:dyDescent="0.2">
      <c r="A13" s="292"/>
      <c r="B13" s="299"/>
      <c r="C13" s="207"/>
      <c r="D13" s="303"/>
      <c r="E13" s="159"/>
      <c r="F13" s="159"/>
      <c r="G13" s="84"/>
      <c r="H13" s="302"/>
      <c r="I13" s="290"/>
      <c r="J13" s="84"/>
      <c r="K13" s="60"/>
      <c r="L13" s="147"/>
      <c r="M13" s="196"/>
      <c r="N13" s="196"/>
      <c r="O13" s="294"/>
      <c r="P13" s="292"/>
    </row>
    <row r="14" spans="1:16" x14ac:dyDescent="0.2">
      <c r="A14" s="292"/>
      <c r="B14" s="299"/>
      <c r="C14" s="290"/>
      <c r="D14" s="290"/>
      <c r="E14" s="159"/>
      <c r="F14" s="159"/>
      <c r="G14" s="84"/>
      <c r="H14" s="302"/>
      <c r="I14" s="290"/>
      <c r="J14" s="84"/>
      <c r="K14" s="60"/>
      <c r="L14" s="147"/>
      <c r="M14" s="196"/>
      <c r="N14" s="196"/>
      <c r="O14" s="294"/>
      <c r="P14" s="292"/>
    </row>
    <row r="15" spans="1:16" x14ac:dyDescent="0.2">
      <c r="A15" s="292"/>
      <c r="B15" s="140"/>
      <c r="C15" s="561" t="s">
        <v>336</v>
      </c>
      <c r="D15" s="561"/>
      <c r="E15" s="561"/>
      <c r="F15" s="561"/>
      <c r="G15" s="203"/>
      <c r="H15" s="159"/>
      <c r="I15" s="84"/>
      <c r="J15" s="84"/>
      <c r="K15" s="60"/>
      <c r="L15" s="147"/>
      <c r="M15" s="196"/>
      <c r="N15" s="196"/>
      <c r="O15" s="196"/>
      <c r="P15" s="292"/>
    </row>
    <row r="16" spans="1:16" x14ac:dyDescent="0.2">
      <c r="A16" s="292"/>
      <c r="B16" s="140"/>
      <c r="C16" s="380"/>
      <c r="D16" s="380"/>
      <c r="E16" s="380"/>
      <c r="F16" s="380"/>
      <c r="G16" s="203"/>
      <c r="H16" s="159"/>
      <c r="I16" s="84"/>
      <c r="J16" s="84"/>
      <c r="K16" s="60"/>
      <c r="L16" s="147"/>
      <c r="M16" s="196"/>
      <c r="N16" s="196"/>
      <c r="O16" s="196"/>
      <c r="P16" s="292"/>
    </row>
    <row r="17" spans="1:16" x14ac:dyDescent="0.2">
      <c r="A17" s="292"/>
      <c r="B17" s="299"/>
      <c r="C17" s="290" t="s">
        <v>279</v>
      </c>
      <c r="D17" s="304"/>
      <c r="E17" s="304"/>
      <c r="F17" s="58"/>
      <c r="G17" s="58"/>
      <c r="H17" s="58"/>
      <c r="I17" s="58"/>
      <c r="J17" s="84"/>
      <c r="K17" s="60"/>
      <c r="L17" s="147"/>
      <c r="M17" s="196"/>
      <c r="N17" s="197"/>
      <c r="O17" s="196"/>
      <c r="P17" s="292"/>
    </row>
    <row r="18" spans="1:16" x14ac:dyDescent="0.2">
      <c r="A18" s="292"/>
      <c r="B18" s="140"/>
      <c r="C18" s="109" t="s">
        <v>332</v>
      </c>
      <c r="D18" s="178"/>
      <c r="E18" s="84"/>
      <c r="F18" s="58"/>
      <c r="G18" s="58"/>
      <c r="H18" s="58"/>
      <c r="I18" s="58"/>
      <c r="J18" s="84" t="s">
        <v>179</v>
      </c>
      <c r="K18" s="84"/>
      <c r="L18" s="147"/>
      <c r="M18" s="196"/>
      <c r="N18" s="197"/>
      <c r="O18" s="196"/>
      <c r="P18" s="292"/>
    </row>
    <row r="19" spans="1:16" x14ac:dyDescent="0.2">
      <c r="A19" s="292"/>
      <c r="B19" s="140"/>
      <c r="C19" s="54"/>
      <c r="D19" s="148" t="s">
        <v>268</v>
      </c>
      <c r="E19" s="84"/>
      <c r="F19" s="58"/>
      <c r="G19" s="58"/>
      <c r="H19" s="58"/>
      <c r="I19" s="58"/>
      <c r="J19" s="305" t="str">
        <f>IF(C19=0,"",K19)</f>
        <v/>
      </c>
      <c r="K19" s="72" t="e">
        <f>IF(AND(C19&lt;&gt;0,C19&lt;=1),1,1/C19)</f>
        <v>#DIV/0!</v>
      </c>
      <c r="L19" s="141"/>
      <c r="M19" s="196"/>
      <c r="N19" s="197"/>
      <c r="O19" s="196"/>
      <c r="P19" s="292"/>
    </row>
    <row r="20" spans="1:16" x14ac:dyDescent="0.2">
      <c r="A20" s="292"/>
      <c r="B20" s="140"/>
      <c r="C20" s="54"/>
      <c r="D20" s="148" t="s">
        <v>269</v>
      </c>
      <c r="E20" s="84"/>
      <c r="F20" s="58"/>
      <c r="G20" s="58"/>
      <c r="H20" s="58"/>
      <c r="I20" s="58"/>
      <c r="J20" s="305" t="str">
        <f t="shared" ref="J20:J23" si="0">IF(C20=0,"",K20)</f>
        <v/>
      </c>
      <c r="K20" s="72" t="e">
        <f t="shared" ref="K20:K23" si="1">IF(AND(C20&lt;&gt;0,C20&lt;=1),1,1/C20)</f>
        <v>#DIV/0!</v>
      </c>
      <c r="L20" s="141"/>
      <c r="M20" s="196"/>
      <c r="N20" s="297"/>
      <c r="O20" s="196"/>
      <c r="P20" s="292"/>
    </row>
    <row r="21" spans="1:16" x14ac:dyDescent="0.2">
      <c r="A21" s="292"/>
      <c r="B21" s="140"/>
      <c r="C21" s="54"/>
      <c r="D21" s="148" t="s">
        <v>270</v>
      </c>
      <c r="E21" s="84"/>
      <c r="F21" s="58"/>
      <c r="G21" s="58"/>
      <c r="H21" s="58"/>
      <c r="I21" s="58"/>
      <c r="J21" s="305" t="str">
        <f t="shared" si="0"/>
        <v/>
      </c>
      <c r="K21" s="72" t="e">
        <f t="shared" si="1"/>
        <v>#DIV/0!</v>
      </c>
      <c r="L21" s="141"/>
      <c r="M21" s="196"/>
      <c r="N21" s="196"/>
      <c r="O21" s="196"/>
      <c r="P21" s="292"/>
    </row>
    <row r="22" spans="1:16" x14ac:dyDescent="0.2">
      <c r="A22" s="292"/>
      <c r="B22" s="140"/>
      <c r="C22" s="54"/>
      <c r="D22" s="73" t="s">
        <v>271</v>
      </c>
      <c r="E22" s="84"/>
      <c r="F22" s="58"/>
      <c r="G22" s="58"/>
      <c r="H22" s="58"/>
      <c r="I22" s="58"/>
      <c r="J22" s="305" t="str">
        <f t="shared" si="0"/>
        <v/>
      </c>
      <c r="K22" s="72" t="e">
        <f t="shared" si="1"/>
        <v>#DIV/0!</v>
      </c>
      <c r="L22" s="141"/>
      <c r="M22" s="292"/>
      <c r="N22" s="292"/>
      <c r="O22" s="292"/>
      <c r="P22" s="292"/>
    </row>
    <row r="23" spans="1:16" ht="13.5" thickBot="1" x14ac:dyDescent="0.25">
      <c r="A23" s="292"/>
      <c r="B23" s="140"/>
      <c r="C23" s="54"/>
      <c r="D23" s="78" t="s">
        <v>272</v>
      </c>
      <c r="E23" s="84"/>
      <c r="F23" s="58"/>
      <c r="G23" s="58"/>
      <c r="H23" s="58"/>
      <c r="I23" s="58"/>
      <c r="J23" s="305" t="str">
        <f t="shared" si="0"/>
        <v/>
      </c>
      <c r="K23" s="72" t="e">
        <f t="shared" si="1"/>
        <v>#DIV/0!</v>
      </c>
      <c r="L23" s="141"/>
      <c r="M23" s="292"/>
      <c r="N23" s="292"/>
      <c r="O23" s="292"/>
      <c r="P23" s="292"/>
    </row>
    <row r="24" spans="1:16" ht="13.5" thickTop="1" x14ac:dyDescent="0.2">
      <c r="B24" s="140"/>
      <c r="C24" s="177"/>
      <c r="D24" s="78"/>
      <c r="E24" s="84"/>
      <c r="F24" s="58"/>
      <c r="G24" s="58"/>
      <c r="H24" s="58"/>
      <c r="I24" s="306" t="s">
        <v>333</v>
      </c>
      <c r="J24" s="307">
        <f>SUM(J19:J23)</f>
        <v>0</v>
      </c>
      <c r="K24" s="308"/>
      <c r="L24" s="141"/>
    </row>
    <row r="25" spans="1:16" x14ac:dyDescent="0.2">
      <c r="B25" s="140"/>
      <c r="C25" s="177"/>
      <c r="D25" s="78"/>
      <c r="E25" s="84"/>
      <c r="F25" s="58"/>
      <c r="G25" s="58"/>
      <c r="H25" s="58"/>
      <c r="I25" s="104"/>
      <c r="J25" s="53"/>
      <c r="K25" s="84"/>
      <c r="L25" s="141"/>
    </row>
    <row r="26" spans="1:16" x14ac:dyDescent="0.2">
      <c r="B26" s="309"/>
      <c r="C26" s="310" t="s">
        <v>280</v>
      </c>
      <c r="D26" s="159"/>
      <c r="E26" s="84"/>
      <c r="F26" s="79"/>
      <c r="G26" s="79"/>
      <c r="H26" s="79"/>
      <c r="I26" s="104"/>
      <c r="J26" s="1"/>
      <c r="K26" s="79"/>
      <c r="L26" s="311"/>
    </row>
    <row r="27" spans="1:16" x14ac:dyDescent="0.2">
      <c r="B27" s="140"/>
      <c r="C27" s="109" t="s">
        <v>332</v>
      </c>
      <c r="D27" s="84"/>
      <c r="E27" s="84"/>
      <c r="F27" s="79"/>
      <c r="G27" s="79"/>
      <c r="H27" s="79"/>
      <c r="I27" s="104"/>
      <c r="J27" s="84" t="s">
        <v>179</v>
      </c>
      <c r="K27" s="79"/>
      <c r="L27" s="311"/>
    </row>
    <row r="28" spans="1:16" x14ac:dyDescent="0.2">
      <c r="B28" s="140"/>
      <c r="C28" s="54"/>
      <c r="D28" s="79" t="s">
        <v>303</v>
      </c>
      <c r="E28" s="84"/>
      <c r="F28" s="79"/>
      <c r="G28" s="79"/>
      <c r="H28" s="79"/>
      <c r="I28" s="104"/>
      <c r="J28" s="305" t="str">
        <f>IF(C28=0,"",K28)</f>
        <v/>
      </c>
      <c r="K28" s="72" t="e">
        <f>IF(AND(C28&lt;&gt;0,C28&lt;=1),1,1/C28)</f>
        <v>#DIV/0!</v>
      </c>
      <c r="L28" s="311"/>
    </row>
    <row r="29" spans="1:16" x14ac:dyDescent="0.2">
      <c r="B29" s="140"/>
      <c r="C29" s="54"/>
      <c r="D29" s="78" t="s">
        <v>304</v>
      </c>
      <c r="E29" s="84"/>
      <c r="F29" s="79"/>
      <c r="G29" s="79"/>
      <c r="H29" s="79"/>
      <c r="I29" s="104"/>
      <c r="J29" s="305" t="str">
        <f t="shared" ref="J29:J32" si="2">IF(C29=0,"",K29)</f>
        <v/>
      </c>
      <c r="K29" s="72" t="e">
        <f t="shared" ref="K29:K32" si="3">IF(AND(C29&lt;&gt;0,C29&lt;=1),1,1/C29)</f>
        <v>#DIV/0!</v>
      </c>
      <c r="L29" s="311"/>
    </row>
    <row r="30" spans="1:16" x14ac:dyDescent="0.2">
      <c r="B30" s="312"/>
      <c r="C30" s="54"/>
      <c r="D30" s="78" t="s">
        <v>273</v>
      </c>
      <c r="E30" s="84"/>
      <c r="F30" s="79"/>
      <c r="G30" s="79"/>
      <c r="H30" s="79"/>
      <c r="I30" s="104"/>
      <c r="J30" s="305" t="str">
        <f t="shared" si="2"/>
        <v/>
      </c>
      <c r="K30" s="72" t="e">
        <f t="shared" si="3"/>
        <v>#DIV/0!</v>
      </c>
      <c r="L30" s="311"/>
    </row>
    <row r="31" spans="1:16" x14ac:dyDescent="0.2">
      <c r="B31" s="312"/>
      <c r="C31" s="54"/>
      <c r="D31" s="78" t="s">
        <v>274</v>
      </c>
      <c r="E31" s="84"/>
      <c r="F31" s="79"/>
      <c r="G31" s="79"/>
      <c r="H31" s="79"/>
      <c r="I31" s="104"/>
      <c r="J31" s="305" t="str">
        <f t="shared" si="2"/>
        <v/>
      </c>
      <c r="K31" s="72" t="e">
        <f t="shared" si="3"/>
        <v>#DIV/0!</v>
      </c>
      <c r="L31" s="311"/>
    </row>
    <row r="32" spans="1:16" ht="13.5" thickBot="1" x14ac:dyDescent="0.25">
      <c r="B32" s="312"/>
      <c r="C32" s="54"/>
      <c r="D32" s="78" t="s">
        <v>275</v>
      </c>
      <c r="E32" s="84"/>
      <c r="F32" s="79"/>
      <c r="G32" s="79"/>
      <c r="H32" s="79"/>
      <c r="I32" s="104"/>
      <c r="J32" s="305" t="str">
        <f t="shared" si="2"/>
        <v/>
      </c>
      <c r="K32" s="72" t="e">
        <f t="shared" si="3"/>
        <v>#DIV/0!</v>
      </c>
      <c r="L32" s="311"/>
    </row>
    <row r="33" spans="2:15" ht="13.5" thickTop="1" x14ac:dyDescent="0.2">
      <c r="B33" s="313"/>
      <c r="C33" s="79"/>
      <c r="D33" s="79"/>
      <c r="E33" s="79"/>
      <c r="F33" s="79"/>
      <c r="G33" s="79"/>
      <c r="H33" s="79"/>
      <c r="I33" s="4" t="s">
        <v>334</v>
      </c>
      <c r="J33" s="307">
        <f>SUM(J28:J32)</f>
        <v>0</v>
      </c>
      <c r="K33" s="79"/>
      <c r="L33" s="311"/>
    </row>
    <row r="34" spans="2:15" x14ac:dyDescent="0.2">
      <c r="B34" s="313"/>
      <c r="C34" s="79"/>
      <c r="D34" s="79"/>
      <c r="E34" s="79"/>
      <c r="F34" s="79"/>
      <c r="G34" s="79"/>
      <c r="H34" s="79"/>
      <c r="I34" s="79"/>
      <c r="J34" s="79"/>
      <c r="K34" s="79"/>
      <c r="L34" s="311"/>
    </row>
    <row r="35" spans="2:15" ht="13.5" thickBot="1" x14ac:dyDescent="0.25">
      <c r="B35" s="313"/>
      <c r="C35" s="79"/>
      <c r="D35" s="79"/>
      <c r="E35" s="79"/>
      <c r="F35" s="79"/>
      <c r="G35" s="79"/>
      <c r="H35" s="79"/>
      <c r="I35" s="79"/>
      <c r="J35" s="79"/>
      <c r="K35" s="79"/>
      <c r="L35" s="311"/>
    </row>
    <row r="36" spans="2:15" ht="14.25" thickTop="1" thickBot="1" x14ac:dyDescent="0.25">
      <c r="B36" s="313"/>
      <c r="C36" s="79"/>
      <c r="D36" s="79"/>
      <c r="E36" s="79"/>
      <c r="F36" s="79"/>
      <c r="G36" s="79"/>
      <c r="H36" s="84"/>
      <c r="I36" s="314" t="s">
        <v>335</v>
      </c>
      <c r="J36" s="315">
        <f>J24+J33</f>
        <v>0</v>
      </c>
      <c r="K36" s="79"/>
      <c r="L36" s="311"/>
    </row>
    <row r="37" spans="2:15" ht="13.5" thickTop="1" x14ac:dyDescent="0.2">
      <c r="B37" s="313"/>
      <c r="C37" s="79"/>
      <c r="D37" s="79"/>
      <c r="E37" s="79"/>
      <c r="F37" s="79"/>
      <c r="G37" s="79"/>
      <c r="H37" s="79"/>
      <c r="I37" s="79"/>
      <c r="J37" s="79"/>
      <c r="K37" s="79"/>
      <c r="L37" s="311"/>
    </row>
    <row r="38" spans="2:15" ht="13.5" thickBot="1" x14ac:dyDescent="0.25">
      <c r="B38" s="316"/>
      <c r="C38" s="317"/>
      <c r="D38" s="317"/>
      <c r="E38" s="317"/>
      <c r="F38" s="317"/>
      <c r="G38" s="317"/>
      <c r="H38" s="317"/>
      <c r="I38" s="317"/>
      <c r="J38" s="317"/>
      <c r="K38" s="317"/>
      <c r="L38" s="318"/>
    </row>
    <row r="45" spans="2:15" x14ac:dyDescent="0.2">
      <c r="B45" s="319" t="s">
        <v>15</v>
      </c>
      <c r="C45" s="320"/>
      <c r="D45" s="320"/>
      <c r="E45" s="320"/>
      <c r="F45" s="320"/>
      <c r="G45" s="320"/>
      <c r="H45" s="320"/>
      <c r="I45" s="321"/>
      <c r="J45" s="320"/>
      <c r="K45" s="321"/>
      <c r="L45" s="320"/>
      <c r="M45" s="320"/>
      <c r="N45" s="320"/>
      <c r="O45" s="320"/>
    </row>
    <row r="46" spans="2:15" x14ac:dyDescent="0.2">
      <c r="B46" s="320"/>
      <c r="C46" s="320"/>
      <c r="D46" s="320"/>
      <c r="E46" s="320"/>
      <c r="F46" s="320"/>
      <c r="G46" s="320"/>
      <c r="H46" s="321"/>
      <c r="I46" s="320"/>
      <c r="J46" s="321"/>
      <c r="K46" s="320"/>
      <c r="L46" s="320"/>
      <c r="M46" s="320"/>
      <c r="N46" s="320"/>
    </row>
    <row r="47" spans="2:15" x14ac:dyDescent="0.2">
      <c r="B47" s="320"/>
      <c r="C47" s="320"/>
      <c r="D47" s="320"/>
      <c r="E47" s="320"/>
      <c r="F47" s="320"/>
      <c r="G47" s="320"/>
      <c r="H47" s="321"/>
      <c r="I47" s="320"/>
      <c r="J47" s="321"/>
      <c r="K47" s="320"/>
      <c r="L47" s="320"/>
      <c r="M47" s="320"/>
      <c r="N47" s="320"/>
    </row>
    <row r="48" spans="2:15" x14ac:dyDescent="0.2">
      <c r="B48" s="320"/>
      <c r="C48" s="320" t="s">
        <v>16</v>
      </c>
      <c r="D48" s="320"/>
      <c r="E48" s="320"/>
      <c r="F48" s="322">
        <f>'Traffic &amp; Accidents'!D8</f>
        <v>0</v>
      </c>
      <c r="H48" s="320" t="s">
        <v>17</v>
      </c>
      <c r="I48" s="320"/>
      <c r="J48" s="322">
        <f>E8</f>
        <v>0</v>
      </c>
      <c r="K48" s="323"/>
      <c r="L48" s="320"/>
      <c r="M48" s="320"/>
      <c r="N48" s="320"/>
    </row>
    <row r="49" spans="2:14" x14ac:dyDescent="0.2">
      <c r="B49" s="320"/>
      <c r="C49" s="320" t="s">
        <v>18</v>
      </c>
      <c r="D49" s="320"/>
      <c r="E49" s="320"/>
      <c r="F49" s="320"/>
      <c r="H49" s="320"/>
      <c r="I49" s="320"/>
      <c r="J49" s="321"/>
      <c r="K49" s="320"/>
      <c r="L49" s="320"/>
      <c r="M49" s="320"/>
      <c r="N49" s="320"/>
    </row>
    <row r="50" spans="2:14" x14ac:dyDescent="0.2">
      <c r="B50" s="320"/>
      <c r="C50" s="320" t="s">
        <v>19</v>
      </c>
      <c r="D50" s="320"/>
      <c r="E50" s="320"/>
      <c r="F50" s="322">
        <f>'Traffic &amp; Accidents'!D9</f>
        <v>0</v>
      </c>
      <c r="H50" s="320" t="s">
        <v>20</v>
      </c>
      <c r="I50" s="320"/>
      <c r="J50" s="322">
        <f>E9</f>
        <v>0</v>
      </c>
      <c r="K50" s="323"/>
      <c r="L50" s="320"/>
      <c r="M50" s="320"/>
      <c r="N50" s="320"/>
    </row>
    <row r="51" spans="2:14" x14ac:dyDescent="0.2">
      <c r="B51" s="320"/>
      <c r="C51" s="320"/>
      <c r="D51" s="320"/>
      <c r="E51" s="320"/>
      <c r="F51" s="320"/>
      <c r="G51" s="320"/>
      <c r="H51" s="321"/>
      <c r="I51" s="320"/>
      <c r="J51" s="321"/>
      <c r="K51" s="320"/>
      <c r="L51" s="320"/>
      <c r="M51" s="320"/>
      <c r="N51" s="320"/>
    </row>
    <row r="52" spans="2:14" x14ac:dyDescent="0.2">
      <c r="B52" s="320"/>
      <c r="C52" s="320" t="s">
        <v>21</v>
      </c>
      <c r="D52" s="320"/>
      <c r="E52" s="320"/>
      <c r="F52" s="320"/>
      <c r="G52" s="320"/>
      <c r="H52" s="321"/>
      <c r="I52" s="320"/>
      <c r="J52" s="321"/>
      <c r="K52" s="320"/>
      <c r="L52" s="320"/>
      <c r="M52" s="320"/>
      <c r="N52" s="320"/>
    </row>
    <row r="53" spans="2:14" x14ac:dyDescent="0.2">
      <c r="B53" s="320"/>
      <c r="C53" s="320" t="s">
        <v>22</v>
      </c>
      <c r="D53" s="320"/>
      <c r="E53" s="320"/>
      <c r="F53" s="320"/>
      <c r="G53" s="320"/>
      <c r="H53" s="321"/>
      <c r="I53" s="320"/>
      <c r="J53" s="321"/>
      <c r="K53" s="320"/>
      <c r="L53" s="320"/>
      <c r="M53" s="320"/>
      <c r="N53" s="320"/>
    </row>
    <row r="54" spans="2:14" x14ac:dyDescent="0.2">
      <c r="B54" s="320"/>
      <c r="C54" s="320"/>
      <c r="D54" s="320"/>
      <c r="E54" s="320"/>
      <c r="F54" s="320"/>
      <c r="G54" s="320"/>
      <c r="H54" s="321"/>
      <c r="I54" s="320"/>
      <c r="J54" s="321"/>
      <c r="K54" s="320"/>
      <c r="L54" s="320"/>
      <c r="M54" s="320"/>
      <c r="N54" s="320"/>
    </row>
    <row r="55" spans="2:14" x14ac:dyDescent="0.2">
      <c r="B55" s="320"/>
      <c r="C55" s="320"/>
      <c r="D55" s="320"/>
      <c r="E55" s="320"/>
      <c r="F55" s="320"/>
      <c r="G55" s="320"/>
      <c r="H55" s="321"/>
      <c r="I55" s="320"/>
      <c r="J55" s="321"/>
      <c r="K55" s="320"/>
    </row>
    <row r="56" spans="2:14" x14ac:dyDescent="0.2">
      <c r="B56" s="320"/>
      <c r="C56" s="320"/>
      <c r="D56" s="320"/>
      <c r="E56" s="320"/>
      <c r="F56" s="320"/>
      <c r="G56" s="320"/>
      <c r="K56" s="320"/>
      <c r="L56" s="324"/>
      <c r="M56" s="325" t="s">
        <v>176</v>
      </c>
      <c r="N56" s="325"/>
    </row>
    <row r="57" spans="2:14" x14ac:dyDescent="0.2">
      <c r="B57" s="320"/>
      <c r="C57" s="320" t="s">
        <v>23</v>
      </c>
      <c r="D57" s="320"/>
      <c r="E57" s="320"/>
      <c r="F57" s="320"/>
      <c r="G57" s="320"/>
      <c r="H57" s="321"/>
      <c r="I57" s="320"/>
      <c r="J57" s="321"/>
      <c r="K57" s="320"/>
      <c r="L57" s="324"/>
      <c r="M57" s="320"/>
      <c r="N57" s="320"/>
    </row>
    <row r="58" spans="2:14" x14ac:dyDescent="0.2">
      <c r="B58" s="320"/>
      <c r="E58" s="320" t="s">
        <v>14</v>
      </c>
      <c r="F58" s="320"/>
      <c r="G58" s="320"/>
      <c r="H58" s="321"/>
      <c r="I58" s="320"/>
      <c r="J58" s="321"/>
      <c r="K58" s="320"/>
      <c r="L58" s="326"/>
      <c r="M58" s="327" t="s">
        <v>177</v>
      </c>
      <c r="N58" s="327" t="s">
        <v>177</v>
      </c>
    </row>
    <row r="59" spans="2:14" x14ac:dyDescent="0.2">
      <c r="C59" s="321" t="s">
        <v>24</v>
      </c>
      <c r="D59" s="321"/>
      <c r="G59" s="321" t="s">
        <v>24</v>
      </c>
      <c r="H59" s="321"/>
      <c r="I59" s="321"/>
      <c r="J59" s="321"/>
      <c r="K59" s="320"/>
      <c r="L59" s="328"/>
      <c r="M59" s="327" t="s">
        <v>128</v>
      </c>
      <c r="N59" s="327" t="s">
        <v>178</v>
      </c>
    </row>
    <row r="60" spans="2:14" x14ac:dyDescent="0.2">
      <c r="B60" s="320"/>
      <c r="C60" s="329" t="s">
        <v>26</v>
      </c>
      <c r="D60" s="321"/>
      <c r="G60" s="329" t="s">
        <v>27</v>
      </c>
      <c r="H60" s="321"/>
      <c r="I60" s="329" t="s">
        <v>28</v>
      </c>
      <c r="J60" s="321"/>
      <c r="K60" s="320"/>
      <c r="L60" s="320"/>
      <c r="M60" s="330" t="s">
        <v>179</v>
      </c>
      <c r="N60" s="330" t="s">
        <v>179</v>
      </c>
    </row>
    <row r="61" spans="2:14" x14ac:dyDescent="0.2">
      <c r="B61" s="320" t="s">
        <v>25</v>
      </c>
      <c r="C61" s="321"/>
      <c r="D61" s="321"/>
      <c r="G61" s="321"/>
      <c r="H61" s="321"/>
      <c r="I61" s="321"/>
      <c r="J61" s="321"/>
      <c r="K61" s="320"/>
      <c r="L61" s="320"/>
      <c r="M61" s="327"/>
      <c r="N61" s="327"/>
    </row>
    <row r="62" spans="2:14" x14ac:dyDescent="0.2">
      <c r="B62" s="320" t="s">
        <v>29</v>
      </c>
      <c r="C62" s="331" t="s">
        <v>192</v>
      </c>
      <c r="D62" s="321"/>
      <c r="E62" s="332" t="s">
        <v>50</v>
      </c>
      <c r="G62" s="331" t="s">
        <v>191</v>
      </c>
      <c r="H62" s="321"/>
      <c r="I62" s="321">
        <v>3</v>
      </c>
      <c r="J62" s="321"/>
      <c r="K62" s="320"/>
      <c r="L62" s="320"/>
      <c r="M62" s="321">
        <f>IF('Traffic &amp; Accidents'!F48=0,0,M63)</f>
        <v>0</v>
      </c>
      <c r="N62" s="321">
        <f>IF('Traffic &amp; Accidents'!F50=0,0,N63)</f>
        <v>0</v>
      </c>
    </row>
    <row r="63" spans="2:14" x14ac:dyDescent="0.2">
      <c r="B63" s="320"/>
      <c r="C63" s="321" t="s">
        <v>30</v>
      </c>
      <c r="D63" s="321"/>
      <c r="G63" s="321" t="s">
        <v>31</v>
      </c>
      <c r="H63" s="321"/>
      <c r="I63" s="321">
        <v>7</v>
      </c>
      <c r="J63" s="321"/>
      <c r="K63" s="320"/>
      <c r="L63" s="320"/>
      <c r="M63" s="333">
        <f>IF(AND('Traffic &amp; Accidents'!F48&lt;501,'Traffic &amp; Accidents'!F48&lt;&gt;0),'Traffic &amp; Accidents'!I62,M64)</f>
        <v>7</v>
      </c>
      <c r="N63" s="333">
        <f>IF('Traffic &amp; Accidents'!F50&lt;51,'Traffic &amp; Accidents'!I62,N64)</f>
        <v>3</v>
      </c>
    </row>
    <row r="64" spans="2:14" x14ac:dyDescent="0.2">
      <c r="B64" s="320"/>
      <c r="C64" s="321" t="s">
        <v>32</v>
      </c>
      <c r="D64" s="321"/>
      <c r="G64" s="321" t="s">
        <v>33</v>
      </c>
      <c r="H64" s="321"/>
      <c r="I64" s="321">
        <v>10</v>
      </c>
      <c r="J64" s="321"/>
      <c r="K64" s="320"/>
      <c r="L64" s="320"/>
      <c r="M64" s="333">
        <f>IF('Traffic &amp; Accidents'!F48&lt;1001,'Traffic &amp; Accidents'!I63,M65)</f>
        <v>7</v>
      </c>
      <c r="N64" s="333">
        <f>IF('Traffic &amp; Accidents'!F50&lt;101,'Traffic &amp; Accidents'!I63,N65)</f>
        <v>7</v>
      </c>
    </row>
    <row r="65" spans="2:17" x14ac:dyDescent="0.2">
      <c r="B65" s="320"/>
      <c r="C65" s="321" t="s">
        <v>34</v>
      </c>
      <c r="D65" s="321"/>
      <c r="G65" s="321" t="s">
        <v>35</v>
      </c>
      <c r="H65" s="321"/>
      <c r="I65" s="321">
        <v>15</v>
      </c>
      <c r="J65" s="321"/>
      <c r="K65" s="320"/>
      <c r="L65" s="320"/>
      <c r="M65" s="333">
        <f>IF('Traffic &amp; Accidents'!F48&lt;2001,'Traffic &amp; Accidents'!I64,M66)</f>
        <v>10</v>
      </c>
      <c r="N65" s="333">
        <f>IF('Traffic &amp; Accidents'!F50&lt;201,'Traffic &amp; Accidents'!I64,N66)</f>
        <v>10</v>
      </c>
    </row>
    <row r="66" spans="2:17" x14ac:dyDescent="0.2">
      <c r="B66" s="320"/>
      <c r="C66" s="331" t="s">
        <v>189</v>
      </c>
      <c r="D66" s="321"/>
      <c r="G66" s="331" t="s">
        <v>190</v>
      </c>
      <c r="H66" s="321"/>
      <c r="I66" s="321">
        <v>20</v>
      </c>
      <c r="J66" s="321"/>
      <c r="K66" s="320"/>
      <c r="L66" s="320"/>
      <c r="M66" s="333">
        <f>IF('Traffic &amp; Accidents'!F48&lt;5001,'Traffic &amp; Accidents'!I65,M67)</f>
        <v>15</v>
      </c>
      <c r="N66" s="333">
        <f>IF('Traffic &amp; Accidents'!F50&lt;501,'Traffic &amp; Accidents'!I65,N67)</f>
        <v>15</v>
      </c>
    </row>
    <row r="67" spans="2:17" x14ac:dyDescent="0.2">
      <c r="B67" s="320"/>
      <c r="I67" s="320"/>
      <c r="J67" s="321"/>
      <c r="K67" s="320"/>
      <c r="L67" s="320"/>
      <c r="M67" s="333" t="str">
        <f>IF('Traffic &amp; Accidents'!F48&gt;=5001,'Traffic &amp; Accidents'!I66,"")</f>
        <v/>
      </c>
      <c r="N67" s="333" t="str">
        <f>IF('Traffic &amp; Accidents'!F50&gt;=501,'Traffic &amp; Accidents'!I66,"")</f>
        <v/>
      </c>
    </row>
    <row r="68" spans="2:17" x14ac:dyDescent="0.2">
      <c r="B68" s="320"/>
      <c r="I68" s="320"/>
      <c r="J68" s="321"/>
      <c r="K68" s="320"/>
      <c r="L68" s="320"/>
      <c r="M68" s="320"/>
      <c r="N68" s="320"/>
      <c r="O68" s="320"/>
      <c r="P68" s="333"/>
      <c r="Q68" s="333"/>
    </row>
    <row r="69" spans="2:17" x14ac:dyDescent="0.2">
      <c r="B69" s="320"/>
      <c r="C69" s="320"/>
      <c r="D69" s="320"/>
      <c r="E69" s="320"/>
      <c r="F69" s="320"/>
      <c r="G69" s="320"/>
      <c r="H69" s="334" t="s">
        <v>36</v>
      </c>
      <c r="I69" s="320"/>
      <c r="J69" s="321"/>
      <c r="K69" s="320"/>
      <c r="L69" s="320"/>
      <c r="M69" s="335">
        <f>IF(F50&gt;(F48/10),'Traffic &amp; Accidents'!N62,'Traffic &amp; Accidents'!M62)</f>
        <v>0</v>
      </c>
      <c r="N69" s="320"/>
      <c r="O69" s="320"/>
    </row>
    <row r="70" spans="2:17" x14ac:dyDescent="0.2">
      <c r="B70" s="320"/>
      <c r="C70" s="320"/>
      <c r="D70" s="320"/>
      <c r="E70" s="320"/>
      <c r="F70" s="320"/>
      <c r="G70" s="320"/>
      <c r="H70" s="321"/>
      <c r="I70" s="320"/>
      <c r="J70" s="321"/>
      <c r="K70" s="320"/>
      <c r="L70" s="320"/>
      <c r="M70" s="320"/>
      <c r="N70" s="320"/>
    </row>
    <row r="71" spans="2:17" x14ac:dyDescent="0.2">
      <c r="B71" s="320"/>
      <c r="C71" s="320"/>
      <c r="D71" s="320"/>
      <c r="E71" s="320"/>
      <c r="F71" s="320"/>
      <c r="G71" s="320"/>
      <c r="H71" s="321"/>
      <c r="I71" s="320"/>
      <c r="J71" s="321"/>
      <c r="K71" s="320"/>
      <c r="L71" s="320"/>
      <c r="M71" s="320"/>
      <c r="N71" s="320"/>
    </row>
    <row r="72" spans="2:17" x14ac:dyDescent="0.2">
      <c r="B72" s="320"/>
      <c r="C72" s="320"/>
      <c r="D72" s="320"/>
      <c r="E72" s="320"/>
      <c r="F72" s="320"/>
      <c r="G72" s="320"/>
      <c r="H72" s="320"/>
      <c r="I72" s="321"/>
      <c r="J72" s="320"/>
      <c r="K72" s="321"/>
      <c r="L72" s="320"/>
      <c r="M72" s="320"/>
      <c r="N72" s="320"/>
      <c r="O72" s="320"/>
    </row>
    <row r="73" spans="2:17" x14ac:dyDescent="0.2">
      <c r="B73" s="320"/>
      <c r="C73" s="320"/>
      <c r="D73" s="320"/>
      <c r="E73" s="320"/>
      <c r="F73" s="320"/>
      <c r="G73" s="320"/>
      <c r="H73" s="320"/>
      <c r="I73" s="321"/>
      <c r="J73" s="320"/>
      <c r="K73" s="321"/>
      <c r="L73" s="320"/>
      <c r="M73" s="320"/>
      <c r="N73" s="320"/>
      <c r="O73" s="320"/>
    </row>
    <row r="74" spans="2:17" x14ac:dyDescent="0.2">
      <c r="B74" s="319" t="s">
        <v>37</v>
      </c>
      <c r="C74" s="320"/>
      <c r="D74" s="320"/>
      <c r="E74" s="320"/>
      <c r="F74" s="320"/>
      <c r="G74" s="320"/>
      <c r="H74" s="320"/>
      <c r="I74" s="321"/>
      <c r="J74" s="320"/>
      <c r="K74" s="321"/>
      <c r="L74" s="320"/>
      <c r="M74" s="320"/>
      <c r="N74" s="320"/>
      <c r="O74" s="320"/>
    </row>
    <row r="75" spans="2:17" x14ac:dyDescent="0.2">
      <c r="B75" s="320"/>
      <c r="C75" s="320"/>
      <c r="D75" s="320"/>
      <c r="E75" s="320"/>
      <c r="F75" s="320"/>
      <c r="G75" s="320"/>
      <c r="H75" s="320"/>
      <c r="I75" s="321"/>
      <c r="J75" s="320"/>
      <c r="K75" s="321"/>
      <c r="L75" s="320"/>
      <c r="M75" s="320"/>
      <c r="N75" s="320"/>
      <c r="O75" s="320"/>
    </row>
    <row r="76" spans="2:17" x14ac:dyDescent="0.2">
      <c r="B76" s="320"/>
      <c r="C76" s="320"/>
      <c r="D76" s="320"/>
      <c r="E76" s="320"/>
      <c r="F76" s="320" t="s">
        <v>38</v>
      </c>
      <c r="G76" s="320"/>
      <c r="H76" s="320"/>
      <c r="I76" s="321"/>
      <c r="J76" s="320"/>
      <c r="K76" s="321"/>
      <c r="L76" s="320"/>
      <c r="M76" s="320"/>
      <c r="N76" s="320"/>
      <c r="O76" s="320"/>
    </row>
    <row r="77" spans="2:17" x14ac:dyDescent="0.2">
      <c r="B77" s="320"/>
      <c r="C77" s="320"/>
      <c r="D77" s="320"/>
      <c r="E77" s="320"/>
      <c r="F77" s="320" t="s">
        <v>39</v>
      </c>
      <c r="G77" s="320"/>
      <c r="H77" s="321"/>
      <c r="I77" s="320"/>
      <c r="J77" s="321"/>
      <c r="K77" s="320"/>
      <c r="L77" s="320"/>
      <c r="N77" s="320"/>
      <c r="O77" s="320"/>
    </row>
    <row r="78" spans="2:17" x14ac:dyDescent="0.2">
      <c r="B78" s="320"/>
      <c r="C78" s="336"/>
      <c r="D78" s="337"/>
      <c r="E78" s="320" t="s">
        <v>14</v>
      </c>
      <c r="F78" s="338" t="s">
        <v>40</v>
      </c>
      <c r="G78" s="320"/>
      <c r="H78" s="338" t="s">
        <v>41</v>
      </c>
      <c r="J78" s="338" t="s">
        <v>42</v>
      </c>
      <c r="K78" s="320"/>
      <c r="N78" s="320"/>
      <c r="O78" s="320"/>
    </row>
    <row r="79" spans="2:17" x14ac:dyDescent="0.2">
      <c r="B79" s="320" t="s">
        <v>14</v>
      </c>
      <c r="C79" s="320"/>
      <c r="D79" s="320"/>
      <c r="E79" s="320"/>
      <c r="F79" s="320"/>
      <c r="G79" s="320"/>
      <c r="H79" s="321"/>
      <c r="I79" s="320"/>
      <c r="J79" s="321"/>
      <c r="K79" s="320"/>
      <c r="L79" s="320"/>
      <c r="N79" s="320"/>
      <c r="O79" s="320"/>
    </row>
    <row r="80" spans="2:17" x14ac:dyDescent="0.2">
      <c r="D80" s="320" t="s">
        <v>339</v>
      </c>
      <c r="E80" s="321"/>
      <c r="F80" s="339">
        <f>'Traffic &amp; Accidents'!I7</f>
        <v>0</v>
      </c>
      <c r="G80" s="321"/>
      <c r="H80" s="339">
        <f>'Traffic &amp; Accidents'!I8</f>
        <v>0</v>
      </c>
      <c r="I80" s="321"/>
      <c r="J80" s="339">
        <f>'Traffic &amp; Accidents'!I9</f>
        <v>0</v>
      </c>
      <c r="K80" s="320"/>
      <c r="L80" s="320"/>
      <c r="N80" s="320"/>
      <c r="O80" s="320"/>
    </row>
    <row r="81" spans="2:15" x14ac:dyDescent="0.2">
      <c r="C81" s="320"/>
      <c r="D81" s="320" t="s">
        <v>338</v>
      </c>
      <c r="F81" s="340" t="s">
        <v>43</v>
      </c>
      <c r="G81" s="321"/>
      <c r="H81" s="340" t="s">
        <v>44</v>
      </c>
      <c r="I81" s="321"/>
      <c r="J81" s="340" t="s">
        <v>45</v>
      </c>
      <c r="N81" s="320"/>
      <c r="O81" s="320"/>
    </row>
    <row r="82" spans="2:15" x14ac:dyDescent="0.2">
      <c r="C82" s="320"/>
      <c r="D82" s="320"/>
      <c r="E82" s="321"/>
      <c r="F82" s="321"/>
      <c r="G82" s="321"/>
      <c r="H82" s="321"/>
      <c r="I82" s="321"/>
      <c r="J82" s="321"/>
      <c r="K82" s="320"/>
      <c r="L82" s="320"/>
      <c r="N82" s="320"/>
      <c r="O82" s="320"/>
    </row>
    <row r="83" spans="2:15" x14ac:dyDescent="0.2">
      <c r="D83" s="320" t="s">
        <v>46</v>
      </c>
      <c r="E83" s="321"/>
      <c r="F83" s="335" t="str">
        <f>IF(F80=0,"",F80*1)</f>
        <v/>
      </c>
      <c r="G83" s="321" t="s">
        <v>47</v>
      </c>
      <c r="H83" s="335" t="str">
        <f>IF(H80=0,"",H80*2)</f>
        <v/>
      </c>
      <c r="I83" s="321" t="s">
        <v>47</v>
      </c>
      <c r="J83" s="335" t="str">
        <f>IF(J80=0,"",J80*5)</f>
        <v/>
      </c>
      <c r="K83" s="321"/>
      <c r="N83" s="320"/>
      <c r="O83" s="320"/>
    </row>
    <row r="84" spans="2:15" x14ac:dyDescent="0.2">
      <c r="B84" s="320"/>
      <c r="C84" s="320"/>
      <c r="D84" s="320"/>
      <c r="E84" s="320"/>
      <c r="F84" s="320"/>
      <c r="G84" s="320"/>
      <c r="H84" s="320"/>
      <c r="I84" s="321"/>
      <c r="J84" s="320"/>
      <c r="K84" s="321"/>
      <c r="L84" s="320"/>
      <c r="M84" s="320"/>
      <c r="N84" s="320"/>
      <c r="O84" s="320"/>
    </row>
    <row r="85" spans="2:15" x14ac:dyDescent="0.2">
      <c r="B85" s="320"/>
      <c r="C85" s="320"/>
      <c r="D85" s="320"/>
      <c r="E85" s="320"/>
      <c r="F85" s="320"/>
      <c r="G85" s="320"/>
      <c r="H85" s="320"/>
      <c r="I85" s="321"/>
      <c r="J85" s="320"/>
      <c r="K85" s="321"/>
      <c r="L85" s="320"/>
      <c r="M85" s="320"/>
      <c r="N85" s="320"/>
      <c r="O85" s="320"/>
    </row>
    <row r="86" spans="2:15" x14ac:dyDescent="0.2">
      <c r="B86" s="320"/>
      <c r="C86" s="320"/>
      <c r="D86" s="320"/>
      <c r="E86" s="320"/>
      <c r="F86" s="320"/>
      <c r="G86" s="320"/>
      <c r="H86" s="320"/>
      <c r="I86" s="321"/>
      <c r="J86" s="320"/>
      <c r="K86" s="321"/>
      <c r="L86" s="320"/>
      <c r="M86" s="320"/>
      <c r="N86" s="320"/>
      <c r="O86" s="320"/>
    </row>
    <row r="87" spans="2:15" x14ac:dyDescent="0.2">
      <c r="B87" s="320"/>
      <c r="D87" s="320"/>
      <c r="E87" s="320"/>
      <c r="F87" s="320"/>
      <c r="G87" s="320"/>
      <c r="H87" s="320"/>
      <c r="N87" s="320"/>
      <c r="O87" s="320"/>
    </row>
    <row r="88" spans="2:15" x14ac:dyDescent="0.2">
      <c r="B88" s="320"/>
      <c r="C88" s="320"/>
      <c r="D88" s="320"/>
      <c r="E88" s="320"/>
      <c r="F88" s="320"/>
      <c r="G88" s="320"/>
      <c r="H88" s="341"/>
      <c r="I88" s="320"/>
      <c r="J88" s="321"/>
      <c r="K88" s="342" t="s">
        <v>48</v>
      </c>
      <c r="M88" s="335">
        <f>IF(SUM(F83,H83,J83)&gt;25,25,SUM(F83,H83,J83))</f>
        <v>0</v>
      </c>
      <c r="N88" s="320"/>
    </row>
    <row r="89" spans="2:15" x14ac:dyDescent="0.2">
      <c r="B89" s="320" t="s">
        <v>14</v>
      </c>
      <c r="C89" s="320"/>
      <c r="D89" s="320"/>
      <c r="E89" s="320"/>
      <c r="F89" s="320"/>
      <c r="G89" s="320"/>
      <c r="H89" s="321"/>
      <c r="I89" s="343" t="s">
        <v>49</v>
      </c>
      <c r="J89" s="321"/>
      <c r="K89" s="320"/>
      <c r="L89" s="320"/>
      <c r="M89" s="320"/>
      <c r="N89" s="320"/>
    </row>
  </sheetData>
  <sheetProtection algorithmName="SHA-512" hashValue="FYIv4ABEOL7ClZ+D/op9V+pBL5JxAFA16fy0k2h37NUY02N2D4zHf7n7ilUTRmKM4SHWN/ng9PZ+yt+FEzRwCw==" saltValue="6vHZifszjMLyeJUHNs242g==" spinCount="100000" sheet="1" selectLockedCells="1"/>
  <mergeCells count="2">
    <mergeCell ref="C15:F15"/>
    <mergeCell ref="H5:J6"/>
  </mergeCells>
  <conditionalFormatting sqref="J33">
    <cfRule type="expression" dxfId="9" priority="3" stopIfTrue="1">
      <formula>ISERROR($M$231)</formula>
    </cfRule>
  </conditionalFormatting>
  <conditionalFormatting sqref="J24:J25">
    <cfRule type="expression" dxfId="8" priority="4" stopIfTrue="1">
      <formula>ISERROR($M$221)</formula>
    </cfRule>
  </conditionalFormatting>
  <conditionalFormatting sqref="M62">
    <cfRule type="expression" dxfId="7" priority="2">
      <formula>"&gt;$N$58"</formula>
    </cfRule>
  </conditionalFormatting>
  <conditionalFormatting sqref="N62">
    <cfRule type="expression" dxfId="6" priority="1">
      <formula>"&gt;$M$58"</formula>
    </cfRule>
  </conditionalFormatting>
  <pageMargins left="0.7" right="0.7" top="0.75" bottom="0.75" header="0.3" footer="0.3"/>
  <pageSetup orientation="portrait"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P56"/>
  <sheetViews>
    <sheetView showGridLines="0" workbookViewId="0">
      <selection activeCell="E7" sqref="E7"/>
    </sheetView>
  </sheetViews>
  <sheetFormatPr defaultRowHeight="12.75" x14ac:dyDescent="0.2"/>
  <cols>
    <col min="1" max="1" width="7.7109375" style="195" customWidth="1"/>
    <col min="2" max="2" width="2.85546875" style="195" customWidth="1"/>
    <col min="3" max="4" width="7.7109375" style="195" customWidth="1"/>
    <col min="5" max="5" width="9.7109375" style="195" customWidth="1"/>
    <col min="6" max="6" width="6.28515625" style="195" customWidth="1"/>
    <col min="7" max="7" width="5.28515625" style="195" customWidth="1"/>
    <col min="8" max="15" width="6.28515625" style="195" customWidth="1"/>
    <col min="16" max="16" width="2.42578125" style="195" customWidth="1"/>
    <col min="17" max="256" width="7.7109375" style="195" customWidth="1"/>
    <col min="257" max="16384" width="9.140625" style="195"/>
  </cols>
  <sheetData>
    <row r="3" spans="2:16" ht="13.5" thickBot="1" x14ac:dyDescent="0.25">
      <c r="C3" s="196"/>
      <c r="D3" s="197"/>
      <c r="E3" s="196"/>
      <c r="F3" s="196"/>
      <c r="G3" s="198"/>
      <c r="M3" s="199"/>
    </row>
    <row r="4" spans="2:16" x14ac:dyDescent="0.2">
      <c r="B4" s="137"/>
      <c r="C4" s="138"/>
      <c r="D4" s="138"/>
      <c r="E4" s="138"/>
      <c r="F4" s="138"/>
      <c r="G4" s="138"/>
      <c r="H4" s="154"/>
      <c r="I4" s="565" t="s">
        <v>350</v>
      </c>
      <c r="J4" s="565"/>
      <c r="K4" s="566"/>
      <c r="M4" s="199"/>
    </row>
    <row r="5" spans="2:16" x14ac:dyDescent="0.2">
      <c r="B5" s="563" t="s">
        <v>248</v>
      </c>
      <c r="C5" s="564"/>
      <c r="D5" s="564"/>
      <c r="E5" s="203"/>
      <c r="F5" s="178"/>
      <c r="G5" s="412"/>
      <c r="H5" s="150"/>
      <c r="I5" s="567"/>
      <c r="J5" s="567"/>
      <c r="K5" s="568"/>
      <c r="L5" s="200"/>
      <c r="M5" s="201"/>
    </row>
    <row r="6" spans="2:16" x14ac:dyDescent="0.2">
      <c r="B6" s="140"/>
      <c r="C6" s="416"/>
      <c r="D6" s="416"/>
      <c r="E6" s="179"/>
      <c r="F6" s="178"/>
      <c r="G6" s="412"/>
      <c r="H6" s="150"/>
      <c r="I6" s="567"/>
      <c r="J6" s="567"/>
      <c r="K6" s="568"/>
      <c r="L6" s="200"/>
      <c r="M6" s="201"/>
    </row>
    <row r="7" spans="2:16" x14ac:dyDescent="0.2">
      <c r="B7" s="140"/>
      <c r="C7" s="84"/>
      <c r="D7" s="151" t="s">
        <v>131</v>
      </c>
      <c r="E7" s="54"/>
      <c r="F7" s="84"/>
      <c r="G7" s="84"/>
      <c r="H7" s="152"/>
      <c r="I7" s="567"/>
      <c r="J7" s="567"/>
      <c r="K7" s="568"/>
      <c r="L7" s="196"/>
      <c r="M7" s="202"/>
    </row>
    <row r="8" spans="2:16" x14ac:dyDescent="0.2">
      <c r="B8" s="140"/>
      <c r="C8" s="84"/>
      <c r="D8" s="84"/>
      <c r="E8" s="84"/>
      <c r="F8" s="84"/>
      <c r="G8" s="84"/>
      <c r="H8" s="84"/>
      <c r="I8" s="567"/>
      <c r="J8" s="567"/>
      <c r="K8" s="568"/>
      <c r="L8" s="196"/>
      <c r="M8" s="202"/>
    </row>
    <row r="9" spans="2:16" ht="13.5" thickBot="1" x14ac:dyDescent="0.25">
      <c r="B9" s="142"/>
      <c r="C9" s="145"/>
      <c r="D9" s="155"/>
      <c r="E9" s="144"/>
      <c r="F9" s="144"/>
      <c r="G9" s="417"/>
      <c r="H9" s="143"/>
      <c r="I9" s="143"/>
      <c r="J9" s="143"/>
      <c r="K9" s="149"/>
      <c r="L9" s="196"/>
      <c r="M9" s="202"/>
    </row>
    <row r="13" spans="2:16" x14ac:dyDescent="0.2">
      <c r="B13" s="418"/>
      <c r="C13" s="418"/>
      <c r="D13" s="418"/>
      <c r="E13" s="418"/>
      <c r="F13" s="418"/>
      <c r="G13" s="418"/>
      <c r="H13" s="418"/>
      <c r="I13" s="418"/>
      <c r="J13" s="418"/>
      <c r="K13" s="418"/>
      <c r="L13" s="418"/>
      <c r="M13" s="418"/>
      <c r="N13" s="569" t="s">
        <v>352</v>
      </c>
      <c r="O13" s="569"/>
      <c r="P13" s="418"/>
    </row>
    <row r="14" spans="2:16" x14ac:dyDescent="0.2">
      <c r="B14" s="419" t="s">
        <v>281</v>
      </c>
      <c r="C14" s="420"/>
      <c r="D14" s="420"/>
      <c r="E14" s="420"/>
      <c r="F14" s="420"/>
      <c r="G14" s="420"/>
      <c r="H14" s="418"/>
      <c r="I14" s="421"/>
      <c r="J14" s="418"/>
      <c r="K14" s="418"/>
      <c r="L14" s="418"/>
      <c r="M14" s="418"/>
      <c r="N14" s="569"/>
      <c r="O14" s="569"/>
      <c r="P14" s="418"/>
    </row>
    <row r="15" spans="2:16" x14ac:dyDescent="0.2">
      <c r="B15" s="418"/>
      <c r="C15" s="418"/>
      <c r="D15" s="418"/>
      <c r="E15" s="418"/>
      <c r="F15" s="418"/>
      <c r="G15" s="418"/>
      <c r="H15" s="418"/>
      <c r="I15" s="421"/>
      <c r="J15" s="418"/>
      <c r="K15" s="418"/>
      <c r="L15" s="422"/>
      <c r="M15" s="418"/>
      <c r="N15" s="569"/>
      <c r="O15" s="569"/>
      <c r="P15" s="418"/>
    </row>
    <row r="16" spans="2:16" ht="13.5" thickBot="1" x14ac:dyDescent="0.25">
      <c r="B16" s="423"/>
      <c r="C16" s="418"/>
      <c r="D16" s="418"/>
      <c r="E16" s="418"/>
      <c r="F16" s="418"/>
      <c r="G16" s="418"/>
      <c r="H16" s="418"/>
      <c r="I16" s="418"/>
      <c r="J16" s="418"/>
      <c r="K16" s="418"/>
      <c r="L16" s="422"/>
      <c r="M16" s="418"/>
      <c r="N16" s="570"/>
      <c r="O16" s="570"/>
      <c r="P16" s="418"/>
    </row>
    <row r="17" spans="2:16" ht="15.75" x14ac:dyDescent="0.25">
      <c r="B17" s="418" t="s">
        <v>29</v>
      </c>
      <c r="C17" s="424"/>
      <c r="D17" s="425"/>
      <c r="E17" s="426"/>
      <c r="F17" s="426"/>
      <c r="G17" s="426"/>
      <c r="H17" s="426"/>
      <c r="I17" s="425"/>
      <c r="J17" s="425"/>
      <c r="K17" s="425"/>
      <c r="L17" s="426"/>
      <c r="M17" s="427"/>
      <c r="N17" s="427"/>
      <c r="O17" s="428"/>
      <c r="P17" s="418"/>
    </row>
    <row r="18" spans="2:16" ht="15.75" x14ac:dyDescent="0.25">
      <c r="B18" s="418"/>
      <c r="C18" s="429" t="s">
        <v>283</v>
      </c>
      <c r="D18" s="430"/>
      <c r="E18" s="431"/>
      <c r="F18" s="431" t="s">
        <v>284</v>
      </c>
      <c r="G18" s="431"/>
      <c r="H18" s="431"/>
      <c r="I18" s="430"/>
      <c r="J18" s="430"/>
      <c r="K18" s="430"/>
      <c r="L18" s="432"/>
      <c r="M18" s="433"/>
      <c r="N18" s="434"/>
      <c r="O18" s="435"/>
      <c r="P18" s="418"/>
    </row>
    <row r="19" spans="2:16" ht="15.75" x14ac:dyDescent="0.25">
      <c r="B19" s="418"/>
      <c r="C19" s="429" t="s">
        <v>285</v>
      </c>
      <c r="D19" s="430"/>
      <c r="E19" s="431"/>
      <c r="F19" s="431"/>
      <c r="G19" s="431"/>
      <c r="H19" s="431"/>
      <c r="I19" s="430"/>
      <c r="J19" s="430"/>
      <c r="K19" s="430"/>
      <c r="L19" s="431"/>
      <c r="M19" s="433"/>
      <c r="N19" s="431" t="s">
        <v>282</v>
      </c>
      <c r="O19" s="435"/>
      <c r="P19" s="418"/>
    </row>
    <row r="20" spans="2:16" ht="15.75" x14ac:dyDescent="0.25">
      <c r="B20" s="418"/>
      <c r="C20" s="429"/>
      <c r="D20" s="430"/>
      <c r="E20" s="432"/>
      <c r="F20" s="436" t="s">
        <v>286</v>
      </c>
      <c r="G20" s="430"/>
      <c r="H20" s="433" t="s">
        <v>183</v>
      </c>
      <c r="I20" s="430"/>
      <c r="J20" s="433" t="s">
        <v>287</v>
      </c>
      <c r="K20" s="430"/>
      <c r="L20" s="433" t="s">
        <v>288</v>
      </c>
      <c r="M20" s="430"/>
      <c r="N20" s="431" t="s">
        <v>309</v>
      </c>
      <c r="O20" s="435"/>
      <c r="P20" s="418"/>
    </row>
    <row r="21" spans="2:16" ht="15.75" x14ac:dyDescent="0.25">
      <c r="B21" s="418"/>
      <c r="C21" s="429"/>
      <c r="D21" s="430"/>
      <c r="E21" s="432"/>
      <c r="F21" s="431"/>
      <c r="G21" s="430"/>
      <c r="H21" s="433"/>
      <c r="I21" s="430"/>
      <c r="J21" s="433"/>
      <c r="K21" s="430"/>
      <c r="L21" s="433"/>
      <c r="M21" s="430"/>
      <c r="N21" s="431"/>
      <c r="O21" s="435"/>
      <c r="P21" s="418"/>
    </row>
    <row r="22" spans="2:16" ht="15.75" x14ac:dyDescent="0.25">
      <c r="B22" s="418"/>
      <c r="C22" s="429" t="s">
        <v>107</v>
      </c>
      <c r="D22" s="430"/>
      <c r="E22" s="432"/>
      <c r="F22" s="433">
        <v>0</v>
      </c>
      <c r="G22" s="430"/>
      <c r="H22" s="433">
        <v>1</v>
      </c>
      <c r="I22" s="430"/>
      <c r="J22" s="433">
        <v>2</v>
      </c>
      <c r="K22" s="430"/>
      <c r="L22" s="433">
        <v>3</v>
      </c>
      <c r="M22" s="430"/>
      <c r="N22" s="437"/>
      <c r="O22" s="435"/>
      <c r="P22" s="418"/>
    </row>
    <row r="23" spans="2:16" ht="15.75" x14ac:dyDescent="0.25">
      <c r="B23" s="418"/>
      <c r="C23" s="514" t="s">
        <v>289</v>
      </c>
      <c r="D23" s="515"/>
      <c r="E23" s="516"/>
      <c r="F23" s="517">
        <v>0</v>
      </c>
      <c r="G23" s="515"/>
      <c r="H23" s="517">
        <v>1</v>
      </c>
      <c r="I23" s="515"/>
      <c r="J23" s="517">
        <v>2</v>
      </c>
      <c r="K23" s="515"/>
      <c r="L23" s="517">
        <v>2</v>
      </c>
      <c r="M23" s="515"/>
      <c r="N23" s="518"/>
      <c r="O23" s="435"/>
      <c r="P23" s="418"/>
    </row>
    <row r="24" spans="2:16" ht="15.75" x14ac:dyDescent="0.25">
      <c r="B24" s="418"/>
      <c r="C24" s="429" t="s">
        <v>290</v>
      </c>
      <c r="D24" s="430"/>
      <c r="E24" s="431"/>
      <c r="F24" s="433">
        <v>0</v>
      </c>
      <c r="G24" s="430"/>
      <c r="H24" s="433">
        <v>1</v>
      </c>
      <c r="I24" s="430"/>
      <c r="J24" s="433">
        <v>2</v>
      </c>
      <c r="K24" s="430"/>
      <c r="L24" s="433">
        <v>3</v>
      </c>
      <c r="M24" s="430"/>
      <c r="N24" s="438"/>
      <c r="O24" s="435"/>
      <c r="P24" s="418"/>
    </row>
    <row r="25" spans="2:16" ht="15.75" x14ac:dyDescent="0.25">
      <c r="B25" s="418"/>
      <c r="C25" s="514" t="s">
        <v>291</v>
      </c>
      <c r="D25" s="515"/>
      <c r="E25" s="519"/>
      <c r="F25" s="517">
        <v>0</v>
      </c>
      <c r="G25" s="515"/>
      <c r="H25" s="517">
        <v>0</v>
      </c>
      <c r="I25" s="515"/>
      <c r="J25" s="517">
        <v>1</v>
      </c>
      <c r="K25" s="515"/>
      <c r="L25" s="517">
        <v>2</v>
      </c>
      <c r="M25" s="515"/>
      <c r="N25" s="518"/>
      <c r="O25" s="435"/>
      <c r="P25" s="418"/>
    </row>
    <row r="26" spans="2:16" ht="15.75" x14ac:dyDescent="0.25">
      <c r="B26" s="418"/>
      <c r="C26" s="439" t="s">
        <v>351</v>
      </c>
      <c r="D26" s="430"/>
      <c r="E26" s="432"/>
      <c r="F26" s="433">
        <v>0</v>
      </c>
      <c r="G26" s="430"/>
      <c r="H26" s="433">
        <v>1</v>
      </c>
      <c r="I26" s="430"/>
      <c r="J26" s="433">
        <v>2</v>
      </c>
      <c r="K26" s="430"/>
      <c r="L26" s="433">
        <v>3</v>
      </c>
      <c r="M26" s="430"/>
      <c r="N26" s="438"/>
      <c r="O26" s="435"/>
      <c r="P26" s="418"/>
    </row>
    <row r="27" spans="2:16" ht="15.75" x14ac:dyDescent="0.25">
      <c r="B27" s="418"/>
      <c r="C27" s="514" t="s">
        <v>108</v>
      </c>
      <c r="D27" s="515"/>
      <c r="E27" s="519"/>
      <c r="F27" s="520">
        <v>0</v>
      </c>
      <c r="G27" s="515"/>
      <c r="H27" s="520">
        <v>1</v>
      </c>
      <c r="I27" s="515"/>
      <c r="J27" s="520">
        <v>1</v>
      </c>
      <c r="K27" s="515"/>
      <c r="L27" s="520">
        <v>2</v>
      </c>
      <c r="M27" s="515"/>
      <c r="N27" s="518"/>
      <c r="O27" s="435"/>
      <c r="P27" s="418"/>
    </row>
    <row r="28" spans="2:16" ht="15.75" x14ac:dyDescent="0.25">
      <c r="B28" s="418"/>
      <c r="C28" s="429"/>
      <c r="D28" s="430"/>
      <c r="E28" s="436" t="s">
        <v>186</v>
      </c>
      <c r="F28" s="433">
        <f>SUM(F22:F27)</f>
        <v>0</v>
      </c>
      <c r="G28" s="430"/>
      <c r="H28" s="433">
        <f>SUM(H22:H27)</f>
        <v>5</v>
      </c>
      <c r="I28" s="430"/>
      <c r="J28" s="433">
        <f>SUM(J22:J27)</f>
        <v>10</v>
      </c>
      <c r="K28" s="430"/>
      <c r="L28" s="433">
        <f>SUM(L22:L27)</f>
        <v>15</v>
      </c>
      <c r="M28" s="430"/>
      <c r="N28" s="431"/>
      <c r="O28" s="435"/>
      <c r="P28" s="418"/>
    </row>
    <row r="29" spans="2:16" ht="15.75" x14ac:dyDescent="0.25">
      <c r="B29" s="418"/>
      <c r="C29" s="429"/>
      <c r="D29" s="430"/>
      <c r="E29" s="431"/>
      <c r="F29" s="431"/>
      <c r="G29" s="431"/>
      <c r="H29" s="430"/>
      <c r="I29" s="430"/>
      <c r="J29" s="431"/>
      <c r="K29" s="430"/>
      <c r="L29" s="431"/>
      <c r="M29" s="430"/>
      <c r="N29" s="431"/>
      <c r="O29" s="435"/>
      <c r="P29" s="418"/>
    </row>
    <row r="30" spans="2:16" ht="15.75" x14ac:dyDescent="0.25">
      <c r="B30" s="418"/>
      <c r="C30" s="439"/>
      <c r="D30" s="430"/>
      <c r="E30" s="431"/>
      <c r="F30" s="431"/>
      <c r="G30" s="431"/>
      <c r="H30" s="430"/>
      <c r="I30" s="430"/>
      <c r="J30" s="440" t="s">
        <v>292</v>
      </c>
      <c r="K30" s="430"/>
      <c r="L30" s="436" t="s">
        <v>293</v>
      </c>
      <c r="M30" s="441"/>
      <c r="N30" s="442">
        <f>SUM(N22:N27)</f>
        <v>0</v>
      </c>
      <c r="O30" s="435"/>
      <c r="P30" s="418"/>
    </row>
    <row r="31" spans="2:16" ht="16.5" thickBot="1" x14ac:dyDescent="0.3">
      <c r="B31" s="418"/>
      <c r="C31" s="443"/>
      <c r="D31" s="444"/>
      <c r="E31" s="445"/>
      <c r="F31" s="445"/>
      <c r="G31" s="445"/>
      <c r="H31" s="445"/>
      <c r="I31" s="444"/>
      <c r="J31" s="444"/>
      <c r="K31" s="444"/>
      <c r="L31" s="446"/>
      <c r="M31" s="447"/>
      <c r="N31" s="448"/>
      <c r="O31" s="449"/>
      <c r="P31" s="418"/>
    </row>
    <row r="32" spans="2:16" x14ac:dyDescent="0.2">
      <c r="B32" s="418"/>
      <c r="C32" s="418"/>
      <c r="D32" s="418"/>
      <c r="E32" s="418"/>
      <c r="F32" s="418"/>
      <c r="G32" s="418"/>
      <c r="H32" s="418"/>
      <c r="I32" s="450"/>
      <c r="J32" s="451"/>
      <c r="K32" s="418"/>
      <c r="L32" s="452"/>
      <c r="M32" s="453"/>
      <c r="N32" s="454"/>
      <c r="O32" s="454"/>
      <c r="P32" s="418"/>
    </row>
    <row r="33" spans="2:16" x14ac:dyDescent="0.2">
      <c r="B33" s="418"/>
      <c r="C33" s="418"/>
      <c r="D33" s="418"/>
      <c r="E33" s="418"/>
      <c r="F33" s="418"/>
      <c r="G33" s="418"/>
      <c r="H33" s="418"/>
      <c r="I33" s="418"/>
      <c r="J33" s="418"/>
      <c r="K33" s="418"/>
      <c r="L33" s="418"/>
      <c r="M33" s="422"/>
      <c r="N33" s="418"/>
      <c r="O33" s="418"/>
      <c r="P33" s="418"/>
    </row>
    <row r="34" spans="2:16" x14ac:dyDescent="0.2">
      <c r="B34" s="418"/>
      <c r="C34" s="418"/>
      <c r="D34" s="418"/>
      <c r="E34" s="418"/>
      <c r="F34" s="418"/>
      <c r="G34" s="418"/>
      <c r="H34" s="418"/>
      <c r="I34" s="418"/>
      <c r="J34" s="418"/>
      <c r="K34" s="418"/>
      <c r="L34" s="418"/>
      <c r="M34" s="422"/>
      <c r="N34" s="418"/>
      <c r="O34" s="421"/>
      <c r="P34" s="418"/>
    </row>
    <row r="35" spans="2:16" x14ac:dyDescent="0.2">
      <c r="B35" s="419" t="s">
        <v>294</v>
      </c>
      <c r="C35" s="419" t="s">
        <v>294</v>
      </c>
      <c r="D35" s="420"/>
      <c r="E35" s="420"/>
      <c r="F35" s="420"/>
      <c r="G35" s="420"/>
      <c r="H35" s="420"/>
      <c r="I35" s="420"/>
      <c r="J35" s="420"/>
      <c r="K35" s="418"/>
      <c r="L35" s="418"/>
      <c r="M35" s="418"/>
      <c r="N35" s="418"/>
      <c r="O35" s="418"/>
      <c r="P35" s="418"/>
    </row>
    <row r="36" spans="2:16" x14ac:dyDescent="0.2">
      <c r="B36" s="419"/>
      <c r="C36" s="419"/>
      <c r="D36" s="420"/>
      <c r="E36" s="420"/>
      <c r="F36" s="420"/>
      <c r="G36" s="420"/>
      <c r="H36" s="420"/>
      <c r="I36" s="420"/>
      <c r="J36" s="420"/>
      <c r="K36" s="418"/>
      <c r="L36" s="418"/>
      <c r="M36" s="422"/>
      <c r="N36" s="418"/>
      <c r="O36" s="418"/>
      <c r="P36" s="418"/>
    </row>
    <row r="37" spans="2:16" ht="13.5" thickBot="1" x14ac:dyDescent="0.25">
      <c r="B37" s="418"/>
      <c r="C37" s="418"/>
      <c r="D37" s="418"/>
      <c r="E37" s="418"/>
      <c r="F37" s="418"/>
      <c r="G37" s="418"/>
      <c r="H37" s="418"/>
      <c r="I37" s="418"/>
      <c r="J37" s="418"/>
      <c r="K37" s="418"/>
      <c r="L37" s="418"/>
      <c r="M37" s="422"/>
      <c r="N37" s="418"/>
      <c r="O37" s="418"/>
      <c r="P37" s="418"/>
    </row>
    <row r="38" spans="2:16" ht="15.75" x14ac:dyDescent="0.25">
      <c r="B38" s="418"/>
      <c r="C38" s="455" t="s">
        <v>283</v>
      </c>
      <c r="D38" s="456"/>
      <c r="E38" s="457"/>
      <c r="F38" s="457"/>
      <c r="G38" s="458" t="s">
        <v>295</v>
      </c>
      <c r="H38" s="457"/>
      <c r="I38" s="457"/>
      <c r="J38" s="459"/>
      <c r="K38" s="459"/>
      <c r="L38" s="457"/>
      <c r="M38" s="458"/>
      <c r="N38" s="457"/>
      <c r="O38" s="460"/>
      <c r="P38" s="418"/>
    </row>
    <row r="39" spans="2:16" ht="15.75" x14ac:dyDescent="0.25">
      <c r="B39" s="418"/>
      <c r="C39" s="461" t="s">
        <v>296</v>
      </c>
      <c r="D39" s="453"/>
      <c r="E39" s="431"/>
      <c r="F39" s="433"/>
      <c r="G39" s="433"/>
      <c r="H39" s="433"/>
      <c r="I39" s="432"/>
      <c r="J39" s="430"/>
      <c r="K39" s="430"/>
      <c r="L39" s="431"/>
      <c r="M39" s="433"/>
      <c r="N39" s="433" t="s">
        <v>310</v>
      </c>
      <c r="O39" s="462"/>
      <c r="P39" s="418"/>
    </row>
    <row r="40" spans="2:16" ht="15.75" x14ac:dyDescent="0.25">
      <c r="B40" s="418"/>
      <c r="C40" s="461"/>
      <c r="D40" s="453"/>
      <c r="E40" s="432"/>
      <c r="F40" s="436" t="s">
        <v>286</v>
      </c>
      <c r="G40" s="430"/>
      <c r="H40" s="433" t="s">
        <v>183</v>
      </c>
      <c r="I40" s="430"/>
      <c r="J40" s="433" t="s">
        <v>287</v>
      </c>
      <c r="K40" s="430"/>
      <c r="L40" s="433" t="s">
        <v>288</v>
      </c>
      <c r="M40" s="433"/>
      <c r="N40" s="431" t="s">
        <v>179</v>
      </c>
      <c r="O40" s="462"/>
      <c r="P40" s="418"/>
    </row>
    <row r="41" spans="2:16" ht="15.75" x14ac:dyDescent="0.25">
      <c r="B41" s="418"/>
      <c r="C41" s="461"/>
      <c r="D41" s="453"/>
      <c r="E41" s="432"/>
      <c r="F41" s="431"/>
      <c r="G41" s="430"/>
      <c r="H41" s="433"/>
      <c r="I41" s="430"/>
      <c r="J41" s="433"/>
      <c r="K41" s="430"/>
      <c r="L41" s="430"/>
      <c r="M41" s="433"/>
      <c r="N41" s="431"/>
      <c r="O41" s="462"/>
      <c r="P41" s="418"/>
    </row>
    <row r="42" spans="2:16" ht="15.75" x14ac:dyDescent="0.25">
      <c r="B42" s="418"/>
      <c r="C42" s="461" t="s">
        <v>109</v>
      </c>
      <c r="D42" s="453"/>
      <c r="E42" s="432"/>
      <c r="F42" s="433">
        <v>0</v>
      </c>
      <c r="G42" s="430"/>
      <c r="H42" s="433">
        <v>1</v>
      </c>
      <c r="I42" s="430"/>
      <c r="J42" s="433">
        <v>2</v>
      </c>
      <c r="K42" s="430"/>
      <c r="L42" s="433">
        <v>3</v>
      </c>
      <c r="M42" s="433"/>
      <c r="N42" s="437"/>
      <c r="O42" s="462"/>
      <c r="P42" s="418"/>
    </row>
    <row r="43" spans="2:16" ht="15.75" x14ac:dyDescent="0.25">
      <c r="B43" s="418"/>
      <c r="C43" s="521" t="s">
        <v>291</v>
      </c>
      <c r="D43" s="522"/>
      <c r="E43" s="516"/>
      <c r="F43" s="517">
        <v>0</v>
      </c>
      <c r="G43" s="515"/>
      <c r="H43" s="517">
        <v>0</v>
      </c>
      <c r="I43" s="515"/>
      <c r="J43" s="517">
        <v>1</v>
      </c>
      <c r="K43" s="515"/>
      <c r="L43" s="517">
        <v>1</v>
      </c>
      <c r="M43" s="517"/>
      <c r="N43" s="518"/>
      <c r="O43" s="462"/>
      <c r="P43" s="418"/>
    </row>
    <row r="44" spans="2:16" ht="15.75" x14ac:dyDescent="0.25">
      <c r="B44" s="418"/>
      <c r="C44" s="461" t="s">
        <v>297</v>
      </c>
      <c r="D44" s="453"/>
      <c r="E44" s="431"/>
      <c r="F44" s="433">
        <v>0</v>
      </c>
      <c r="G44" s="430"/>
      <c r="H44" s="433">
        <v>1</v>
      </c>
      <c r="I44" s="430"/>
      <c r="J44" s="433">
        <v>2</v>
      </c>
      <c r="K44" s="430"/>
      <c r="L44" s="433">
        <v>3</v>
      </c>
      <c r="M44" s="433"/>
      <c r="N44" s="438"/>
      <c r="O44" s="462"/>
      <c r="P44" s="418"/>
    </row>
    <row r="45" spans="2:16" ht="15.75" x14ac:dyDescent="0.25">
      <c r="B45" s="418"/>
      <c r="C45" s="521" t="s">
        <v>298</v>
      </c>
      <c r="D45" s="522"/>
      <c r="E45" s="516"/>
      <c r="F45" s="517">
        <v>0</v>
      </c>
      <c r="G45" s="515"/>
      <c r="H45" s="517">
        <v>1</v>
      </c>
      <c r="I45" s="515"/>
      <c r="J45" s="517">
        <v>1</v>
      </c>
      <c r="K45" s="515"/>
      <c r="L45" s="517">
        <v>2</v>
      </c>
      <c r="M45" s="517"/>
      <c r="N45" s="518"/>
      <c r="O45" s="462"/>
      <c r="P45" s="418"/>
    </row>
    <row r="46" spans="2:16" ht="15.75" x14ac:dyDescent="0.25">
      <c r="B46" s="418"/>
      <c r="C46" s="461" t="s">
        <v>299</v>
      </c>
      <c r="D46" s="453"/>
      <c r="E46" s="432"/>
      <c r="F46" s="433">
        <v>0</v>
      </c>
      <c r="G46" s="430"/>
      <c r="H46" s="433">
        <v>1</v>
      </c>
      <c r="I46" s="430"/>
      <c r="J46" s="433">
        <v>2</v>
      </c>
      <c r="K46" s="430"/>
      <c r="L46" s="433">
        <v>3</v>
      </c>
      <c r="M46" s="433"/>
      <c r="N46" s="438"/>
      <c r="O46" s="462"/>
      <c r="P46" s="418"/>
    </row>
    <row r="47" spans="2:16" ht="15.75" x14ac:dyDescent="0.25">
      <c r="B47" s="418"/>
      <c r="C47" s="521" t="s">
        <v>108</v>
      </c>
      <c r="D47" s="522"/>
      <c r="E47" s="516"/>
      <c r="F47" s="517">
        <v>0</v>
      </c>
      <c r="G47" s="515"/>
      <c r="H47" s="517">
        <v>1</v>
      </c>
      <c r="I47" s="515"/>
      <c r="J47" s="517">
        <v>1</v>
      </c>
      <c r="K47" s="515"/>
      <c r="L47" s="517">
        <v>2</v>
      </c>
      <c r="M47" s="517"/>
      <c r="N47" s="518"/>
      <c r="O47" s="462"/>
      <c r="P47" s="418"/>
    </row>
    <row r="48" spans="2:16" ht="15.75" x14ac:dyDescent="0.25">
      <c r="B48" s="418"/>
      <c r="C48" s="461" t="s">
        <v>300</v>
      </c>
      <c r="D48" s="453"/>
      <c r="E48" s="431"/>
      <c r="F48" s="463">
        <v>0</v>
      </c>
      <c r="G48" s="430"/>
      <c r="H48" s="463">
        <v>0</v>
      </c>
      <c r="I48" s="430"/>
      <c r="J48" s="463">
        <v>1</v>
      </c>
      <c r="K48" s="430"/>
      <c r="L48" s="463">
        <v>1</v>
      </c>
      <c r="M48" s="433"/>
      <c r="N48" s="438"/>
      <c r="O48" s="462"/>
      <c r="P48" s="418"/>
    </row>
    <row r="49" spans="2:16" ht="15.75" x14ac:dyDescent="0.25">
      <c r="B49" s="418"/>
      <c r="C49" s="461"/>
      <c r="D49" s="453"/>
      <c r="E49" s="431"/>
      <c r="F49" s="433">
        <f>SUM(F42:F48)</f>
        <v>0</v>
      </c>
      <c r="G49" s="430"/>
      <c r="H49" s="433">
        <f>SUM(H42:H48)</f>
        <v>5</v>
      </c>
      <c r="I49" s="430"/>
      <c r="J49" s="433">
        <f>SUM(J42:J48)</f>
        <v>10</v>
      </c>
      <c r="K49" s="430"/>
      <c r="L49" s="433">
        <f>SUM(L42:L48)</f>
        <v>15</v>
      </c>
      <c r="M49" s="433"/>
      <c r="N49" s="431"/>
      <c r="O49" s="462"/>
      <c r="P49" s="418"/>
    </row>
    <row r="50" spans="2:16" ht="15.75" x14ac:dyDescent="0.25">
      <c r="B50" s="418" t="s">
        <v>14</v>
      </c>
      <c r="C50" s="464"/>
      <c r="D50" s="453"/>
      <c r="E50" s="431"/>
      <c r="F50" s="431"/>
      <c r="G50" s="430"/>
      <c r="H50" s="421"/>
      <c r="I50" s="421"/>
      <c r="J50" s="440" t="s">
        <v>301</v>
      </c>
      <c r="K50" s="430"/>
      <c r="L50" s="436" t="s">
        <v>293</v>
      </c>
      <c r="M50" s="433"/>
      <c r="N50" s="442">
        <f>SUM(N42:N48)</f>
        <v>0</v>
      </c>
      <c r="O50" s="462"/>
      <c r="P50" s="418"/>
    </row>
    <row r="51" spans="2:16" ht="16.5" thickBot="1" x14ac:dyDescent="0.3">
      <c r="B51" s="418"/>
      <c r="C51" s="465"/>
      <c r="D51" s="466"/>
      <c r="E51" s="467"/>
      <c r="F51" s="467"/>
      <c r="G51" s="467"/>
      <c r="H51" s="467"/>
      <c r="I51" s="468"/>
      <c r="J51" s="469"/>
      <c r="K51" s="469"/>
      <c r="L51" s="467"/>
      <c r="M51" s="470"/>
      <c r="N51" s="467"/>
      <c r="O51" s="471"/>
      <c r="P51" s="418"/>
    </row>
    <row r="52" spans="2:16" x14ac:dyDescent="0.2">
      <c r="B52" s="421"/>
      <c r="C52" s="421"/>
      <c r="D52" s="421"/>
      <c r="E52" s="421"/>
      <c r="F52" s="421"/>
      <c r="G52" s="421"/>
      <c r="H52" s="421"/>
      <c r="I52" s="421"/>
      <c r="J52" s="421"/>
      <c r="K52" s="418"/>
      <c r="L52" s="422"/>
      <c r="M52" s="418"/>
      <c r="N52" s="418"/>
      <c r="O52" s="418"/>
      <c r="P52" s="418"/>
    </row>
    <row r="53" spans="2:16" x14ac:dyDescent="0.2">
      <c r="B53" s="421"/>
      <c r="C53" s="421"/>
      <c r="D53" s="421"/>
      <c r="E53" s="421"/>
      <c r="F53" s="421"/>
      <c r="G53" s="421"/>
      <c r="H53" s="421"/>
      <c r="I53" s="421"/>
      <c r="J53" s="421"/>
      <c r="K53" s="418"/>
      <c r="L53" s="422"/>
      <c r="M53" s="418"/>
      <c r="N53" s="418"/>
      <c r="O53" s="418"/>
      <c r="P53" s="418"/>
    </row>
    <row r="54" spans="2:16" ht="13.5" thickBot="1" x14ac:dyDescent="0.25">
      <c r="B54" s="421"/>
      <c r="C54" s="421"/>
      <c r="D54" s="421"/>
      <c r="E54" s="421"/>
      <c r="F54" s="421"/>
      <c r="G54" s="421"/>
      <c r="H54" s="421"/>
      <c r="I54" s="421"/>
      <c r="J54" s="421"/>
      <c r="K54" s="418"/>
      <c r="L54" s="422"/>
      <c r="M54" s="418"/>
      <c r="N54" s="418"/>
      <c r="O54" s="418"/>
      <c r="P54" s="418"/>
    </row>
    <row r="55" spans="2:16" ht="13.5" thickBot="1" x14ac:dyDescent="0.25">
      <c r="B55" s="421"/>
      <c r="C55" s="421"/>
      <c r="D55" s="421"/>
      <c r="E55" s="421"/>
      <c r="F55" s="421"/>
      <c r="G55" s="421"/>
      <c r="H55" s="421"/>
      <c r="I55" s="450" t="s">
        <v>302</v>
      </c>
      <c r="J55" s="472">
        <f>IF(Structure!$E$7&gt;15,15,Structure!$E$7)</f>
        <v>0</v>
      </c>
      <c r="K55" s="452"/>
      <c r="L55" s="473"/>
      <c r="M55" s="418"/>
      <c r="N55" s="418"/>
      <c r="O55" s="418"/>
      <c r="P55" s="418"/>
    </row>
    <row r="56" spans="2:16" x14ac:dyDescent="0.2">
      <c r="B56" s="421"/>
      <c r="C56" s="452"/>
      <c r="D56" s="453"/>
      <c r="E56" s="452"/>
      <c r="F56" s="452"/>
      <c r="G56" s="452"/>
      <c r="H56" s="452"/>
      <c r="I56" s="474"/>
      <c r="J56" s="475"/>
      <c r="K56" s="452"/>
      <c r="L56" s="473"/>
      <c r="M56" s="476"/>
      <c r="N56" s="475"/>
      <c r="O56" s="477"/>
      <c r="P56" s="418"/>
    </row>
  </sheetData>
  <sheetProtection algorithmName="SHA-512" hashValue="GX04VEtIJDDEt/rIRmEVf5UG4DdTtDzRYXNfUap+bLtz5jkW4YcjzBbrUWnHzf7d9Xiq5r9+ue1itTgW3IMSvw==" saltValue="DphoxOWhhC0cmDF35RbXZw==" spinCount="100000" sheet="1" objects="1" scenarios="1" selectLockedCells="1"/>
  <mergeCells count="3">
    <mergeCell ref="B5:D5"/>
    <mergeCell ref="I4:K8"/>
    <mergeCell ref="N13:O1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O245"/>
  <sheetViews>
    <sheetView showGridLines="0" zoomScaleNormal="100" workbookViewId="0">
      <selection activeCell="M15" sqref="M15"/>
    </sheetView>
  </sheetViews>
  <sheetFormatPr defaultColWidth="7.7109375" defaultRowHeight="12.75" x14ac:dyDescent="0.2"/>
  <cols>
    <col min="1" max="16384" width="7.7109375" style="212"/>
  </cols>
  <sheetData>
    <row r="2" spans="2:17" ht="13.5" thickBot="1" x14ac:dyDescent="0.25"/>
    <row r="3" spans="2:17" x14ac:dyDescent="0.2">
      <c r="B3" s="223"/>
      <c r="C3" s="138"/>
      <c r="D3" s="138"/>
      <c r="E3" s="138"/>
      <c r="F3" s="138"/>
      <c r="G3" s="138"/>
      <c r="H3" s="138"/>
      <c r="I3" s="138"/>
      <c r="J3" s="138"/>
      <c r="K3" s="138"/>
      <c r="L3" s="138"/>
      <c r="M3" s="138"/>
      <c r="N3" s="138"/>
      <c r="O3" s="138"/>
      <c r="P3" s="209"/>
    </row>
    <row r="4" spans="2:17" x14ac:dyDescent="0.2">
      <c r="B4" s="224"/>
      <c r="C4" s="576" t="s">
        <v>184</v>
      </c>
      <c r="D4" s="576"/>
      <c r="E4" s="576"/>
      <c r="F4" s="229" t="s">
        <v>264</v>
      </c>
      <c r="G4" s="82"/>
      <c r="H4" s="84"/>
      <c r="I4" s="84"/>
      <c r="J4" s="84"/>
      <c r="K4" s="29"/>
      <c r="L4" s="29"/>
      <c r="M4" s="29"/>
      <c r="N4" s="84"/>
      <c r="O4" s="84"/>
      <c r="P4" s="210"/>
    </row>
    <row r="5" spans="2:17" x14ac:dyDescent="0.2">
      <c r="B5" s="224"/>
      <c r="C5" s="84"/>
      <c r="D5" s="84"/>
      <c r="E5" s="228"/>
      <c r="F5" s="106"/>
      <c r="G5" s="82"/>
      <c r="H5" s="106"/>
      <c r="I5" s="84"/>
      <c r="J5" s="84"/>
      <c r="K5" s="29"/>
      <c r="L5" s="29"/>
      <c r="M5" s="29"/>
      <c r="N5" s="211"/>
      <c r="O5" s="84"/>
      <c r="P5" s="210"/>
    </row>
    <row r="6" spans="2:17" x14ac:dyDescent="0.2">
      <c r="B6" s="224"/>
      <c r="C6" s="84"/>
      <c r="D6" s="88"/>
      <c r="E6" s="84"/>
      <c r="F6" s="575" t="s">
        <v>276</v>
      </c>
      <c r="G6" s="575"/>
      <c r="H6" s="575"/>
      <c r="I6" s="84"/>
      <c r="J6" s="84"/>
      <c r="K6" s="84"/>
      <c r="L6" s="84"/>
      <c r="M6" s="84"/>
      <c r="N6" s="84"/>
      <c r="O6" s="84"/>
      <c r="P6" s="141"/>
    </row>
    <row r="7" spans="2:17" x14ac:dyDescent="0.2">
      <c r="B7" s="224"/>
      <c r="C7" s="84"/>
      <c r="D7" s="88"/>
      <c r="E7" s="84"/>
      <c r="F7" s="81"/>
      <c r="G7" s="81"/>
      <c r="H7" s="54"/>
      <c r="I7" s="84"/>
      <c r="J7" s="84"/>
      <c r="K7" s="302" t="s">
        <v>72</v>
      </c>
      <c r="L7" s="76" t="str">
        <f>H84</f>
        <v/>
      </c>
      <c r="M7" s="84"/>
      <c r="N7" s="84"/>
      <c r="O7" s="84"/>
      <c r="P7" s="141"/>
    </row>
    <row r="8" spans="2:17" x14ac:dyDescent="0.2">
      <c r="B8" s="224"/>
      <c r="C8" s="84"/>
      <c r="D8" s="29"/>
      <c r="E8" s="29"/>
      <c r="F8" s="191" t="s">
        <v>60</v>
      </c>
      <c r="G8" s="62" t="s">
        <v>61</v>
      </c>
      <c r="H8" s="62" t="s">
        <v>62</v>
      </c>
      <c r="I8" s="205"/>
      <c r="J8" s="205"/>
      <c r="K8" s="205"/>
      <c r="L8" s="205"/>
      <c r="M8" s="205"/>
      <c r="N8" s="84"/>
      <c r="O8" s="84"/>
      <c r="P8" s="141"/>
    </row>
    <row r="9" spans="2:17" x14ac:dyDescent="0.2">
      <c r="B9" s="224"/>
      <c r="C9" s="84"/>
      <c r="D9" s="105"/>
      <c r="E9" s="84"/>
      <c r="F9" s="84"/>
      <c r="G9" s="84"/>
      <c r="H9" s="84"/>
      <c r="I9" s="84"/>
      <c r="J9" s="84"/>
      <c r="K9" s="84"/>
      <c r="L9" s="84"/>
      <c r="M9" s="577" t="s">
        <v>326</v>
      </c>
      <c r="N9" s="577"/>
      <c r="O9" s="577"/>
      <c r="P9" s="210"/>
    </row>
    <row r="10" spans="2:17" x14ac:dyDescent="0.2">
      <c r="B10" s="224"/>
      <c r="C10" s="84"/>
      <c r="D10" s="584" t="s">
        <v>252</v>
      </c>
      <c r="E10" s="584"/>
      <c r="F10" s="156"/>
      <c r="G10" s="584" t="s">
        <v>159</v>
      </c>
      <c r="H10" s="584"/>
      <c r="I10" s="584"/>
      <c r="J10" s="192"/>
      <c r="K10" s="84"/>
      <c r="L10" s="217"/>
      <c r="M10" s="584" t="s">
        <v>327</v>
      </c>
      <c r="N10" s="584"/>
      <c r="O10" s="584"/>
      <c r="P10" s="218"/>
    </row>
    <row r="11" spans="2:17" x14ac:dyDescent="0.2">
      <c r="B11" s="224"/>
      <c r="C11" s="84"/>
      <c r="D11" s="99">
        <f>AA54</f>
        <v>0</v>
      </c>
      <c r="E11" s="63" t="s">
        <v>254</v>
      </c>
      <c r="F11" s="84"/>
      <c r="G11" s="84"/>
      <c r="H11" s="76">
        <f>Geometry!R141</f>
        <v>0</v>
      </c>
      <c r="I11" s="63" t="s">
        <v>255</v>
      </c>
      <c r="J11" s="63"/>
      <c r="K11" s="84"/>
      <c r="L11" s="84"/>
      <c r="M11" s="29"/>
      <c r="N11" s="99">
        <f>Geometry!Y149</f>
        <v>115</v>
      </c>
      <c r="O11" s="63" t="s">
        <v>145</v>
      </c>
      <c r="P11" s="210"/>
    </row>
    <row r="12" spans="2:17" x14ac:dyDescent="0.2">
      <c r="B12" s="224"/>
      <c r="C12" s="84"/>
      <c r="D12" s="77"/>
      <c r="E12" s="63"/>
      <c r="F12" s="84"/>
      <c r="G12" s="84"/>
      <c r="H12" s="193"/>
      <c r="I12" s="63"/>
      <c r="J12" s="63"/>
      <c r="K12" s="84"/>
      <c r="L12" s="84"/>
      <c r="M12" s="111"/>
      <c r="N12" s="62"/>
      <c r="O12" s="84"/>
      <c r="P12" s="210"/>
    </row>
    <row r="13" spans="2:17" x14ac:dyDescent="0.2">
      <c r="B13" s="224"/>
      <c r="C13" s="84"/>
      <c r="D13" s="111" t="s">
        <v>179</v>
      </c>
      <c r="E13" s="29"/>
      <c r="F13" s="84"/>
      <c r="G13" s="84"/>
      <c r="H13" s="84"/>
      <c r="I13" s="84"/>
      <c r="J13" s="84"/>
      <c r="K13" s="219" t="s">
        <v>324</v>
      </c>
      <c r="L13" s="219"/>
      <c r="M13" s="84"/>
      <c r="N13" s="111"/>
      <c r="O13" s="191"/>
      <c r="P13" s="141"/>
    </row>
    <row r="14" spans="2:17" ht="12.75" customHeight="1" x14ac:dyDescent="0.2">
      <c r="B14" s="224"/>
      <c r="C14" s="84"/>
      <c r="D14" s="80">
        <f>IF(Geometry!O73*Geometry!F29&gt;8,8,Geometry!O73*Geometry!F29)</f>
        <v>0</v>
      </c>
      <c r="E14" s="29"/>
      <c r="F14" s="84"/>
      <c r="G14" s="84"/>
      <c r="H14" s="62"/>
      <c r="I14" s="84"/>
      <c r="J14" s="29"/>
      <c r="K14" s="586">
        <f>IF(Geometry!O134*AVERAGE(N14:N15)&gt;8,8,Geometry!O134*AVERAGE(N14:N15))</f>
        <v>0</v>
      </c>
      <c r="L14" s="587"/>
      <c r="M14" s="108"/>
      <c r="N14" s="157">
        <f>IF(P29&lt;0.005,0.00001,P29)</f>
        <v>1.0000000000000001E-5</v>
      </c>
      <c r="O14" s="190"/>
      <c r="P14" s="141"/>
    </row>
    <row r="15" spans="2:17" x14ac:dyDescent="0.2">
      <c r="B15" s="224"/>
      <c r="C15" s="221"/>
      <c r="D15" s="220" t="s">
        <v>325</v>
      </c>
      <c r="E15" s="29"/>
      <c r="F15" s="84"/>
      <c r="G15" s="84"/>
      <c r="H15" s="62"/>
      <c r="I15" s="84"/>
      <c r="J15" s="188"/>
      <c r="K15" s="588" t="s">
        <v>325</v>
      </c>
      <c r="L15" s="588"/>
      <c r="M15" s="108"/>
      <c r="N15" s="157">
        <f>IF(K29&lt;0.005,0.00001,K29)</f>
        <v>1.0000000000000001E-5</v>
      </c>
      <c r="O15" s="190"/>
      <c r="P15" s="141"/>
    </row>
    <row r="16" spans="2:17" x14ac:dyDescent="0.2">
      <c r="B16" s="224"/>
      <c r="C16" s="578" t="s">
        <v>175</v>
      </c>
      <c r="D16" s="153"/>
      <c r="E16" s="190"/>
      <c r="F16" s="585" t="s">
        <v>266</v>
      </c>
      <c r="G16" s="84"/>
      <c r="H16" s="62"/>
      <c r="I16" s="84"/>
      <c r="J16" s="107"/>
      <c r="K16" s="585" t="s">
        <v>266</v>
      </c>
      <c r="L16" s="84"/>
      <c r="M16" s="107"/>
      <c r="N16" s="5"/>
      <c r="O16" s="190"/>
      <c r="P16" s="583" t="s">
        <v>308</v>
      </c>
      <c r="Q16" s="213"/>
    </row>
    <row r="17" spans="2:18" x14ac:dyDescent="0.2">
      <c r="B17" s="162" t="s">
        <v>328</v>
      </c>
      <c r="C17" s="578"/>
      <c r="D17" s="63" t="s">
        <v>133</v>
      </c>
      <c r="E17" s="65" t="s">
        <v>256</v>
      </c>
      <c r="F17" s="585"/>
      <c r="G17" s="62"/>
      <c r="H17" s="63" t="s">
        <v>318</v>
      </c>
      <c r="I17" s="192" t="s">
        <v>160</v>
      </c>
      <c r="J17" s="82" t="s">
        <v>256</v>
      </c>
      <c r="K17" s="585"/>
      <c r="L17" s="62"/>
      <c r="M17" s="193" t="s">
        <v>166</v>
      </c>
      <c r="N17" s="193" t="s">
        <v>166</v>
      </c>
      <c r="O17" s="65" t="s">
        <v>256</v>
      </c>
      <c r="P17" s="583"/>
      <c r="Q17" s="180"/>
    </row>
    <row r="18" spans="2:18" ht="14.25" customHeight="1" x14ac:dyDescent="0.2">
      <c r="B18" s="226" t="s">
        <v>329</v>
      </c>
      <c r="C18" s="578"/>
      <c r="D18" s="158" t="s">
        <v>144</v>
      </c>
      <c r="E18" s="129" t="s">
        <v>144</v>
      </c>
      <c r="F18" s="64" t="s">
        <v>257</v>
      </c>
      <c r="G18" s="64"/>
      <c r="H18" s="159" t="s">
        <v>311</v>
      </c>
      <c r="I18" s="160" t="s">
        <v>193</v>
      </c>
      <c r="J18" s="161" t="s">
        <v>160</v>
      </c>
      <c r="K18" s="64" t="s">
        <v>257</v>
      </c>
      <c r="L18" s="64"/>
      <c r="M18" s="136" t="s">
        <v>161</v>
      </c>
      <c r="N18" s="111" t="s">
        <v>193</v>
      </c>
      <c r="O18" s="130" t="s">
        <v>258</v>
      </c>
      <c r="P18" s="183" t="s">
        <v>257</v>
      </c>
      <c r="Q18" s="180"/>
    </row>
    <row r="19" spans="2:18" x14ac:dyDescent="0.2">
      <c r="B19" s="227" t="str">
        <f>IF(D19&gt;=E19,"",Geometry!S81)</f>
        <v/>
      </c>
      <c r="C19" s="204">
        <v>1</v>
      </c>
      <c r="D19" s="54"/>
      <c r="E19" s="54"/>
      <c r="F19" s="67" t="str">
        <f>IF(AND(E19&gt;=D19,D19&lt;Geometry!D11,E19&lt;&gt;0),G19,"")</f>
        <v/>
      </c>
      <c r="G19" s="206">
        <f>IF($D$11=0,0,IF(E19&gt;Geometry!$D$11,1,(E19-D19)/(Geometry!$D$11-D19)))</f>
        <v>0</v>
      </c>
      <c r="H19" s="54"/>
      <c r="I19" s="54"/>
      <c r="J19" s="54"/>
      <c r="K19" s="67" t="str">
        <f>IF(AND(J19&lt;=H19,H19&gt;Geometry!H11,J19&lt;&gt;0),L19,"")</f>
        <v/>
      </c>
      <c r="L19" s="206" t="e">
        <f>IF(J19&lt;Geometry!H11,1,(H19-J19)/(H19-Geometry!H11)*(I19/I29))</f>
        <v>#DIV/0!</v>
      </c>
      <c r="M19" s="54"/>
      <c r="N19" s="54"/>
      <c r="O19" s="54"/>
      <c r="P19" s="163" t="str">
        <f>IF(AND(O19&gt;=M19,M19&lt;Geometry!N11,O19&lt;&gt;0),Q19,"")</f>
        <v/>
      </c>
      <c r="Q19" s="215" t="e">
        <f>IF(O19&gt;Geometry!N11,1,(O19-M19)/(Geometry!N11-M19)*(N19/N29))</f>
        <v>#DIV/0!</v>
      </c>
    </row>
    <row r="20" spans="2:18" x14ac:dyDescent="0.2">
      <c r="B20" s="227" t="str">
        <f>IF(D20&gt;=E20,"",Geometry!S82)</f>
        <v/>
      </c>
      <c r="C20" s="204">
        <v>2</v>
      </c>
      <c r="D20" s="54"/>
      <c r="E20" s="54"/>
      <c r="F20" s="67" t="str">
        <f>IF(AND(E20&gt;=D20,D20&lt;Geometry!D11,E20&lt;&gt;0),G20,"")</f>
        <v/>
      </c>
      <c r="G20" s="206">
        <f>IF($D$11=0,0,IF(E20&gt;Geometry!$D$11,1,(E20-D20)/(Geometry!$D$11-D20)))</f>
        <v>0</v>
      </c>
      <c r="H20" s="54"/>
      <c r="I20" s="54"/>
      <c r="J20" s="54"/>
      <c r="K20" s="67" t="str">
        <f>IF(AND(J20&lt;=H20,H20&gt;Geometry!H11,J20&lt;&gt;0),L20,"")</f>
        <v/>
      </c>
      <c r="L20" s="206" t="e">
        <f>IF(J20&lt;Geometry!H11,1,(H20-J20)/(H20-Geometry!H11)*(I20/I29))</f>
        <v>#DIV/0!</v>
      </c>
      <c r="M20" s="54"/>
      <c r="N20" s="54"/>
      <c r="O20" s="54"/>
      <c r="P20" s="164" t="str">
        <f>IF(AND(O20&gt;=M20,M20&lt;Geometry!N11,O20&lt;&gt;0),Q20,"")</f>
        <v/>
      </c>
      <c r="Q20" s="215" t="e">
        <f>IF(O20&gt;Geometry!N11,1,(O20-M20)/(Geometry!N11-M20)*(N20/N29))</f>
        <v>#DIV/0!</v>
      </c>
    </row>
    <row r="21" spans="2:18" x14ac:dyDescent="0.2">
      <c r="B21" s="227" t="str">
        <f>IF(D21&gt;=E21,"",Geometry!S83)</f>
        <v/>
      </c>
      <c r="C21" s="204">
        <v>3</v>
      </c>
      <c r="D21" s="54"/>
      <c r="E21" s="54"/>
      <c r="F21" s="67" t="str">
        <f>IF(AND(E21&gt;=D21,D21&lt;Geometry!D11,E21&lt;&gt;0),G21,"")</f>
        <v/>
      </c>
      <c r="G21" s="206">
        <f>IF($D$11=0,0,IF(E21&gt;Geometry!$D$11,1,(E21-D21)/(Geometry!$D$11-D21)))</f>
        <v>0</v>
      </c>
      <c r="H21" s="54"/>
      <c r="I21" s="54"/>
      <c r="J21" s="54"/>
      <c r="K21" s="67" t="str">
        <f>IF(AND(J21&lt;=H21,H21&gt;Geometry!H11,J21&lt;&gt;0),L21,"")</f>
        <v/>
      </c>
      <c r="L21" s="206" t="e">
        <f>IF(J21&lt;Geometry!H11,1,(H21-J21)/(H21-Geometry!H11)*(I21/I29))</f>
        <v>#DIV/0!</v>
      </c>
      <c r="M21" s="54"/>
      <c r="N21" s="54"/>
      <c r="O21" s="54"/>
      <c r="P21" s="163" t="str">
        <f>IF(AND(O21&gt;=M21,M21&lt;Geometry!N11,O21&lt;&gt;0),Q21,"")</f>
        <v/>
      </c>
      <c r="Q21" s="215" t="e">
        <f>IF(O21&gt;Geometry!N11,1,(O21-M21)/(Geometry!N11-M21)*(N21/N29))</f>
        <v>#DIV/0!</v>
      </c>
    </row>
    <row r="22" spans="2:18" x14ac:dyDescent="0.2">
      <c r="B22" s="227" t="str">
        <f>IF(D22&gt;=E22,"",Geometry!S84)</f>
        <v/>
      </c>
      <c r="C22" s="204">
        <v>4</v>
      </c>
      <c r="D22" s="54"/>
      <c r="E22" s="54"/>
      <c r="F22" s="67" t="str">
        <f>IF(AND(E22&gt;=D22,D22&lt;Geometry!D11,E22&lt;&gt;0),G22,"")</f>
        <v/>
      </c>
      <c r="G22" s="206">
        <f>IF($D$11=0,0,IF(E22&gt;Geometry!$D$11,1,(E22-D22)/(Geometry!$D$11-D22)))</f>
        <v>0</v>
      </c>
      <c r="H22" s="54"/>
      <c r="I22" s="54"/>
      <c r="J22" s="54"/>
      <c r="K22" s="67" t="str">
        <f>IF(AND(J22&lt;=H22,H22&gt;Geometry!H11,J22&lt;&gt;0),L22,"")</f>
        <v/>
      </c>
      <c r="L22" s="206" t="e">
        <f>IF(J22&lt;Geometry!H11,1,(H22-J22)/(H22-Geometry!H11)*(I22/I29))</f>
        <v>#DIV/0!</v>
      </c>
      <c r="M22" s="54"/>
      <c r="N22" s="54"/>
      <c r="O22" s="54"/>
      <c r="P22" s="163" t="str">
        <f>IF(AND(O22&gt;=M22,M22&lt;Geometry!N11,O22&lt;&gt;0),Q22,"")</f>
        <v/>
      </c>
      <c r="Q22" s="215" t="e">
        <f>IF(O22&gt;Geometry!N11,1,(O22-M22)/(Geometry!N11-M22)*(N22/N29))</f>
        <v>#DIV/0!</v>
      </c>
    </row>
    <row r="23" spans="2:18" x14ac:dyDescent="0.2">
      <c r="B23" s="227" t="str">
        <f>IF(D23&gt;=E23,"",Geometry!S85)</f>
        <v/>
      </c>
      <c r="C23" s="204">
        <v>5</v>
      </c>
      <c r="D23" s="54"/>
      <c r="E23" s="54"/>
      <c r="F23" s="67" t="str">
        <f>IF(AND(E23&gt;=D23,D23&lt;Geometry!D11,E23&lt;&gt;0),G23,"")</f>
        <v/>
      </c>
      <c r="G23" s="206">
        <f>IF($D$11=0,0,IF(E23&gt;Geometry!$D$11,1,(E23-D23)/(Geometry!$D$11-D23)))</f>
        <v>0</v>
      </c>
      <c r="H23" s="54"/>
      <c r="I23" s="54"/>
      <c r="J23" s="54"/>
      <c r="K23" s="67" t="str">
        <f>IF(AND(J23&lt;=H23,H23&gt;Geometry!H11,J23&lt;&gt;0),L23,"")</f>
        <v/>
      </c>
      <c r="L23" s="206" t="e">
        <f>IF(J23&lt;Geometry!H11,1,(H23-J23)/(H23-Geometry!H11)*(I23/I29))</f>
        <v>#DIV/0!</v>
      </c>
      <c r="M23" s="54"/>
      <c r="N23" s="54"/>
      <c r="O23" s="54"/>
      <c r="P23" s="163" t="str">
        <f>IF(AND(O23&gt;=M23,M23&lt;Geometry!N11,O23&lt;&gt;0),Q23,"")</f>
        <v/>
      </c>
      <c r="Q23" s="215" t="e">
        <f>IF(O23&gt;Geometry!N11,1,(O23-M23)/(Geometry!N11-M23)*(N23/N29))</f>
        <v>#DIV/0!</v>
      </c>
    </row>
    <row r="24" spans="2:18" x14ac:dyDescent="0.2">
      <c r="B24" s="227" t="str">
        <f>IF(D24&gt;=E24,"",Geometry!S86)</f>
        <v/>
      </c>
      <c r="C24" s="204">
        <v>6</v>
      </c>
      <c r="D24" s="54"/>
      <c r="E24" s="54"/>
      <c r="F24" s="67" t="str">
        <f>IF(AND(E24&gt;=D24,D24&lt;Geometry!D11,E24&lt;&gt;0),G24,"")</f>
        <v/>
      </c>
      <c r="G24" s="206">
        <f>IF($D$11=0,0,IF(E24&gt;Geometry!$D$11,1,(E24-D24)/(Geometry!$D$11-D24)))</f>
        <v>0</v>
      </c>
      <c r="H24" s="54"/>
      <c r="I24" s="54"/>
      <c r="J24" s="54"/>
      <c r="K24" s="67" t="str">
        <f>IF(AND(J24&lt;=H24,H24&gt;Geometry!H11,J24&lt;&gt;0),L24,"")</f>
        <v/>
      </c>
      <c r="L24" s="206" t="e">
        <f>IF(J24&lt;Geometry!H11,1,(H24-J24)/(H24-Geometry!H11)*(I24/I29))</f>
        <v>#DIV/0!</v>
      </c>
      <c r="M24" s="54"/>
      <c r="N24" s="54"/>
      <c r="O24" s="54"/>
      <c r="P24" s="163" t="str">
        <f>IF(AND(O24&gt;=M24,M24&lt;Geometry!N11,O24&lt;&gt;0),Q24,"")</f>
        <v/>
      </c>
      <c r="Q24" s="215" t="e">
        <f>IF(O24&gt;Geometry!N11,1,(O24-M24)/(Geometry!N11-M24)*(N24/N29))</f>
        <v>#DIV/0!</v>
      </c>
    </row>
    <row r="25" spans="2:18" x14ac:dyDescent="0.2">
      <c r="B25" s="227" t="str">
        <f>IF(D25&gt;=E25,"",Geometry!S87)</f>
        <v/>
      </c>
      <c r="C25" s="204">
        <v>7</v>
      </c>
      <c r="D25" s="54"/>
      <c r="E25" s="54"/>
      <c r="F25" s="67" t="str">
        <f>IF(AND(E25&gt;=D25,D25&lt;Geometry!D11,E25&lt;&gt;0),G25,"")</f>
        <v/>
      </c>
      <c r="G25" s="206">
        <f>IF($D$11=0,0,IF(E25&gt;Geometry!$D$11,1,(E25-D25)/(Geometry!$D$11-D25)))</f>
        <v>0</v>
      </c>
      <c r="H25" s="54"/>
      <c r="I25" s="54"/>
      <c r="J25" s="54"/>
      <c r="K25" s="67" t="str">
        <f>IF(AND(J25&lt;=H25,H25&gt;Geometry!H11,J25&lt;&gt;0),L25,"")</f>
        <v/>
      </c>
      <c r="L25" s="206" t="e">
        <f>IF(J25&lt;Geometry!H11,1,(H25-J25)/(H25-Geometry!H11)*(I25/I29))</f>
        <v>#DIV/0!</v>
      </c>
      <c r="M25" s="54"/>
      <c r="N25" s="54"/>
      <c r="O25" s="54"/>
      <c r="P25" s="163" t="str">
        <f>IF(AND(O25&gt;=M25,M25&lt;Geometry!N11,O25&lt;&gt;0),Q25,"")</f>
        <v/>
      </c>
      <c r="Q25" s="215" t="e">
        <f>IF(O25&gt;Geometry!N11,1,(O25-M25)/(Geometry!N11-M25)*(N25/N29))</f>
        <v>#DIV/0!</v>
      </c>
    </row>
    <row r="26" spans="2:18" x14ac:dyDescent="0.2">
      <c r="B26" s="227" t="str">
        <f>IF(D26&gt;=E26,"",Geometry!S88)</f>
        <v/>
      </c>
      <c r="C26" s="204">
        <v>8</v>
      </c>
      <c r="D26" s="54"/>
      <c r="E26" s="54"/>
      <c r="F26" s="67" t="str">
        <f>IF(AND(E26&gt;=D26,D26&lt;Geometry!D11,E26&lt;&gt;0),G26,"")</f>
        <v/>
      </c>
      <c r="G26" s="206">
        <f>IF($D$11=0,0,IF(E26&gt;Geometry!$D$11,1,(E26-D26)/(Geometry!$D$11-D26)))</f>
        <v>0</v>
      </c>
      <c r="H26" s="54"/>
      <c r="I26" s="54"/>
      <c r="J26" s="54"/>
      <c r="K26" s="67" t="str">
        <f>IF(AND(J26&lt;=H26,H26&gt;Geometry!H11,J26&lt;&gt;0),L26,"")</f>
        <v/>
      </c>
      <c r="L26" s="206" t="e">
        <f>IF(J26&lt;Geometry!H11,1,(H26-J26)/(H26-Geometry!H11)*(I26/I29))</f>
        <v>#DIV/0!</v>
      </c>
      <c r="M26" s="54"/>
      <c r="N26" s="54"/>
      <c r="O26" s="54"/>
      <c r="P26" s="163" t="str">
        <f>IF(AND(O26&gt;=M26,M26&lt;Geometry!N11,O26&lt;&gt;0),Q26,"")</f>
        <v/>
      </c>
      <c r="Q26" s="215" t="e">
        <f>IF(O26&gt;Geometry!N11,1,(O26-M26)/(Geometry!N11-M26)*(N26/N29))</f>
        <v>#DIV/0!</v>
      </c>
    </row>
    <row r="27" spans="2:18" x14ac:dyDescent="0.2">
      <c r="B27" s="227" t="str">
        <f>IF(D27&gt;=E27,"",Geometry!S89)</f>
        <v/>
      </c>
      <c r="C27" s="204">
        <v>9</v>
      </c>
      <c r="D27" s="54"/>
      <c r="E27" s="54"/>
      <c r="F27" s="67" t="str">
        <f>IF(AND(E27&gt;=D27,D27&lt;Geometry!D11,E27&lt;&gt;0),G27,"")</f>
        <v/>
      </c>
      <c r="G27" s="206">
        <f>IF($D$11=0,0,IF(E27&gt;Geometry!$D$11,1,(E27-D27)/(Geometry!$D$11-D27)))</f>
        <v>0</v>
      </c>
      <c r="H27" s="54"/>
      <c r="I27" s="54"/>
      <c r="J27" s="54"/>
      <c r="K27" s="67" t="str">
        <f>IF(AND(J27&lt;=H27,H27&gt;Geometry!H11,J27&lt;&gt;0),L27,"")</f>
        <v/>
      </c>
      <c r="L27" s="206" t="e">
        <f>IF(J27&lt;Geometry!H11,1,(H27-J27)/(H27-Geometry!H11)*(I27/I29))</f>
        <v>#DIV/0!</v>
      </c>
      <c r="M27" s="54"/>
      <c r="N27" s="54"/>
      <c r="O27" s="54"/>
      <c r="P27" s="163" t="str">
        <f>IF(AND(O27&gt;=M27,M27&lt;Geometry!N11,O27&lt;&gt;0),Q27,"")</f>
        <v/>
      </c>
      <c r="Q27" s="215" t="e">
        <f>IF(O27&gt;Geometry!N11,1,(O27-M27)/(Geometry!N11-M27)*(N27/N29))</f>
        <v>#DIV/0!</v>
      </c>
    </row>
    <row r="28" spans="2:18" x14ac:dyDescent="0.2">
      <c r="B28" s="227" t="str">
        <f>IF(D28&gt;=E28,"",Geometry!S90)</f>
        <v/>
      </c>
      <c r="C28" s="222">
        <v>10</v>
      </c>
      <c r="D28" s="54"/>
      <c r="E28" s="54"/>
      <c r="F28" s="67" t="str">
        <f>IF(AND(E28&gt;=D28,D28&lt;Geometry!D11,E28&lt;&gt;0),G28,"")</f>
        <v/>
      </c>
      <c r="G28" s="206">
        <f>IF($D$11=0,0,IF(E28&gt;Geometry!$D$11,1,(E28-D28)/(Geometry!$D$11-D28)))</f>
        <v>0</v>
      </c>
      <c r="H28" s="54"/>
      <c r="I28" s="54"/>
      <c r="J28" s="54"/>
      <c r="K28" s="67" t="str">
        <f>IF(AND(J28&lt;=H28,H28&gt;Geometry!H11,J28&lt;&gt;0),L28,"")</f>
        <v/>
      </c>
      <c r="L28" s="206" t="e">
        <f>IF(J28&lt;Geometry!H11,1,(H28-J28)/(H28-Geometry!H11)*(I28/I29))</f>
        <v>#DIV/0!</v>
      </c>
      <c r="M28" s="54"/>
      <c r="N28" s="54"/>
      <c r="O28" s="54"/>
      <c r="P28" s="163" t="str">
        <f>IF(AND(O28&gt;=M28,M28&lt;Geometry!N11,O28&lt;&gt;0),Q28,"")</f>
        <v/>
      </c>
      <c r="Q28" s="215" t="e">
        <f>IF(O28&gt;Geometry!N11,1,(O28-M28)/(Geometry!N11-M28)*(N28/N29))</f>
        <v>#DIV/0!</v>
      </c>
    </row>
    <row r="29" spans="2:18" x14ac:dyDescent="0.2">
      <c r="B29" s="224"/>
      <c r="C29" s="84"/>
      <c r="D29" s="193"/>
      <c r="E29" s="104" t="s">
        <v>259</v>
      </c>
      <c r="F29" s="165">
        <f>IF(SUM(G19:G28)=0,0,AVERAGE(F19:F28))</f>
        <v>0</v>
      </c>
      <c r="G29" s="415"/>
      <c r="H29" s="193"/>
      <c r="I29" s="193">
        <f>SUM(I19:I28)</f>
        <v>0</v>
      </c>
      <c r="J29" s="104" t="s">
        <v>265</v>
      </c>
      <c r="K29" s="68">
        <f>IF(SUM(K19:K28)=0,0.0000001,(SUM(K19:K28)))</f>
        <v>9.9999999999999995E-8</v>
      </c>
      <c r="L29" s="84"/>
      <c r="M29" s="193"/>
      <c r="N29" s="193">
        <f>SUM(N19:N28)</f>
        <v>0</v>
      </c>
      <c r="O29" s="104" t="s">
        <v>265</v>
      </c>
      <c r="P29" s="166">
        <f>IF(SUM(P19:P28)=0,0.0000001,(SUM(P19:P28)))</f>
        <v>9.9999999999999995E-8</v>
      </c>
      <c r="Q29" s="216"/>
    </row>
    <row r="30" spans="2:18" x14ac:dyDescent="0.2">
      <c r="B30" s="224"/>
      <c r="C30" s="84"/>
      <c r="D30" s="187"/>
      <c r="E30" s="190"/>
      <c r="F30" s="84"/>
      <c r="G30" s="84"/>
      <c r="H30" s="62"/>
      <c r="I30" s="84"/>
      <c r="J30" s="188"/>
      <c r="K30" s="190"/>
      <c r="L30" s="84"/>
      <c r="M30" s="108"/>
      <c r="N30" s="157"/>
      <c r="O30" s="190"/>
      <c r="P30" s="141"/>
    </row>
    <row r="31" spans="2:18" x14ac:dyDescent="0.2">
      <c r="B31" s="224"/>
      <c r="C31" s="84"/>
      <c r="D31" s="116" t="s">
        <v>261</v>
      </c>
      <c r="E31" s="117"/>
      <c r="F31" s="117"/>
      <c r="G31" s="117"/>
      <c r="H31" s="117"/>
      <c r="I31" s="117"/>
      <c r="J31" s="117"/>
      <c r="K31" s="117"/>
      <c r="L31" s="118"/>
      <c r="M31" s="117"/>
      <c r="N31" s="119" t="s">
        <v>260</v>
      </c>
      <c r="O31" s="120"/>
      <c r="P31" s="141"/>
      <c r="Q31" s="180"/>
      <c r="R31" s="181"/>
    </row>
    <row r="32" spans="2:18" x14ac:dyDescent="0.2">
      <c r="B32" s="224"/>
      <c r="C32" s="84"/>
      <c r="D32" s="121"/>
      <c r="E32" s="84"/>
      <c r="F32" s="62" t="s">
        <v>263</v>
      </c>
      <c r="G32" s="62"/>
      <c r="H32" s="62" t="s">
        <v>262</v>
      </c>
      <c r="I32" s="62" t="s">
        <v>145</v>
      </c>
      <c r="J32" s="84"/>
      <c r="K32" s="84"/>
      <c r="L32" s="84"/>
      <c r="M32" s="84"/>
      <c r="N32" s="524">
        <f>'RC RATING SUMMARY'!O40</f>
        <v>0</v>
      </c>
      <c r="O32" s="189" t="s">
        <v>317</v>
      </c>
      <c r="P32" s="141"/>
      <c r="Q32" s="180"/>
      <c r="R32" s="214"/>
    </row>
    <row r="33" spans="2:18" x14ac:dyDescent="0.2">
      <c r="B33" s="224"/>
      <c r="C33" s="84"/>
      <c r="D33" s="121"/>
      <c r="E33" s="83" t="s">
        <v>250</v>
      </c>
      <c r="F33" s="369"/>
      <c r="G33" s="177"/>
      <c r="H33" s="56"/>
      <c r="I33" s="69">
        <f>Geometry!AJ191</f>
        <v>22</v>
      </c>
      <c r="J33" s="123" t="str">
        <f>IF(AND(F33&lt;&gt;"",H33&lt;I33),"May req. WSDOT Approval","")</f>
        <v/>
      </c>
      <c r="K33" s="84"/>
      <c r="L33" s="84"/>
      <c r="M33" s="84"/>
      <c r="N33" s="190"/>
      <c r="O33" s="122"/>
      <c r="P33" s="141"/>
      <c r="Q33" s="180"/>
      <c r="R33" s="214"/>
    </row>
    <row r="34" spans="2:18" x14ac:dyDescent="0.2">
      <c r="B34" s="224"/>
      <c r="C34" s="84"/>
      <c r="D34" s="121"/>
      <c r="E34" s="83" t="s">
        <v>249</v>
      </c>
      <c r="F34" s="54"/>
      <c r="G34" s="177"/>
      <c r="H34" s="56"/>
      <c r="I34" s="69">
        <f>Geometry!AJ201</f>
        <v>4</v>
      </c>
      <c r="J34" s="123" t="str">
        <f>IF(AND(F34&lt;&gt;"",H34&lt;I34),"May req. WSDOT Approval","")</f>
        <v/>
      </c>
      <c r="K34" s="84"/>
      <c r="L34" s="84"/>
      <c r="M34" s="84"/>
      <c r="N34" s="190"/>
      <c r="O34" s="122"/>
      <c r="P34" s="141"/>
      <c r="Q34" s="180"/>
      <c r="R34" s="214"/>
    </row>
    <row r="35" spans="2:18" x14ac:dyDescent="0.2">
      <c r="B35" s="224"/>
      <c r="C35" s="84"/>
      <c r="D35" s="124"/>
      <c r="E35" s="125" t="s">
        <v>110</v>
      </c>
      <c r="F35" s="70">
        <f>(F33+(F34*2))</f>
        <v>0</v>
      </c>
      <c r="G35" s="101"/>
      <c r="H35" s="70">
        <f>(H33+(H34*2))</f>
        <v>0</v>
      </c>
      <c r="I35" s="71">
        <f>(I33+(I34*2))</f>
        <v>30</v>
      </c>
      <c r="J35" s="126"/>
      <c r="K35" s="127"/>
      <c r="L35" s="127"/>
      <c r="M35" s="127"/>
      <c r="N35" s="176"/>
      <c r="O35" s="128"/>
      <c r="P35" s="141"/>
      <c r="Q35" s="180"/>
      <c r="R35" s="214"/>
    </row>
    <row r="36" spans="2:18" ht="13.5" thickBot="1" x14ac:dyDescent="0.25">
      <c r="B36" s="225"/>
      <c r="C36" s="143"/>
      <c r="D36" s="143"/>
      <c r="E36" s="167"/>
      <c r="F36" s="143"/>
      <c r="G36" s="143"/>
      <c r="H36" s="143"/>
      <c r="I36" s="168"/>
      <c r="J36" s="143"/>
      <c r="K36" s="143"/>
      <c r="L36" s="143"/>
      <c r="M36" s="143"/>
      <c r="N36" s="143"/>
      <c r="O36" s="143"/>
      <c r="P36" s="149"/>
      <c r="Q36" s="182"/>
      <c r="R36" s="214"/>
    </row>
    <row r="37" spans="2:18" x14ac:dyDescent="0.2">
      <c r="R37" s="214"/>
    </row>
    <row r="38" spans="2:18" x14ac:dyDescent="0.2">
      <c r="R38" s="214"/>
    </row>
    <row r="39" spans="2:18" x14ac:dyDescent="0.2">
      <c r="R39" s="214"/>
    </row>
    <row r="40" spans="2:18" x14ac:dyDescent="0.2">
      <c r="R40" s="214"/>
    </row>
    <row r="41" spans="2:18" x14ac:dyDescent="0.2">
      <c r="R41" s="214"/>
    </row>
    <row r="42" spans="2:18" x14ac:dyDescent="0.2">
      <c r="R42" s="214"/>
    </row>
    <row r="43" spans="2:18" x14ac:dyDescent="0.2">
      <c r="R43" s="214"/>
    </row>
    <row r="44" spans="2:18" x14ac:dyDescent="0.2">
      <c r="R44" s="214"/>
    </row>
    <row r="45" spans="2:18" x14ac:dyDescent="0.2">
      <c r="R45" s="214"/>
    </row>
    <row r="46" spans="2:18" x14ac:dyDescent="0.2">
      <c r="R46" s="214"/>
    </row>
    <row r="47" spans="2:18" x14ac:dyDescent="0.2">
      <c r="R47" s="214"/>
    </row>
    <row r="48" spans="2:18" x14ac:dyDescent="0.2">
      <c r="R48" s="214"/>
    </row>
    <row r="49" spans="3:28" x14ac:dyDescent="0.2">
      <c r="C49" s="232" t="s">
        <v>116</v>
      </c>
      <c r="D49" s="233"/>
      <c r="E49" s="233"/>
      <c r="F49" s="233"/>
      <c r="G49" s="233"/>
      <c r="H49" s="233"/>
      <c r="I49" s="233"/>
      <c r="J49" s="234"/>
      <c r="K49" s="233"/>
      <c r="L49" s="234"/>
      <c r="M49" s="233"/>
      <c r="N49" s="233"/>
      <c r="O49" s="233"/>
      <c r="P49" s="235"/>
      <c r="R49" s="254"/>
      <c r="S49" s="255"/>
      <c r="T49" s="255"/>
      <c r="U49" s="255"/>
      <c r="V49" s="255"/>
      <c r="W49" s="255"/>
      <c r="X49" s="255"/>
      <c r="Y49" s="255"/>
      <c r="Z49" s="256"/>
      <c r="AA49" s="255"/>
      <c r="AB49" s="257"/>
    </row>
    <row r="50" spans="3:28" x14ac:dyDescent="0.2">
      <c r="C50" s="233"/>
      <c r="D50" s="233"/>
      <c r="E50" s="233"/>
      <c r="F50" s="233"/>
      <c r="G50" s="233"/>
      <c r="H50" s="233"/>
      <c r="I50" s="233"/>
      <c r="J50" s="234"/>
      <c r="K50" s="233"/>
      <c r="L50" s="234"/>
      <c r="M50" s="233"/>
      <c r="N50" s="233"/>
      <c r="O50" s="233"/>
      <c r="P50" s="235"/>
      <c r="R50" s="258"/>
      <c r="S50" s="259" t="s">
        <v>135</v>
      </c>
      <c r="T50" s="260"/>
      <c r="U50" s="260"/>
      <c r="V50" s="260"/>
      <c r="W50" s="260"/>
      <c r="X50" s="260"/>
      <c r="Y50" s="260"/>
      <c r="Z50" s="260"/>
      <c r="AA50" s="231"/>
      <c r="AB50" s="261"/>
    </row>
    <row r="51" spans="3:28" x14ac:dyDescent="0.2">
      <c r="C51" s="236"/>
      <c r="D51" s="233" t="s">
        <v>51</v>
      </c>
      <c r="E51" s="233"/>
      <c r="F51" s="233"/>
      <c r="G51" s="233"/>
      <c r="H51" s="233"/>
      <c r="I51" s="233"/>
      <c r="J51" s="234"/>
      <c r="K51" s="233"/>
      <c r="L51" s="234"/>
      <c r="M51" s="233"/>
      <c r="N51" s="233"/>
      <c r="O51" s="233"/>
      <c r="P51" s="235"/>
      <c r="R51" s="258"/>
      <c r="S51" s="231"/>
      <c r="T51" s="231"/>
      <c r="U51" s="231"/>
      <c r="V51" s="231"/>
      <c r="W51" s="231"/>
      <c r="X51" s="231"/>
      <c r="Y51" s="231"/>
      <c r="Z51" s="236"/>
      <c r="AA51" s="231"/>
      <c r="AB51" s="261"/>
    </row>
    <row r="52" spans="3:28" x14ac:dyDescent="0.2">
      <c r="C52" s="236"/>
      <c r="D52" s="233" t="s">
        <v>52</v>
      </c>
      <c r="E52" s="233"/>
      <c r="F52" s="233"/>
      <c r="G52" s="233"/>
      <c r="H52" s="233"/>
      <c r="I52" s="233"/>
      <c r="J52" s="234"/>
      <c r="K52" s="233"/>
      <c r="L52" s="234"/>
      <c r="M52" s="233"/>
      <c r="N52" s="233"/>
      <c r="O52" s="233"/>
      <c r="P52" s="235"/>
      <c r="R52" s="262">
        <f>'Traffic &amp; Accidents'!D8</f>
        <v>0</v>
      </c>
      <c r="S52" s="231" t="s">
        <v>128</v>
      </c>
      <c r="T52" s="231"/>
      <c r="U52" s="263" t="s">
        <v>132</v>
      </c>
      <c r="V52" s="263"/>
      <c r="W52" s="263"/>
      <c r="X52" s="236"/>
      <c r="Y52" s="231" t="s">
        <v>348</v>
      </c>
      <c r="Z52" s="264"/>
      <c r="AA52" s="231" t="s">
        <v>136</v>
      </c>
      <c r="AB52" s="261"/>
    </row>
    <row r="53" spans="3:28" x14ac:dyDescent="0.2">
      <c r="C53" s="235" t="s">
        <v>53</v>
      </c>
      <c r="D53" s="235"/>
      <c r="E53" s="235"/>
      <c r="F53" s="235"/>
      <c r="G53" s="235"/>
      <c r="H53" s="235"/>
      <c r="I53" s="235"/>
      <c r="J53" s="237" t="s">
        <v>194</v>
      </c>
      <c r="K53" s="235"/>
      <c r="L53" s="186"/>
      <c r="M53" s="235"/>
      <c r="N53" s="235"/>
      <c r="O53" s="235"/>
      <c r="P53" s="235"/>
      <c r="R53" s="265"/>
      <c r="S53" s="231"/>
      <c r="T53" s="231"/>
      <c r="U53" s="233">
        <f>IF(R55&lt;&gt;0,V53,U54)</f>
        <v>20</v>
      </c>
      <c r="V53" s="233">
        <f>IF(R52&lt;400,40,W53)</f>
        <v>40</v>
      </c>
      <c r="W53" s="233">
        <f>IF(R52&lt;(2001),50,60)</f>
        <v>50</v>
      </c>
      <c r="X53" s="236"/>
      <c r="Y53" s="231"/>
      <c r="Z53" s="266"/>
      <c r="AA53" s="231"/>
      <c r="AB53" s="261"/>
    </row>
    <row r="54" spans="3:28" x14ac:dyDescent="0.2">
      <c r="C54" s="235"/>
      <c r="D54" s="235"/>
      <c r="E54" s="235"/>
      <c r="G54" s="235"/>
      <c r="H54" s="235"/>
      <c r="I54" s="235"/>
      <c r="J54" s="237" t="s">
        <v>195</v>
      </c>
      <c r="K54" s="235"/>
      <c r="L54" s="186"/>
      <c r="M54" s="235"/>
      <c r="N54" s="235"/>
      <c r="O54" s="235"/>
      <c r="P54" s="235"/>
      <c r="R54" s="267" t="s">
        <v>68</v>
      </c>
      <c r="S54" s="233"/>
      <c r="T54" s="233"/>
      <c r="U54" s="233">
        <f>IF(R56&lt;&gt;0,V54,U55)</f>
        <v>20</v>
      </c>
      <c r="V54" s="233">
        <f>IF(R52&lt;(400),30,W54)</f>
        <v>30</v>
      </c>
      <c r="W54" s="233">
        <f>IF(R52&lt;(2001),40,50)</f>
        <v>40</v>
      </c>
      <c r="X54" s="236"/>
      <c r="Y54" s="268">
        <f>IF(V58=Geometry!M59,Geometry!N59,Y55)</f>
        <v>115</v>
      </c>
      <c r="Z54" s="252"/>
      <c r="AA54" s="262">
        <f>IF(AND(F7=0,G7=0,H7=0),0,Y54)</f>
        <v>0</v>
      </c>
      <c r="AB54" s="261"/>
    </row>
    <row r="55" spans="3:28" x14ac:dyDescent="0.2">
      <c r="C55" s="235"/>
      <c r="D55" s="235"/>
      <c r="E55" s="235"/>
      <c r="F55" s="235" t="s">
        <v>54</v>
      </c>
      <c r="G55" s="235"/>
      <c r="H55" s="235"/>
      <c r="I55" s="235"/>
      <c r="J55" s="186"/>
      <c r="K55" s="235"/>
      <c r="L55" s="186"/>
      <c r="M55" s="235"/>
      <c r="N55" s="235"/>
      <c r="O55" s="235"/>
      <c r="P55" s="235"/>
      <c r="R55" s="262">
        <f>Geometry!F7</f>
        <v>0</v>
      </c>
      <c r="S55" s="233" t="s">
        <v>137</v>
      </c>
      <c r="T55" s="233"/>
      <c r="U55" s="233">
        <f>V55</f>
        <v>20</v>
      </c>
      <c r="V55" s="233">
        <f>IF(R52&lt;(400),20,W55)</f>
        <v>20</v>
      </c>
      <c r="W55" s="233">
        <f>IF(R52&lt;(2001),30,40)</f>
        <v>30</v>
      </c>
      <c r="X55" s="236"/>
      <c r="Y55" s="231">
        <f>IF(V58=Geometry!M60,Geometry!N60,Y56)</f>
        <v>115</v>
      </c>
      <c r="Z55" s="252"/>
      <c r="AA55" s="231"/>
      <c r="AB55" s="261"/>
    </row>
    <row r="56" spans="3:28" x14ac:dyDescent="0.2">
      <c r="C56" s="233"/>
      <c r="D56" s="233"/>
      <c r="E56" s="233"/>
      <c r="F56" s="233"/>
      <c r="G56" s="233"/>
      <c r="H56" s="233"/>
      <c r="I56" s="233"/>
      <c r="J56" s="234"/>
      <c r="K56" s="233"/>
      <c r="L56" s="234"/>
      <c r="M56" s="233"/>
      <c r="N56" s="233"/>
      <c r="O56" s="233"/>
      <c r="P56" s="235"/>
      <c r="R56" s="262">
        <f>Geometry!G7</f>
        <v>0</v>
      </c>
      <c r="S56" s="233" t="s">
        <v>74</v>
      </c>
      <c r="T56" s="233"/>
      <c r="U56" s="236"/>
      <c r="V56" s="236"/>
      <c r="W56" s="236"/>
      <c r="X56" s="236"/>
      <c r="Y56" s="231">
        <f>IF(V58=Geometry!M61,Geometry!N61,Y57)</f>
        <v>115</v>
      </c>
      <c r="Z56" s="252"/>
      <c r="AA56" s="231"/>
      <c r="AB56" s="261"/>
    </row>
    <row r="57" spans="3:28" x14ac:dyDescent="0.2">
      <c r="C57" s="233"/>
      <c r="D57" s="233"/>
      <c r="E57" s="233"/>
      <c r="F57" s="236"/>
      <c r="G57" s="233"/>
      <c r="H57" s="233"/>
      <c r="I57" s="238" t="s">
        <v>55</v>
      </c>
      <c r="J57" s="234"/>
      <c r="K57" s="233"/>
      <c r="L57" s="234"/>
      <c r="M57" s="239"/>
      <c r="N57" s="239" t="s">
        <v>146</v>
      </c>
      <c r="O57" s="233"/>
      <c r="P57" s="235"/>
      <c r="R57" s="262">
        <f>Geometry!H7</f>
        <v>0</v>
      </c>
      <c r="S57" s="233" t="s">
        <v>138</v>
      </c>
      <c r="T57" s="233"/>
      <c r="U57" s="236"/>
      <c r="V57" s="234" t="s">
        <v>139</v>
      </c>
      <c r="W57" s="236"/>
      <c r="X57" s="236"/>
      <c r="Y57" s="231">
        <f>IF(V58=Geometry!M62,Geometry!N62,Y58)</f>
        <v>115</v>
      </c>
      <c r="Z57" s="252"/>
      <c r="AA57" s="231"/>
      <c r="AB57" s="261"/>
    </row>
    <row r="58" spans="3:28" x14ac:dyDescent="0.2">
      <c r="C58" s="233"/>
      <c r="D58" s="233"/>
      <c r="E58" s="236"/>
      <c r="F58" s="236"/>
      <c r="G58" s="233"/>
      <c r="H58" s="233"/>
      <c r="I58" s="233"/>
      <c r="J58" s="236"/>
      <c r="K58" s="233"/>
      <c r="L58" s="234"/>
      <c r="M58" s="240" t="s">
        <v>141</v>
      </c>
      <c r="N58" s="241" t="s">
        <v>148</v>
      </c>
      <c r="O58" s="233"/>
      <c r="P58" s="235"/>
      <c r="R58" s="267"/>
      <c r="S58" s="233"/>
      <c r="T58" s="233"/>
      <c r="U58" s="236"/>
      <c r="V58" s="269">
        <f>U53</f>
        <v>20</v>
      </c>
      <c r="W58" s="236"/>
      <c r="X58" s="236"/>
      <c r="Y58" s="231">
        <f>IF(V58=Geometry!M63,Geometry!N63,0)</f>
        <v>115</v>
      </c>
      <c r="Z58" s="252"/>
      <c r="AA58" s="231"/>
      <c r="AB58" s="261"/>
    </row>
    <row r="59" spans="3:28" x14ac:dyDescent="0.2">
      <c r="C59" s="233"/>
      <c r="D59" s="238" t="s">
        <v>56</v>
      </c>
      <c r="E59" s="236"/>
      <c r="F59" s="236"/>
      <c r="G59" s="242" t="s">
        <v>57</v>
      </c>
      <c r="H59" s="242"/>
      <c r="I59" s="242" t="s">
        <v>58</v>
      </c>
      <c r="J59" s="242"/>
      <c r="K59" s="242" t="s">
        <v>59</v>
      </c>
      <c r="L59" s="234"/>
      <c r="M59" s="243">
        <v>60</v>
      </c>
      <c r="N59" s="243">
        <v>1340</v>
      </c>
      <c r="O59" s="233"/>
      <c r="P59" s="235"/>
      <c r="R59" s="267"/>
      <c r="S59" s="233"/>
      <c r="T59" s="233"/>
      <c r="U59" s="231"/>
      <c r="V59" s="236"/>
      <c r="W59" s="236"/>
      <c r="X59" s="236"/>
      <c r="Y59" s="236"/>
      <c r="Z59" s="236"/>
      <c r="AA59" s="231"/>
      <c r="AB59" s="261"/>
    </row>
    <row r="60" spans="3:28" x14ac:dyDescent="0.2">
      <c r="C60" s="233"/>
      <c r="D60" s="233"/>
      <c r="E60" s="236"/>
      <c r="F60" s="236"/>
      <c r="G60" s="234"/>
      <c r="H60" s="234"/>
      <c r="I60" s="234"/>
      <c r="J60" s="234"/>
      <c r="K60" s="234"/>
      <c r="L60" s="234"/>
      <c r="M60" s="243">
        <v>50</v>
      </c>
      <c r="N60" s="243">
        <v>835</v>
      </c>
      <c r="O60" s="233"/>
      <c r="P60" s="235"/>
      <c r="R60" s="270"/>
      <c r="S60" s="271"/>
      <c r="T60" s="271" t="s">
        <v>140</v>
      </c>
      <c r="U60" s="582" t="s">
        <v>330</v>
      </c>
      <c r="V60" s="582"/>
      <c r="W60" s="582"/>
      <c r="X60" s="271"/>
      <c r="Y60" s="271"/>
      <c r="Z60" s="271"/>
      <c r="AA60" s="231"/>
      <c r="AB60" s="261"/>
    </row>
    <row r="61" spans="3:28" x14ac:dyDescent="0.2">
      <c r="C61" s="233"/>
      <c r="D61" s="233" t="s">
        <v>60</v>
      </c>
      <c r="E61" s="236"/>
      <c r="F61" s="236"/>
      <c r="G61" s="243">
        <v>40</v>
      </c>
      <c r="H61" s="234"/>
      <c r="I61" s="234">
        <v>50</v>
      </c>
      <c r="J61" s="234"/>
      <c r="K61" s="252">
        <v>60</v>
      </c>
      <c r="L61" s="234"/>
      <c r="M61" s="243">
        <v>40</v>
      </c>
      <c r="N61" s="243">
        <v>510</v>
      </c>
      <c r="O61" s="233"/>
      <c r="P61" s="235"/>
      <c r="R61" s="270"/>
      <c r="S61" s="271" t="s">
        <v>142</v>
      </c>
      <c r="T61" s="271" t="s">
        <v>134</v>
      </c>
      <c r="U61" s="582"/>
      <c r="V61" s="582"/>
      <c r="W61" s="582"/>
      <c r="X61" s="271"/>
      <c r="Y61" s="271"/>
      <c r="Z61" s="271"/>
      <c r="AA61" s="231"/>
      <c r="AB61" s="261"/>
    </row>
    <row r="62" spans="3:28" x14ac:dyDescent="0.2">
      <c r="C62" s="233"/>
      <c r="D62" s="233" t="s">
        <v>61</v>
      </c>
      <c r="E62" s="236"/>
      <c r="F62" s="236"/>
      <c r="G62" s="243">
        <v>30</v>
      </c>
      <c r="H62" s="234"/>
      <c r="I62" s="234">
        <v>40</v>
      </c>
      <c r="J62" s="234"/>
      <c r="K62" s="234">
        <v>50</v>
      </c>
      <c r="L62" s="234"/>
      <c r="M62" s="243">
        <v>30</v>
      </c>
      <c r="N62" s="243">
        <v>275</v>
      </c>
      <c r="O62" s="233"/>
      <c r="P62" s="235"/>
      <c r="R62" s="272" t="s">
        <v>143</v>
      </c>
      <c r="S62" s="273" t="s">
        <v>144</v>
      </c>
      <c r="T62" s="273" t="s">
        <v>141</v>
      </c>
      <c r="U62" s="582"/>
      <c r="V62" s="582"/>
      <c r="W62" s="582"/>
      <c r="X62" s="273"/>
      <c r="Y62" s="273"/>
      <c r="Z62" s="273"/>
      <c r="AA62" s="231"/>
      <c r="AB62" s="261"/>
    </row>
    <row r="63" spans="3:28" x14ac:dyDescent="0.2">
      <c r="C63" s="233"/>
      <c r="D63" s="233" t="s">
        <v>62</v>
      </c>
      <c r="E63" s="236"/>
      <c r="F63" s="236"/>
      <c r="G63" s="245">
        <v>20</v>
      </c>
      <c r="H63" s="234"/>
      <c r="I63" s="234">
        <v>30</v>
      </c>
      <c r="J63" s="234"/>
      <c r="K63" s="253">
        <v>40</v>
      </c>
      <c r="L63" s="234"/>
      <c r="M63" s="243">
        <v>20</v>
      </c>
      <c r="N63" s="243">
        <v>115</v>
      </c>
      <c r="O63" s="233"/>
      <c r="P63" s="235"/>
      <c r="R63" s="274">
        <v>1</v>
      </c>
      <c r="S63" s="262">
        <f>Geometry!D19</f>
        <v>0</v>
      </c>
      <c r="T63" s="275">
        <f t="shared" ref="T63:T72" si="0">S81</f>
        <v>90</v>
      </c>
      <c r="U63" s="275"/>
      <c r="V63" s="186">
        <f>IF($V$58-T63&lt;=0,0,IF($V$58-T63&lt;=5,3,IF($V$58-T63&lt;=10,6,IF($V$58-T63&gt;10,8,0))))</f>
        <v>0</v>
      </c>
      <c r="W63" s="276"/>
      <c r="X63" s="276"/>
      <c r="Y63" s="276"/>
      <c r="Z63" s="276"/>
      <c r="AA63" s="231"/>
      <c r="AB63" s="261"/>
    </row>
    <row r="64" spans="3:28" x14ac:dyDescent="0.2">
      <c r="C64" s="233"/>
      <c r="D64" s="233"/>
      <c r="E64" s="233"/>
      <c r="F64" s="233"/>
      <c r="G64" s="233"/>
      <c r="H64" s="233"/>
      <c r="I64" s="233"/>
      <c r="J64" s="234"/>
      <c r="K64" s="233"/>
      <c r="L64" s="234"/>
      <c r="M64" s="233"/>
      <c r="N64" s="233"/>
      <c r="O64" s="233"/>
      <c r="P64" s="235"/>
      <c r="R64" s="274">
        <v>2</v>
      </c>
      <c r="S64" s="262">
        <f>Geometry!D20</f>
        <v>0</v>
      </c>
      <c r="T64" s="275">
        <f t="shared" si="0"/>
        <v>90</v>
      </c>
      <c r="U64" s="275"/>
      <c r="V64" s="186">
        <f t="shared" ref="V64:V72" si="1">IF($V$58-T64&lt;=0,0,IF($V$58-T64&lt;=5,3,IF($V$58-T64&lt;=10,6,IF($V$58-T64&gt;10,8,0))))</f>
        <v>0</v>
      </c>
      <c r="W64" s="276"/>
      <c r="X64" s="276"/>
      <c r="Y64" s="276"/>
      <c r="Z64" s="276"/>
      <c r="AA64" s="231"/>
      <c r="AB64" s="261"/>
    </row>
    <row r="65" spans="3:28" x14ac:dyDescent="0.2">
      <c r="C65" s="235"/>
      <c r="D65" s="247"/>
      <c r="E65" s="235"/>
      <c r="F65" s="235"/>
      <c r="G65" s="235"/>
      <c r="H65" s="235"/>
      <c r="I65" s="235"/>
      <c r="J65" s="186"/>
      <c r="K65" s="235"/>
      <c r="L65" s="186"/>
      <c r="M65" s="235"/>
      <c r="N65" s="235"/>
      <c r="O65" s="235"/>
      <c r="P65" s="235"/>
      <c r="R65" s="274">
        <v>3</v>
      </c>
      <c r="S65" s="262">
        <f>Geometry!D21</f>
        <v>0</v>
      </c>
      <c r="T65" s="275">
        <f t="shared" si="0"/>
        <v>90</v>
      </c>
      <c r="U65" s="275"/>
      <c r="V65" s="186">
        <f t="shared" si="1"/>
        <v>0</v>
      </c>
      <c r="W65" s="276"/>
      <c r="X65" s="276"/>
      <c r="Y65" s="276"/>
      <c r="Z65" s="276"/>
      <c r="AA65" s="231"/>
      <c r="AB65" s="261"/>
    </row>
    <row r="66" spans="3:28" x14ac:dyDescent="0.2">
      <c r="D66" s="247" t="s">
        <v>28</v>
      </c>
      <c r="E66" s="248" t="s">
        <v>63</v>
      </c>
      <c r="F66" s="249"/>
      <c r="G66" s="235"/>
      <c r="H66" s="235"/>
      <c r="I66" s="235"/>
      <c r="J66" s="186"/>
      <c r="K66" s="235"/>
      <c r="L66" s="186"/>
      <c r="M66" s="235"/>
      <c r="N66" s="235"/>
      <c r="O66" s="235"/>
      <c r="P66" s="235"/>
      <c r="R66" s="274">
        <v>4</v>
      </c>
      <c r="S66" s="262">
        <f>Geometry!D22</f>
        <v>0</v>
      </c>
      <c r="T66" s="275">
        <f t="shared" si="0"/>
        <v>90</v>
      </c>
      <c r="U66" s="275"/>
      <c r="V66" s="186">
        <f t="shared" si="1"/>
        <v>0</v>
      </c>
      <c r="W66" s="276"/>
      <c r="X66" s="276"/>
      <c r="Y66" s="276"/>
      <c r="Z66" s="276"/>
      <c r="AA66" s="231"/>
      <c r="AB66" s="261"/>
    </row>
    <row r="67" spans="3:28" x14ac:dyDescent="0.2">
      <c r="D67" s="235"/>
      <c r="E67" s="235"/>
      <c r="F67" s="235"/>
      <c r="G67" s="235"/>
      <c r="H67" s="235"/>
      <c r="I67" s="235"/>
      <c r="J67" s="186"/>
      <c r="K67" s="235"/>
      <c r="L67" s="186"/>
      <c r="M67" s="235"/>
      <c r="N67" s="235"/>
      <c r="O67" s="235"/>
      <c r="P67" s="235"/>
      <c r="R67" s="274">
        <v>5</v>
      </c>
      <c r="S67" s="262">
        <f>Geometry!D23</f>
        <v>0</v>
      </c>
      <c r="T67" s="275">
        <f t="shared" si="0"/>
        <v>90</v>
      </c>
      <c r="U67" s="275"/>
      <c r="V67" s="186">
        <f t="shared" si="1"/>
        <v>0</v>
      </c>
      <c r="W67" s="276"/>
      <c r="X67" s="276"/>
      <c r="Y67" s="276"/>
      <c r="Z67" s="276"/>
      <c r="AA67" s="231"/>
      <c r="AB67" s="261"/>
    </row>
    <row r="68" spans="3:28" x14ac:dyDescent="0.2">
      <c r="D68" s="186">
        <v>0</v>
      </c>
      <c r="E68" s="235" t="s">
        <v>117</v>
      </c>
      <c r="F68" s="235"/>
      <c r="G68" s="235"/>
      <c r="H68" s="235"/>
      <c r="I68" s="235"/>
      <c r="J68" s="186"/>
      <c r="K68" s="235"/>
      <c r="L68" s="186"/>
      <c r="M68" s="235"/>
      <c r="N68" s="235"/>
      <c r="O68" s="235"/>
      <c r="P68" s="235"/>
      <c r="R68" s="274">
        <v>6</v>
      </c>
      <c r="S68" s="262">
        <f>Geometry!D24</f>
        <v>0</v>
      </c>
      <c r="T68" s="275">
        <f t="shared" si="0"/>
        <v>90</v>
      </c>
      <c r="U68" s="275"/>
      <c r="V68" s="186">
        <f t="shared" si="1"/>
        <v>0</v>
      </c>
      <c r="W68" s="276"/>
      <c r="X68" s="276"/>
      <c r="Y68" s="276"/>
      <c r="Z68" s="276"/>
      <c r="AA68" s="231"/>
      <c r="AB68" s="261"/>
    </row>
    <row r="69" spans="3:28" x14ac:dyDescent="0.2">
      <c r="D69" s="186">
        <v>3</v>
      </c>
      <c r="E69" s="235" t="s">
        <v>118</v>
      </c>
      <c r="F69" s="235"/>
      <c r="G69" s="235"/>
      <c r="H69" s="235"/>
      <c r="I69" s="235"/>
      <c r="J69" s="186"/>
      <c r="K69" s="235"/>
      <c r="L69" s="186"/>
      <c r="M69" s="235"/>
      <c r="N69" s="235"/>
      <c r="O69" s="235"/>
      <c r="P69" s="235"/>
      <c r="R69" s="274">
        <v>7</v>
      </c>
      <c r="S69" s="262">
        <f>Geometry!D25</f>
        <v>0</v>
      </c>
      <c r="T69" s="275">
        <f t="shared" si="0"/>
        <v>90</v>
      </c>
      <c r="U69" s="275"/>
      <c r="V69" s="186">
        <f t="shared" si="1"/>
        <v>0</v>
      </c>
      <c r="W69" s="276"/>
      <c r="X69" s="276"/>
      <c r="Y69" s="276"/>
      <c r="Z69" s="276"/>
      <c r="AA69" s="231"/>
      <c r="AB69" s="261"/>
    </row>
    <row r="70" spans="3:28" x14ac:dyDescent="0.2">
      <c r="D70" s="186">
        <v>6</v>
      </c>
      <c r="E70" s="235" t="s">
        <v>119</v>
      </c>
      <c r="F70" s="235"/>
      <c r="G70" s="235"/>
      <c r="H70" s="235"/>
      <c r="I70" s="235"/>
      <c r="J70" s="186"/>
      <c r="K70" s="235"/>
      <c r="L70" s="186"/>
      <c r="M70" s="235"/>
      <c r="N70" s="235"/>
      <c r="O70" s="235"/>
      <c r="P70" s="235"/>
      <c r="R70" s="274">
        <v>8</v>
      </c>
      <c r="S70" s="262">
        <f>Geometry!D26</f>
        <v>0</v>
      </c>
      <c r="T70" s="275">
        <f t="shared" si="0"/>
        <v>90</v>
      </c>
      <c r="U70" s="275"/>
      <c r="V70" s="186">
        <f t="shared" si="1"/>
        <v>0</v>
      </c>
      <c r="W70" s="276"/>
      <c r="X70" s="276"/>
      <c r="Y70" s="276"/>
      <c r="Z70" s="276"/>
      <c r="AA70" s="233"/>
      <c r="AB70" s="261"/>
    </row>
    <row r="71" spans="3:28" x14ac:dyDescent="0.2">
      <c r="D71" s="186">
        <v>8</v>
      </c>
      <c r="E71" s="235" t="s">
        <v>120</v>
      </c>
      <c r="F71" s="235"/>
      <c r="G71" s="235"/>
      <c r="H71" s="235"/>
      <c r="I71" s="235"/>
      <c r="J71" s="186"/>
      <c r="K71" s="235"/>
      <c r="L71" s="186"/>
      <c r="M71" s="235"/>
      <c r="N71" s="235"/>
      <c r="O71" s="235"/>
      <c r="P71" s="235"/>
      <c r="R71" s="274">
        <v>9</v>
      </c>
      <c r="S71" s="262">
        <f>Geometry!D27</f>
        <v>0</v>
      </c>
      <c r="T71" s="275">
        <f t="shared" si="0"/>
        <v>90</v>
      </c>
      <c r="U71" s="275"/>
      <c r="V71" s="186">
        <f t="shared" si="1"/>
        <v>0</v>
      </c>
      <c r="W71" s="276"/>
      <c r="X71" s="276"/>
      <c r="Y71" s="276"/>
      <c r="Z71" s="276"/>
      <c r="AA71" s="234"/>
      <c r="AB71" s="261"/>
    </row>
    <row r="72" spans="3:28" ht="13.5" thickBot="1" x14ac:dyDescent="0.25">
      <c r="C72" s="235"/>
      <c r="D72" s="235"/>
      <c r="E72" s="235"/>
      <c r="F72" s="235"/>
      <c r="G72" s="235"/>
      <c r="H72" s="235"/>
      <c r="I72" s="235"/>
      <c r="J72" s="186"/>
      <c r="K72" s="235"/>
      <c r="L72" s="186"/>
      <c r="M72" s="235"/>
      <c r="N72" s="235"/>
      <c r="O72" s="235"/>
      <c r="P72" s="235"/>
      <c r="R72" s="274">
        <v>10</v>
      </c>
      <c r="S72" s="262">
        <f>Geometry!D28</f>
        <v>0</v>
      </c>
      <c r="T72" s="275">
        <f t="shared" si="0"/>
        <v>90</v>
      </c>
      <c r="U72" s="275"/>
      <c r="V72" s="186">
        <f t="shared" si="1"/>
        <v>0</v>
      </c>
      <c r="W72" s="276"/>
      <c r="X72" s="276"/>
      <c r="Y72" s="276"/>
      <c r="Z72" s="276"/>
      <c r="AA72" s="234"/>
      <c r="AB72" s="261"/>
    </row>
    <row r="73" spans="3:28" ht="13.5" thickBot="1" x14ac:dyDescent="0.25">
      <c r="C73" s="233"/>
      <c r="D73" s="236"/>
      <c r="E73" s="233"/>
      <c r="F73" s="233"/>
      <c r="G73" s="233"/>
      <c r="H73" s="250" t="s">
        <v>64</v>
      </c>
      <c r="J73" s="236"/>
      <c r="K73" s="233"/>
      <c r="L73" s="234"/>
      <c r="M73" s="233"/>
      <c r="N73" s="233"/>
      <c r="O73" s="251">
        <f>V73</f>
        <v>0</v>
      </c>
      <c r="P73" s="235"/>
      <c r="R73" s="234"/>
      <c r="S73" s="276"/>
      <c r="T73" s="275"/>
      <c r="U73" s="275"/>
      <c r="V73" s="230">
        <f>MAX(V63:V72)</f>
        <v>0</v>
      </c>
      <c r="W73" s="277"/>
      <c r="X73" s="277"/>
      <c r="Y73" s="277"/>
      <c r="Z73" s="278"/>
      <c r="AA73" s="234"/>
      <c r="AB73" s="261"/>
    </row>
    <row r="74" spans="3:28" x14ac:dyDescent="0.2">
      <c r="R74" s="234"/>
      <c r="S74" s="276"/>
      <c r="T74" s="275"/>
      <c r="U74" s="275"/>
      <c r="V74" s="231" t="s">
        <v>149</v>
      </c>
      <c r="W74" s="231"/>
      <c r="X74" s="231"/>
      <c r="Y74" s="231"/>
      <c r="Z74" s="231"/>
      <c r="AA74" s="234"/>
      <c r="AB74" s="244"/>
    </row>
    <row r="75" spans="3:28" x14ac:dyDescent="0.2">
      <c r="R75" s="234"/>
      <c r="S75" s="276"/>
      <c r="T75" s="275"/>
      <c r="U75" s="275"/>
      <c r="V75" s="231" t="s">
        <v>28</v>
      </c>
      <c r="W75" s="231"/>
      <c r="X75" s="231"/>
      <c r="Y75" s="231"/>
      <c r="Z75" s="231"/>
      <c r="AA75" s="234"/>
      <c r="AB75" s="244"/>
    </row>
    <row r="76" spans="3:28" x14ac:dyDescent="0.2">
      <c r="R76" s="234"/>
      <c r="S76" s="276"/>
      <c r="T76" s="275"/>
      <c r="U76" s="275"/>
      <c r="V76" s="276"/>
      <c r="W76" s="276"/>
      <c r="X76" s="276"/>
      <c r="Y76" s="276"/>
      <c r="Z76" s="276"/>
      <c r="AA76" s="234"/>
      <c r="AB76" s="244"/>
    </row>
    <row r="77" spans="3:28" x14ac:dyDescent="0.2">
      <c r="R77" s="258"/>
      <c r="S77" s="231"/>
      <c r="T77" s="231"/>
      <c r="U77" s="231"/>
      <c r="V77" s="231"/>
      <c r="AA77" s="234"/>
      <c r="AB77" s="244"/>
    </row>
    <row r="78" spans="3:28" x14ac:dyDescent="0.2">
      <c r="I78" s="358" t="s">
        <v>132</v>
      </c>
      <c r="J78" s="359"/>
      <c r="K78" s="360"/>
      <c r="R78" s="258"/>
      <c r="S78" s="279"/>
      <c r="T78" s="231"/>
      <c r="U78" s="231"/>
      <c r="V78" s="231"/>
      <c r="AA78" s="234"/>
      <c r="AB78" s="244"/>
    </row>
    <row r="79" spans="3:28" x14ac:dyDescent="0.2">
      <c r="I79" s="361">
        <f>IF(F7&lt;&gt;0,J79,I80)</f>
        <v>20</v>
      </c>
      <c r="J79" s="362">
        <f>IF('Traffic &amp; Accidents'!D8&lt;400,40,K79)</f>
        <v>40</v>
      </c>
      <c r="K79" s="363">
        <f>IF('Traffic &amp; Accidents'!D8&lt;2001,50,60)</f>
        <v>50</v>
      </c>
      <c r="R79" s="280" t="s">
        <v>143</v>
      </c>
      <c r="S79" s="281" t="s">
        <v>150</v>
      </c>
      <c r="T79" s="231"/>
      <c r="U79" s="231"/>
      <c r="V79" s="231"/>
      <c r="AA79" s="236"/>
      <c r="AB79" s="282"/>
    </row>
    <row r="80" spans="3:28" x14ac:dyDescent="0.2">
      <c r="I80" s="364">
        <f>IF(G7&lt;&gt;0,J80,I81)</f>
        <v>20</v>
      </c>
      <c r="J80" s="362">
        <f>IF('Traffic &amp; Accidents'!D8&lt;400,30,K80)</f>
        <v>30</v>
      </c>
      <c r="K80" s="363">
        <f>IF('Traffic &amp; Accidents'!D8&lt;2001,40,50)</f>
        <v>40</v>
      </c>
      <c r="R80" s="258"/>
      <c r="S80" s="231"/>
      <c r="T80" s="231"/>
      <c r="U80" s="231"/>
      <c r="V80" s="231"/>
      <c r="W80" s="231"/>
      <c r="X80" s="231"/>
      <c r="Y80" s="231"/>
      <c r="Z80" s="231"/>
      <c r="AA80" s="236"/>
      <c r="AB80" s="282"/>
    </row>
    <row r="81" spans="7:28" x14ac:dyDescent="0.2">
      <c r="I81" s="365">
        <f>J81</f>
        <v>20</v>
      </c>
      <c r="J81" s="366">
        <f>IF('Traffic &amp; Accidents'!D8&lt;400,20,K81)</f>
        <v>20</v>
      </c>
      <c r="K81" s="367">
        <f>IF('Traffic &amp; Accidents'!D8&lt;2001,30,40)</f>
        <v>30</v>
      </c>
      <c r="R81" s="274">
        <v>1</v>
      </c>
      <c r="S81" s="283">
        <f t="shared" ref="S81:S94" si="2">IF(AND(S63&gt;0,S63&lt;=115),(S63/115)*20,T81)</f>
        <v>90</v>
      </c>
      <c r="T81" s="284">
        <f t="shared" ref="T81:T94" si="3">IF(AND(S63&gt;115,S63&lt;=275),20+((S63-115)/160)*10,U81)</f>
        <v>90</v>
      </c>
      <c r="U81" s="284">
        <f t="shared" ref="U81:U94" si="4">IF(AND(S63&gt;275,S63&lt;=510),30+((S63-275)/235)*10,V81)</f>
        <v>90</v>
      </c>
      <c r="V81" s="284">
        <f t="shared" ref="V81:V94" si="5">IF(AND(S63&gt;510,S63&lt;=835),40+((S63-510)/325)*10,W81)</f>
        <v>90</v>
      </c>
      <c r="W81" s="284">
        <f t="shared" ref="W81:W94" si="6">IF(AND(S63&gt;835,S63&lt;=1340),50+((S63-835)/505)*10,X81)</f>
        <v>90</v>
      </c>
      <c r="X81" s="284">
        <f t="shared" ref="X81:X94" si="7">IF(S63&gt;1340,65,90)</f>
        <v>90</v>
      </c>
      <c r="Y81" s="231"/>
      <c r="Z81" s="231"/>
      <c r="AA81" s="236"/>
      <c r="AB81" s="282"/>
    </row>
    <row r="82" spans="7:28" x14ac:dyDescent="0.2">
      <c r="R82" s="274">
        <v>2</v>
      </c>
      <c r="S82" s="283">
        <f t="shared" si="2"/>
        <v>90</v>
      </c>
      <c r="T82" s="284">
        <f t="shared" si="3"/>
        <v>90</v>
      </c>
      <c r="U82" s="284">
        <f t="shared" si="4"/>
        <v>90</v>
      </c>
      <c r="V82" s="284">
        <f t="shared" si="5"/>
        <v>90</v>
      </c>
      <c r="W82" s="284">
        <f t="shared" si="6"/>
        <v>90</v>
      </c>
      <c r="X82" s="284">
        <f t="shared" si="7"/>
        <v>90</v>
      </c>
      <c r="Y82" s="231"/>
      <c r="Z82" s="231"/>
      <c r="AA82" s="236"/>
      <c r="AB82" s="282"/>
    </row>
    <row r="83" spans="7:28" x14ac:dyDescent="0.2">
      <c r="R83" s="274">
        <v>3</v>
      </c>
      <c r="S83" s="283">
        <f t="shared" si="2"/>
        <v>90</v>
      </c>
      <c r="T83" s="284">
        <f t="shared" si="3"/>
        <v>90</v>
      </c>
      <c r="U83" s="284">
        <f t="shared" si="4"/>
        <v>90</v>
      </c>
      <c r="V83" s="284">
        <f t="shared" si="5"/>
        <v>90</v>
      </c>
      <c r="W83" s="284">
        <f t="shared" si="6"/>
        <v>90</v>
      </c>
      <c r="X83" s="284">
        <f t="shared" si="7"/>
        <v>90</v>
      </c>
      <c r="Y83" s="231"/>
      <c r="Z83" s="231"/>
      <c r="AA83" s="236"/>
      <c r="AB83" s="282"/>
    </row>
    <row r="84" spans="7:28" x14ac:dyDescent="0.2">
      <c r="G84" s="413" t="s">
        <v>347</v>
      </c>
      <c r="H84" s="414" t="str">
        <f>IF(AND(F7=0,G7=0,H7=0),"",I79)</f>
        <v/>
      </c>
      <c r="R84" s="274">
        <v>4</v>
      </c>
      <c r="S84" s="283">
        <f t="shared" si="2"/>
        <v>90</v>
      </c>
      <c r="T84" s="284">
        <f t="shared" si="3"/>
        <v>90</v>
      </c>
      <c r="U84" s="284">
        <f t="shared" si="4"/>
        <v>90</v>
      </c>
      <c r="V84" s="284">
        <f t="shared" si="5"/>
        <v>90</v>
      </c>
      <c r="W84" s="284">
        <f t="shared" si="6"/>
        <v>90</v>
      </c>
      <c r="X84" s="284">
        <f t="shared" si="7"/>
        <v>90</v>
      </c>
      <c r="Y84" s="231"/>
      <c r="Z84" s="231"/>
      <c r="AA84" s="236"/>
      <c r="AB84" s="282"/>
    </row>
    <row r="85" spans="7:28" x14ac:dyDescent="0.2">
      <c r="R85" s="274">
        <v>5</v>
      </c>
      <c r="S85" s="283">
        <f t="shared" si="2"/>
        <v>90</v>
      </c>
      <c r="T85" s="284">
        <f t="shared" si="3"/>
        <v>90</v>
      </c>
      <c r="U85" s="284">
        <f t="shared" si="4"/>
        <v>90</v>
      </c>
      <c r="V85" s="284">
        <f t="shared" si="5"/>
        <v>90</v>
      </c>
      <c r="W85" s="284">
        <f t="shared" si="6"/>
        <v>90</v>
      </c>
      <c r="X85" s="284">
        <f t="shared" si="7"/>
        <v>90</v>
      </c>
      <c r="Y85" s="231"/>
      <c r="Z85" s="231"/>
      <c r="AA85" s="236"/>
      <c r="AB85" s="282"/>
    </row>
    <row r="86" spans="7:28" x14ac:dyDescent="0.2">
      <c r="R86" s="274">
        <v>6</v>
      </c>
      <c r="S86" s="283">
        <f t="shared" si="2"/>
        <v>90</v>
      </c>
      <c r="T86" s="284">
        <f t="shared" si="3"/>
        <v>90</v>
      </c>
      <c r="U86" s="284">
        <f t="shared" si="4"/>
        <v>90</v>
      </c>
      <c r="V86" s="284">
        <f t="shared" si="5"/>
        <v>90</v>
      </c>
      <c r="W86" s="284">
        <f t="shared" si="6"/>
        <v>90</v>
      </c>
      <c r="X86" s="284">
        <f t="shared" si="7"/>
        <v>90</v>
      </c>
      <c r="Y86" s="231"/>
      <c r="Z86" s="231"/>
      <c r="AA86" s="236"/>
      <c r="AB86" s="282"/>
    </row>
    <row r="87" spans="7:28" x14ac:dyDescent="0.2">
      <c r="R87" s="274">
        <v>7</v>
      </c>
      <c r="S87" s="283">
        <f t="shared" si="2"/>
        <v>90</v>
      </c>
      <c r="T87" s="284">
        <f t="shared" si="3"/>
        <v>90</v>
      </c>
      <c r="U87" s="284">
        <f t="shared" si="4"/>
        <v>90</v>
      </c>
      <c r="V87" s="284">
        <f t="shared" si="5"/>
        <v>90</v>
      </c>
      <c r="W87" s="284">
        <f t="shared" si="6"/>
        <v>90</v>
      </c>
      <c r="X87" s="284">
        <f t="shared" si="7"/>
        <v>90</v>
      </c>
      <c r="Y87" s="231"/>
      <c r="Z87" s="231"/>
      <c r="AA87" s="236"/>
      <c r="AB87" s="282"/>
    </row>
    <row r="88" spans="7:28" x14ac:dyDescent="0.2">
      <c r="R88" s="274">
        <v>8</v>
      </c>
      <c r="S88" s="283">
        <f t="shared" si="2"/>
        <v>90</v>
      </c>
      <c r="T88" s="284">
        <f t="shared" si="3"/>
        <v>90</v>
      </c>
      <c r="U88" s="284">
        <f t="shared" si="4"/>
        <v>90</v>
      </c>
      <c r="V88" s="284">
        <f t="shared" si="5"/>
        <v>90</v>
      </c>
      <c r="W88" s="284">
        <f t="shared" si="6"/>
        <v>90</v>
      </c>
      <c r="X88" s="284">
        <f t="shared" si="7"/>
        <v>90</v>
      </c>
      <c r="Y88" s="231"/>
      <c r="Z88" s="233"/>
      <c r="AA88" s="236"/>
      <c r="AB88" s="282"/>
    </row>
    <row r="89" spans="7:28" x14ac:dyDescent="0.2">
      <c r="R89" s="274">
        <v>9</v>
      </c>
      <c r="S89" s="283">
        <f t="shared" si="2"/>
        <v>90</v>
      </c>
      <c r="T89" s="284">
        <f t="shared" si="3"/>
        <v>90</v>
      </c>
      <c r="U89" s="284">
        <f t="shared" si="4"/>
        <v>90</v>
      </c>
      <c r="V89" s="284">
        <f t="shared" si="5"/>
        <v>90</v>
      </c>
      <c r="W89" s="284">
        <f t="shared" si="6"/>
        <v>90</v>
      </c>
      <c r="X89" s="284">
        <f t="shared" si="7"/>
        <v>90</v>
      </c>
      <c r="Y89" s="231"/>
      <c r="Z89" s="234"/>
      <c r="AA89" s="236"/>
      <c r="AB89" s="282"/>
    </row>
    <row r="90" spans="7:28" x14ac:dyDescent="0.2">
      <c r="R90" s="274">
        <v>10</v>
      </c>
      <c r="S90" s="283">
        <f t="shared" si="2"/>
        <v>90</v>
      </c>
      <c r="T90" s="284">
        <f t="shared" si="3"/>
        <v>90</v>
      </c>
      <c r="U90" s="284">
        <f t="shared" si="4"/>
        <v>90</v>
      </c>
      <c r="V90" s="284">
        <f t="shared" si="5"/>
        <v>90</v>
      </c>
      <c r="W90" s="284">
        <f t="shared" si="6"/>
        <v>90</v>
      </c>
      <c r="X90" s="284">
        <f t="shared" si="7"/>
        <v>90</v>
      </c>
      <c r="Y90" s="231"/>
      <c r="Z90" s="234"/>
      <c r="AA90" s="236"/>
      <c r="AB90" s="282"/>
    </row>
    <row r="91" spans="7:28" x14ac:dyDescent="0.2">
      <c r="R91" s="274">
        <v>11</v>
      </c>
      <c r="S91" s="283">
        <f t="shared" si="2"/>
        <v>90</v>
      </c>
      <c r="T91" s="284">
        <f t="shared" si="3"/>
        <v>90</v>
      </c>
      <c r="U91" s="284">
        <f t="shared" si="4"/>
        <v>90</v>
      </c>
      <c r="V91" s="284">
        <f t="shared" si="5"/>
        <v>90</v>
      </c>
      <c r="W91" s="284">
        <f t="shared" si="6"/>
        <v>90</v>
      </c>
      <c r="X91" s="284">
        <f t="shared" si="7"/>
        <v>90</v>
      </c>
      <c r="Y91" s="231"/>
      <c r="Z91" s="234"/>
      <c r="AA91" s="236"/>
      <c r="AB91" s="282"/>
    </row>
    <row r="92" spans="7:28" x14ac:dyDescent="0.2">
      <c r="R92" s="274">
        <v>12</v>
      </c>
      <c r="S92" s="283">
        <f t="shared" si="2"/>
        <v>90</v>
      </c>
      <c r="T92" s="284">
        <f t="shared" si="3"/>
        <v>90</v>
      </c>
      <c r="U92" s="284">
        <f t="shared" si="4"/>
        <v>90</v>
      </c>
      <c r="V92" s="284">
        <f t="shared" si="5"/>
        <v>90</v>
      </c>
      <c r="W92" s="284">
        <f t="shared" si="6"/>
        <v>90</v>
      </c>
      <c r="X92" s="284">
        <f t="shared" si="7"/>
        <v>90</v>
      </c>
      <c r="Y92" s="231"/>
      <c r="Z92" s="234"/>
      <c r="AA92" s="236"/>
      <c r="AB92" s="282"/>
    </row>
    <row r="93" spans="7:28" x14ac:dyDescent="0.2">
      <c r="R93" s="274">
        <v>13</v>
      </c>
      <c r="S93" s="283">
        <f t="shared" si="2"/>
        <v>90</v>
      </c>
      <c r="T93" s="284">
        <f t="shared" si="3"/>
        <v>90</v>
      </c>
      <c r="U93" s="284">
        <f t="shared" si="4"/>
        <v>90</v>
      </c>
      <c r="V93" s="284">
        <f t="shared" si="5"/>
        <v>90</v>
      </c>
      <c r="W93" s="284">
        <f t="shared" si="6"/>
        <v>90</v>
      </c>
      <c r="X93" s="284">
        <f t="shared" si="7"/>
        <v>90</v>
      </c>
      <c r="Y93" s="231"/>
      <c r="Z93" s="234"/>
      <c r="AA93" s="236"/>
      <c r="AB93" s="282"/>
    </row>
    <row r="94" spans="7:28" x14ac:dyDescent="0.2">
      <c r="R94" s="274">
        <v>14</v>
      </c>
      <c r="S94" s="283">
        <f t="shared" si="2"/>
        <v>90</v>
      </c>
      <c r="T94" s="284">
        <f t="shared" si="3"/>
        <v>90</v>
      </c>
      <c r="U94" s="284">
        <f t="shared" si="4"/>
        <v>90</v>
      </c>
      <c r="V94" s="284">
        <f t="shared" si="5"/>
        <v>90</v>
      </c>
      <c r="W94" s="284">
        <f t="shared" si="6"/>
        <v>90</v>
      </c>
      <c r="X94" s="284">
        <f t="shared" si="7"/>
        <v>90</v>
      </c>
      <c r="Y94" s="231"/>
      <c r="Z94" s="234"/>
      <c r="AA94" s="236"/>
      <c r="AB94" s="282"/>
    </row>
    <row r="95" spans="7:28" x14ac:dyDescent="0.2">
      <c r="R95" s="285"/>
      <c r="S95" s="286"/>
      <c r="T95" s="286"/>
      <c r="U95" s="286"/>
      <c r="V95" s="286"/>
      <c r="W95" s="286"/>
      <c r="X95" s="286"/>
      <c r="Y95" s="286"/>
      <c r="Z95" s="286"/>
      <c r="AA95" s="287"/>
      <c r="AB95" s="246"/>
    </row>
    <row r="106" spans="3:16" x14ac:dyDescent="0.2">
      <c r="C106" s="232" t="s">
        <v>121</v>
      </c>
      <c r="D106" s="233"/>
      <c r="E106" s="233"/>
      <c r="F106" s="233"/>
      <c r="G106" s="233"/>
      <c r="H106" s="233"/>
      <c r="I106" s="233"/>
      <c r="J106" s="234"/>
      <c r="K106" s="233"/>
      <c r="L106" s="234"/>
      <c r="M106" s="233"/>
      <c r="N106" s="233"/>
      <c r="O106" s="233"/>
      <c r="P106" s="235"/>
    </row>
    <row r="107" spans="3:16" x14ac:dyDescent="0.2">
      <c r="C107" s="233"/>
      <c r="D107" s="233"/>
      <c r="E107" s="233"/>
      <c r="F107" s="233"/>
      <c r="G107" s="233"/>
      <c r="H107" s="233"/>
      <c r="I107" s="233"/>
      <c r="J107" s="234"/>
      <c r="K107" s="233"/>
      <c r="L107" s="234"/>
      <c r="M107" s="233"/>
      <c r="N107" s="233"/>
      <c r="O107" s="233"/>
      <c r="P107" s="235"/>
    </row>
    <row r="108" spans="3:16" x14ac:dyDescent="0.2">
      <c r="C108" s="236"/>
      <c r="D108" s="233" t="s">
        <v>51</v>
      </c>
      <c r="E108" s="233"/>
      <c r="F108" s="233"/>
      <c r="G108" s="233"/>
      <c r="H108" s="233"/>
      <c r="I108" s="233"/>
      <c r="J108" s="234"/>
      <c r="K108" s="233"/>
      <c r="L108" s="234"/>
      <c r="M108" s="233"/>
      <c r="N108" s="233"/>
      <c r="O108" s="233"/>
      <c r="P108" s="235"/>
    </row>
    <row r="109" spans="3:16" x14ac:dyDescent="0.2">
      <c r="C109" s="236"/>
      <c r="D109" s="236"/>
      <c r="E109" s="233" t="s">
        <v>65</v>
      </c>
      <c r="F109" s="233"/>
      <c r="G109" s="233"/>
      <c r="H109" s="233"/>
      <c r="I109" s="233"/>
      <c r="J109" s="234"/>
      <c r="K109" s="233"/>
      <c r="L109" s="234"/>
      <c r="M109" s="233"/>
      <c r="N109" s="233"/>
      <c r="O109" s="233"/>
      <c r="P109" s="235"/>
    </row>
    <row r="110" spans="3:16" x14ac:dyDescent="0.2">
      <c r="C110" s="236"/>
      <c r="D110" s="236"/>
      <c r="E110" s="233"/>
      <c r="F110" s="233"/>
      <c r="G110" s="233"/>
      <c r="H110" s="233"/>
      <c r="I110" s="233"/>
      <c r="J110" s="234"/>
      <c r="K110" s="233"/>
      <c r="L110" s="234"/>
      <c r="M110" s="233"/>
      <c r="N110" s="233"/>
      <c r="O110" s="233"/>
      <c r="P110" s="235"/>
    </row>
    <row r="111" spans="3:16" x14ac:dyDescent="0.2">
      <c r="C111" s="233"/>
      <c r="D111" s="590" t="s">
        <v>66</v>
      </c>
      <c r="E111" s="590"/>
      <c r="F111" s="590"/>
      <c r="G111" s="590"/>
      <c r="H111" s="233"/>
      <c r="I111" s="233"/>
      <c r="J111" s="234"/>
      <c r="K111" s="233"/>
      <c r="L111" s="234"/>
      <c r="M111" s="233"/>
      <c r="N111" s="233"/>
      <c r="O111" s="233"/>
      <c r="P111" s="235"/>
    </row>
    <row r="112" spans="3:16" x14ac:dyDescent="0.2">
      <c r="C112" s="233"/>
      <c r="E112" s="233"/>
      <c r="F112" s="233"/>
      <c r="G112" s="233"/>
      <c r="H112" s="233"/>
      <c r="I112" s="233"/>
      <c r="J112" s="589" t="s">
        <v>67</v>
      </c>
      <c r="K112" s="589"/>
      <c r="L112" s="589"/>
      <c r="M112" s="589"/>
      <c r="N112" s="589"/>
      <c r="O112" s="589"/>
      <c r="P112" s="235"/>
    </row>
    <row r="113" spans="3:16" x14ac:dyDescent="0.2">
      <c r="C113" s="235"/>
      <c r="D113" s="235"/>
      <c r="E113" s="479"/>
      <c r="F113" s="252" t="s">
        <v>151</v>
      </c>
      <c r="G113" s="479"/>
      <c r="H113" s="235"/>
      <c r="I113" s="235"/>
      <c r="J113" s="186"/>
      <c r="K113" s="235"/>
      <c r="L113" s="186"/>
      <c r="M113" s="235"/>
      <c r="N113" s="235"/>
      <c r="O113" s="235"/>
      <c r="P113" s="233"/>
    </row>
    <row r="114" spans="3:16" x14ac:dyDescent="0.2">
      <c r="C114" s="480" t="s">
        <v>68</v>
      </c>
      <c r="E114" s="479"/>
      <c r="F114" s="481" t="s">
        <v>196</v>
      </c>
      <c r="G114" s="479"/>
      <c r="H114" s="235"/>
      <c r="J114" s="235" t="s">
        <v>153</v>
      </c>
      <c r="K114" s="235" t="s">
        <v>154</v>
      </c>
      <c r="L114" s="235"/>
      <c r="M114" s="413" t="s">
        <v>153</v>
      </c>
      <c r="N114" s="235" t="s">
        <v>154</v>
      </c>
      <c r="O114" s="235"/>
      <c r="P114" s="233"/>
    </row>
    <row r="115" spans="3:16" x14ac:dyDescent="0.2">
      <c r="C115" s="235" t="s">
        <v>71</v>
      </c>
      <c r="D115" s="235"/>
      <c r="E115" s="482" t="s">
        <v>57</v>
      </c>
      <c r="F115" s="482" t="s">
        <v>147</v>
      </c>
      <c r="G115" s="482" t="s">
        <v>59</v>
      </c>
      <c r="H115" s="235"/>
      <c r="J115" s="483" t="s">
        <v>155</v>
      </c>
      <c r="K115" s="483" t="s">
        <v>156</v>
      </c>
      <c r="L115" s="186"/>
      <c r="M115" s="483" t="s">
        <v>155</v>
      </c>
      <c r="N115" s="483" t="s">
        <v>156</v>
      </c>
      <c r="P115" s="233"/>
    </row>
    <row r="116" spans="3:16" x14ac:dyDescent="0.2">
      <c r="C116" s="235" t="s">
        <v>73</v>
      </c>
      <c r="D116" s="235"/>
      <c r="E116" s="479">
        <v>7</v>
      </c>
      <c r="F116" s="479">
        <v>6</v>
      </c>
      <c r="G116" s="252">
        <v>5</v>
      </c>
      <c r="J116" s="186">
        <v>10</v>
      </c>
      <c r="K116" s="484" t="s">
        <v>157</v>
      </c>
      <c r="L116" s="186"/>
      <c r="M116" s="186">
        <v>35</v>
      </c>
      <c r="N116" s="484">
        <v>250</v>
      </c>
      <c r="P116" s="233"/>
    </row>
    <row r="117" spans="3:16" x14ac:dyDescent="0.2">
      <c r="C117" s="235" t="s">
        <v>74</v>
      </c>
      <c r="D117" s="235"/>
      <c r="E117" s="479">
        <v>9</v>
      </c>
      <c r="F117" s="479">
        <v>8</v>
      </c>
      <c r="G117" s="479">
        <v>7</v>
      </c>
      <c r="H117" s="235"/>
      <c r="J117" s="186">
        <v>15</v>
      </c>
      <c r="K117" s="484">
        <v>80</v>
      </c>
      <c r="L117" s="186"/>
      <c r="M117" s="186">
        <v>40</v>
      </c>
      <c r="N117" s="484">
        <v>305</v>
      </c>
      <c r="O117" s="235"/>
      <c r="P117" s="233"/>
    </row>
    <row r="118" spans="3:16" x14ac:dyDescent="0.2">
      <c r="C118" s="235" t="s">
        <v>75</v>
      </c>
      <c r="D118" s="235"/>
      <c r="E118" s="479">
        <v>12</v>
      </c>
      <c r="F118" s="479">
        <v>10</v>
      </c>
      <c r="G118" s="479">
        <v>10</v>
      </c>
      <c r="H118" s="235"/>
      <c r="J118" s="186">
        <v>20</v>
      </c>
      <c r="K118" s="484">
        <v>115</v>
      </c>
      <c r="L118" s="186"/>
      <c r="M118" s="186">
        <v>45</v>
      </c>
      <c r="N118" s="484">
        <v>360</v>
      </c>
      <c r="O118" s="485"/>
      <c r="P118" s="233"/>
    </row>
    <row r="119" spans="3:16" x14ac:dyDescent="0.2">
      <c r="H119" s="235"/>
      <c r="J119" s="186">
        <v>25</v>
      </c>
      <c r="K119" s="484">
        <v>155</v>
      </c>
      <c r="L119" s="186"/>
      <c r="M119" s="186">
        <v>50</v>
      </c>
      <c r="N119" s="484">
        <v>425</v>
      </c>
      <c r="P119" s="233"/>
    </row>
    <row r="120" spans="3:16" x14ac:dyDescent="0.2">
      <c r="E120" s="234"/>
      <c r="F120" s="252" t="s">
        <v>152</v>
      </c>
      <c r="G120" s="234"/>
      <c r="J120" s="186">
        <v>30</v>
      </c>
      <c r="K120" s="484">
        <v>200</v>
      </c>
      <c r="L120" s="186"/>
      <c r="M120" s="186">
        <v>55</v>
      </c>
      <c r="N120" s="484">
        <v>495</v>
      </c>
      <c r="O120" s="485"/>
      <c r="P120" s="233"/>
    </row>
    <row r="121" spans="3:16" x14ac:dyDescent="0.2">
      <c r="E121" s="234"/>
      <c r="F121" s="481" t="s">
        <v>197</v>
      </c>
      <c r="G121" s="234"/>
      <c r="H121" s="235"/>
      <c r="J121" s="235"/>
      <c r="K121" s="235"/>
      <c r="L121" s="235"/>
      <c r="M121" s="186">
        <v>60</v>
      </c>
      <c r="N121" s="484">
        <v>570</v>
      </c>
      <c r="P121" s="233"/>
    </row>
    <row r="122" spans="3:16" x14ac:dyDescent="0.2">
      <c r="E122" s="486" t="s">
        <v>69</v>
      </c>
      <c r="F122" s="486" t="s">
        <v>58</v>
      </c>
      <c r="G122" s="486" t="s">
        <v>59</v>
      </c>
      <c r="H122" s="235"/>
      <c r="I122" s="235"/>
      <c r="J122" s="186"/>
      <c r="K122" s="235"/>
      <c r="L122" s="186"/>
      <c r="M122" s="235"/>
      <c r="N122" s="235"/>
      <c r="O122" s="235"/>
      <c r="P122" s="235"/>
    </row>
    <row r="123" spans="3:16" x14ac:dyDescent="0.2">
      <c r="C123" s="235" t="s">
        <v>73</v>
      </c>
      <c r="E123" s="252">
        <v>5</v>
      </c>
      <c r="F123" s="252">
        <v>4</v>
      </c>
      <c r="G123" s="252">
        <v>3</v>
      </c>
      <c r="H123" s="235"/>
      <c r="I123" s="235"/>
      <c r="J123" s="186"/>
      <c r="K123" s="235"/>
      <c r="L123" s="186"/>
      <c r="M123" s="235"/>
      <c r="N123" s="235"/>
      <c r="O123" s="235"/>
      <c r="P123" s="235"/>
    </row>
    <row r="124" spans="3:16" x14ac:dyDescent="0.2">
      <c r="C124" s="235" t="s">
        <v>74</v>
      </c>
      <c r="E124" s="252">
        <v>6</v>
      </c>
      <c r="F124" s="252">
        <v>5</v>
      </c>
      <c r="G124" s="252">
        <v>4</v>
      </c>
      <c r="H124" s="235"/>
      <c r="I124" s="235"/>
      <c r="J124" s="186"/>
      <c r="K124" s="235"/>
      <c r="L124" s="186"/>
      <c r="M124" s="235"/>
      <c r="N124" s="235"/>
      <c r="O124" s="235"/>
      <c r="P124" s="235"/>
    </row>
    <row r="125" spans="3:16" x14ac:dyDescent="0.2">
      <c r="C125" s="235" t="s">
        <v>75</v>
      </c>
      <c r="E125" s="252">
        <v>8</v>
      </c>
      <c r="F125" s="252">
        <v>7</v>
      </c>
      <c r="G125" s="252">
        <v>6</v>
      </c>
      <c r="H125" s="235"/>
      <c r="I125" s="235"/>
      <c r="J125" s="186"/>
      <c r="K125" s="235"/>
      <c r="L125" s="186"/>
      <c r="M125" s="235"/>
      <c r="N125" s="235"/>
      <c r="O125" s="235"/>
      <c r="P125" s="235"/>
    </row>
    <row r="126" spans="3:16" x14ac:dyDescent="0.2">
      <c r="G126" s="235"/>
      <c r="H126" s="235"/>
      <c r="I126" s="235"/>
      <c r="J126" s="186"/>
      <c r="K126" s="235"/>
      <c r="L126" s="186"/>
      <c r="M126" s="235"/>
      <c r="N126" s="235"/>
      <c r="O126" s="235"/>
      <c r="P126" s="235"/>
    </row>
    <row r="127" spans="3:16" x14ac:dyDescent="0.2">
      <c r="D127" s="480" t="s">
        <v>6</v>
      </c>
      <c r="F127" s="480" t="s">
        <v>76</v>
      </c>
      <c r="G127" s="235"/>
      <c r="H127" s="235"/>
      <c r="I127" s="235"/>
      <c r="J127" s="186"/>
      <c r="K127" s="235"/>
      <c r="L127" s="186"/>
      <c r="M127" s="235"/>
      <c r="N127" s="235"/>
      <c r="O127" s="235"/>
      <c r="P127" s="235"/>
    </row>
    <row r="128" spans="3:16" x14ac:dyDescent="0.2">
      <c r="D128" s="480"/>
      <c r="F128" s="480"/>
      <c r="G128" s="235"/>
      <c r="H128" s="235"/>
      <c r="I128" s="235"/>
      <c r="J128" s="186"/>
      <c r="K128" s="235"/>
      <c r="L128" s="186"/>
      <c r="M128" s="235"/>
      <c r="N128" s="235"/>
      <c r="O128" s="235"/>
      <c r="P128" s="235"/>
    </row>
    <row r="129" spans="1:20" x14ac:dyDescent="0.2">
      <c r="D129" s="186">
        <v>0</v>
      </c>
      <c r="E129" s="235"/>
      <c r="F129" s="235" t="s">
        <v>122</v>
      </c>
      <c r="G129" s="235"/>
      <c r="H129" s="235"/>
      <c r="I129" s="235"/>
      <c r="J129" s="186"/>
      <c r="K129" s="235"/>
      <c r="L129" s="186"/>
      <c r="M129" s="235"/>
      <c r="N129" s="235"/>
      <c r="O129" s="235"/>
      <c r="P129" s="235"/>
    </row>
    <row r="130" spans="1:20" x14ac:dyDescent="0.2">
      <c r="D130" s="186">
        <v>3</v>
      </c>
      <c r="E130" s="235"/>
      <c r="F130" s="235" t="s">
        <v>123</v>
      </c>
      <c r="G130" s="235"/>
      <c r="H130" s="235"/>
      <c r="I130" s="235"/>
      <c r="J130" s="186"/>
      <c r="K130" s="235"/>
      <c r="L130" s="186"/>
      <c r="M130" s="235"/>
      <c r="N130" s="235"/>
      <c r="O130" s="235"/>
      <c r="P130" s="235"/>
    </row>
    <row r="131" spans="1:20" x14ac:dyDescent="0.2">
      <c r="D131" s="186">
        <v>6</v>
      </c>
      <c r="E131" s="235"/>
      <c r="F131" s="235" t="s">
        <v>124</v>
      </c>
      <c r="G131" s="235"/>
      <c r="H131" s="235"/>
      <c r="I131" s="235"/>
      <c r="J131" s="186"/>
      <c r="K131" s="235"/>
      <c r="L131" s="186"/>
      <c r="M131" s="235"/>
      <c r="N131" s="235"/>
      <c r="O131" s="235"/>
      <c r="P131" s="235"/>
    </row>
    <row r="132" spans="1:20" x14ac:dyDescent="0.2">
      <c r="C132" s="186"/>
      <c r="D132" s="186">
        <v>8</v>
      </c>
      <c r="E132" s="235"/>
      <c r="F132" s="235" t="s">
        <v>125</v>
      </c>
      <c r="G132" s="235"/>
      <c r="H132" s="235"/>
      <c r="I132" s="235"/>
      <c r="J132" s="186"/>
      <c r="K132" s="235"/>
      <c r="L132" s="186"/>
      <c r="M132" s="235"/>
      <c r="N132" s="235"/>
      <c r="O132" s="235"/>
      <c r="P132" s="235"/>
    </row>
    <row r="133" spans="1:20" x14ac:dyDescent="0.2">
      <c r="C133" s="235" t="s">
        <v>14</v>
      </c>
      <c r="D133" s="235"/>
      <c r="E133" s="235"/>
      <c r="F133" s="235"/>
      <c r="G133" s="235"/>
      <c r="H133" s="235"/>
      <c r="I133" s="235"/>
      <c r="J133" s="186"/>
      <c r="K133" s="235"/>
      <c r="L133" s="186"/>
      <c r="M133" s="235"/>
      <c r="N133" s="235"/>
      <c r="O133" s="235"/>
      <c r="P133" s="235"/>
    </row>
    <row r="134" spans="1:20" x14ac:dyDescent="0.2">
      <c r="C134" s="235"/>
      <c r="E134" s="235"/>
      <c r="F134" s="235"/>
      <c r="G134" s="235"/>
      <c r="H134" s="487" t="s">
        <v>77</v>
      </c>
      <c r="K134" s="235"/>
      <c r="L134" s="186"/>
      <c r="M134" s="235"/>
      <c r="N134" s="235"/>
      <c r="O134" s="262">
        <f>Geometry!R184</f>
        <v>0</v>
      </c>
      <c r="P134" s="235"/>
    </row>
    <row r="135" spans="1:20" x14ac:dyDescent="0.2">
      <c r="C135" s="235"/>
      <c r="D135" s="235" t="s">
        <v>14</v>
      </c>
      <c r="E135" s="235"/>
      <c r="F135" s="235"/>
      <c r="G135" s="235"/>
      <c r="H135" s="235"/>
      <c r="I135" s="235"/>
      <c r="J135" s="186"/>
      <c r="K135" s="235"/>
      <c r="M135" s="235"/>
      <c r="N135" s="235"/>
      <c r="O135" s="235"/>
      <c r="P135" s="235"/>
    </row>
    <row r="140" spans="1:20" ht="11.45" customHeight="1" x14ac:dyDescent="0.2">
      <c r="A140" s="488"/>
      <c r="Q140" s="233"/>
    </row>
    <row r="141" spans="1:20" ht="11.45" customHeight="1" x14ac:dyDescent="0.2">
      <c r="A141" s="488"/>
      <c r="Q141" s="233"/>
      <c r="R141" s="489">
        <f>IF(OR('RC RATING SUMMARY'!F14=7,'RC RATING SUMMARY'!F14=8),R145,R151)</f>
        <v>0</v>
      </c>
      <c r="S141" s="212" t="s">
        <v>164</v>
      </c>
    </row>
    <row r="142" spans="1:20" ht="11.45" customHeight="1" x14ac:dyDescent="0.2">
      <c r="A142" s="488"/>
      <c r="Q142" s="233"/>
    </row>
    <row r="143" spans="1:20" ht="11.45" customHeight="1" x14ac:dyDescent="0.2">
      <c r="A143" s="488"/>
      <c r="Q143" s="233"/>
      <c r="R143" s="479"/>
      <c r="S143" s="490" t="s">
        <v>151</v>
      </c>
      <c r="T143" s="479"/>
    </row>
    <row r="144" spans="1:20" ht="11.45" customHeight="1" x14ac:dyDescent="0.2">
      <c r="A144" s="488"/>
      <c r="Q144" s="233"/>
      <c r="R144" s="234"/>
      <c r="S144" s="186"/>
      <c r="T144" s="186"/>
    </row>
    <row r="145" spans="1:30" ht="11.45" customHeight="1" x14ac:dyDescent="0.2">
      <c r="A145" s="488"/>
      <c r="Q145" s="233"/>
      <c r="R145" s="186">
        <f>IF(Geometry!R55&lt;&gt;0,S145,R146)</f>
        <v>0</v>
      </c>
      <c r="S145" s="186">
        <f>IF(Geometry!R52&lt;400,Geometry!E116,T145)</f>
        <v>7</v>
      </c>
      <c r="T145" s="186">
        <f>IF(Geometry!R52&lt;2001,Geometry!F116,Geometry!G116)</f>
        <v>6</v>
      </c>
    </row>
    <row r="146" spans="1:30" ht="11.45" customHeight="1" x14ac:dyDescent="0.2">
      <c r="A146" s="488"/>
      <c r="Q146" s="233"/>
      <c r="R146" s="186">
        <f>IF(Geometry!R56&lt;&gt;0,S146,R147)</f>
        <v>0</v>
      </c>
      <c r="S146" s="186">
        <f>IF(Geometry!R52&lt;400,Geometry!E117,T146)</f>
        <v>9</v>
      </c>
      <c r="T146" s="186">
        <f>IF(Geometry!R52&lt;2001,Geometry!F117,Geometry!G117)</f>
        <v>8</v>
      </c>
      <c r="U146" s="236"/>
      <c r="V146" s="236"/>
      <c r="W146" s="236"/>
    </row>
    <row r="147" spans="1:30" ht="11.45" customHeight="1" x14ac:dyDescent="0.2">
      <c r="A147" s="488"/>
      <c r="Q147" s="235"/>
      <c r="R147" s="186">
        <f>IF(Geometry!R57&lt;&gt;0,S147,0)</f>
        <v>0</v>
      </c>
      <c r="S147" s="186">
        <f>IF(Geometry!R52&lt;400,Geometry!E118,T147)</f>
        <v>12</v>
      </c>
      <c r="T147" s="186">
        <f>IF(Geometry!R52&lt;2001,Geometry!F118,Geometry!G118)</f>
        <v>10</v>
      </c>
      <c r="U147" s="263"/>
      <c r="V147" s="263"/>
      <c r="W147" s="263"/>
      <c r="X147" s="479"/>
    </row>
    <row r="148" spans="1:30" ht="11.45" customHeight="1" x14ac:dyDescent="0.2">
      <c r="A148" s="488"/>
      <c r="Q148" s="235"/>
      <c r="U148" s="233"/>
      <c r="V148" s="233"/>
      <c r="W148" s="233"/>
      <c r="X148" s="479"/>
    </row>
    <row r="149" spans="1:30" ht="11.45" customHeight="1" x14ac:dyDescent="0.2">
      <c r="A149" s="488"/>
      <c r="Q149" s="235"/>
      <c r="S149" s="491" t="s">
        <v>152</v>
      </c>
      <c r="U149" s="233"/>
      <c r="V149" s="233"/>
      <c r="W149" s="233"/>
      <c r="X149" s="479"/>
      <c r="Y149" s="492">
        <f>IF(Geometry!V58=Geometry!J118,Geometry!K118,Y150)</f>
        <v>115</v>
      </c>
      <c r="Z149" s="212" t="s">
        <v>174</v>
      </c>
    </row>
    <row r="150" spans="1:30" ht="11.45" customHeight="1" x14ac:dyDescent="0.2">
      <c r="A150" s="488"/>
      <c r="Q150" s="235"/>
      <c r="R150" s="234"/>
      <c r="S150" s="186"/>
      <c r="T150" s="186"/>
      <c r="U150" s="233"/>
      <c r="V150" s="233"/>
      <c r="W150" s="233"/>
      <c r="Y150" s="212" t="str">
        <f>IF(Geometry!V58=Geometry!J120,Geometry!K120,Y151)</f>
        <v/>
      </c>
    </row>
    <row r="151" spans="1:30" ht="11.45" customHeight="1" x14ac:dyDescent="0.2">
      <c r="A151" s="488"/>
      <c r="Q151" s="235"/>
      <c r="R151" s="186">
        <f>IF(Geometry!R55&lt;&gt;0,S151,R152)</f>
        <v>0</v>
      </c>
      <c r="S151" s="186">
        <f>IF(Geometry!R52&lt;400,Geometry!E123,T151)</f>
        <v>5</v>
      </c>
      <c r="T151" s="186">
        <f>IF(Geometry!R52&lt;2001,Geometry!F123,Geometry!G123)</f>
        <v>4</v>
      </c>
      <c r="U151" s="236"/>
      <c r="V151" s="236"/>
      <c r="W151" s="236"/>
      <c r="Y151" s="212" t="str">
        <f>IF(Geometry!V58=Geometry!M117,Geometry!N117,Y152)</f>
        <v/>
      </c>
    </row>
    <row r="152" spans="1:30" ht="11.45" customHeight="1" x14ac:dyDescent="0.2">
      <c r="A152" s="488"/>
      <c r="Q152" s="235"/>
      <c r="R152" s="186">
        <f>IF(Geometry!R56&lt;&gt;0,S152,R153)</f>
        <v>0</v>
      </c>
      <c r="S152" s="186">
        <f>IF(Geometry!R52&lt;400,Geometry!E124,T152)</f>
        <v>6</v>
      </c>
      <c r="T152" s="186">
        <f>IF(Geometry!R52&lt;2001,Geometry!F124,Geometry!G124)</f>
        <v>5</v>
      </c>
      <c r="U152" s="236"/>
      <c r="V152" s="493"/>
      <c r="W152" s="236"/>
      <c r="Y152" s="212" t="str">
        <f>IF(Geometry!V58=Geometry!M119,Geometry!N119,Y153)</f>
        <v/>
      </c>
    </row>
    <row r="153" spans="1:30" ht="11.45" customHeight="1" x14ac:dyDescent="0.2">
      <c r="A153" s="488"/>
      <c r="Q153" s="235"/>
      <c r="R153" s="186">
        <f>IF(Geometry!R57&lt;&gt;0,S153,0)</f>
        <v>0</v>
      </c>
      <c r="S153" s="186">
        <f>IF(Geometry!R52&lt;400,Geometry!E125,T153)</f>
        <v>8</v>
      </c>
      <c r="T153" s="186">
        <f>IF(Geometry!R52&lt;2001,Geometry!F125,Geometry!G125)</f>
        <v>7</v>
      </c>
      <c r="U153" s="236"/>
      <c r="V153" s="234"/>
      <c r="W153" s="236"/>
      <c r="Y153" s="212" t="str">
        <f>IF(Geometry!V58=Geometry!M121,Geometry!N121,"")</f>
        <v/>
      </c>
    </row>
    <row r="154" spans="1:30" ht="11.45" customHeight="1" x14ac:dyDescent="0.2">
      <c r="A154" s="488"/>
      <c r="Q154" s="235"/>
      <c r="R154" s="276"/>
      <c r="S154" s="276"/>
      <c r="T154" s="276"/>
      <c r="U154" s="252"/>
      <c r="V154" s="252"/>
      <c r="W154" s="252"/>
    </row>
    <row r="155" spans="1:30" ht="11.45" customHeight="1" x14ac:dyDescent="0.2">
      <c r="A155" s="488"/>
      <c r="Q155" s="235"/>
      <c r="R155" s="276"/>
      <c r="S155" s="276"/>
      <c r="T155" s="276"/>
      <c r="U155" s="252"/>
      <c r="V155" s="252"/>
      <c r="W155" s="252"/>
    </row>
    <row r="156" spans="1:30" ht="11.45" customHeight="1" x14ac:dyDescent="0.2">
      <c r="A156" s="488"/>
      <c r="Q156" s="235"/>
      <c r="R156" s="276"/>
      <c r="S156" s="276"/>
      <c r="T156" s="494" t="s">
        <v>168</v>
      </c>
      <c r="Y156" s="276"/>
      <c r="Z156" s="276"/>
      <c r="AA156" s="494" t="s">
        <v>170</v>
      </c>
    </row>
    <row r="157" spans="1:30" ht="11.45" customHeight="1" x14ac:dyDescent="0.2">
      <c r="A157" s="488"/>
      <c r="Q157" s="235"/>
      <c r="R157" s="276"/>
      <c r="S157" s="276"/>
      <c r="T157" s="276"/>
      <c r="Y157" s="276"/>
      <c r="Z157" s="276"/>
      <c r="AA157" s="276"/>
      <c r="AC157" s="495"/>
    </row>
    <row r="158" spans="1:30" ht="11.45" customHeight="1" x14ac:dyDescent="0.2">
      <c r="A158" s="488"/>
      <c r="Q158" s="235"/>
      <c r="S158" s="212" t="s">
        <v>171</v>
      </c>
      <c r="T158" s="212" t="s">
        <v>133</v>
      </c>
      <c r="U158" s="186" t="s">
        <v>165</v>
      </c>
      <c r="V158" s="212" t="s">
        <v>166</v>
      </c>
      <c r="W158" s="495" t="s">
        <v>313</v>
      </c>
      <c r="Z158" s="212" t="s">
        <v>172</v>
      </c>
      <c r="AA158" s="212" t="s">
        <v>133</v>
      </c>
      <c r="AB158" s="186" t="s">
        <v>165</v>
      </c>
      <c r="AC158" s="212" t="s">
        <v>166</v>
      </c>
      <c r="AD158" s="496" t="s">
        <v>313</v>
      </c>
    </row>
    <row r="159" spans="1:30" ht="11.45" customHeight="1" x14ac:dyDescent="0.2">
      <c r="A159" s="488"/>
      <c r="Q159" s="235"/>
      <c r="S159" s="212" t="s">
        <v>163</v>
      </c>
      <c r="T159" s="212" t="s">
        <v>162</v>
      </c>
      <c r="U159" s="186" t="s">
        <v>160</v>
      </c>
      <c r="V159" s="186" t="s">
        <v>163</v>
      </c>
      <c r="W159" s="497" t="s">
        <v>314</v>
      </c>
      <c r="X159" s="235"/>
      <c r="Z159" s="212" t="s">
        <v>163</v>
      </c>
      <c r="AA159" s="212" t="s">
        <v>169</v>
      </c>
      <c r="AB159" s="186" t="s">
        <v>169</v>
      </c>
      <c r="AC159" s="186" t="s">
        <v>163</v>
      </c>
      <c r="AD159" s="496" t="s">
        <v>314</v>
      </c>
    </row>
    <row r="160" spans="1:30" ht="11.45" customHeight="1" x14ac:dyDescent="0.2">
      <c r="A160" s="488"/>
      <c r="Q160" s="235"/>
      <c r="R160" s="244">
        <v>1</v>
      </c>
      <c r="S160" s="414">
        <f>Geometry!I19</f>
        <v>0</v>
      </c>
      <c r="T160" s="414">
        <f>Geometry!H19</f>
        <v>0</v>
      </c>
      <c r="U160" s="497">
        <f>R141</f>
        <v>0</v>
      </c>
      <c r="V160" s="186">
        <f t="shared" ref="V160:V169" si="8">IF(T160&gt;U160,S160,0)</f>
        <v>0</v>
      </c>
      <c r="W160" s="186">
        <f>IF(T160&gt;Geometry!J19,Geometry!V160,0)</f>
        <v>0</v>
      </c>
      <c r="X160" s="483"/>
      <c r="Y160" s="244">
        <v>1</v>
      </c>
      <c r="Z160" s="414">
        <f>Geometry!N19</f>
        <v>0</v>
      </c>
      <c r="AA160" s="414">
        <f>Geometry!M19</f>
        <v>0</v>
      </c>
      <c r="AB160" s="489">
        <f>Y149</f>
        <v>115</v>
      </c>
      <c r="AC160" s="186">
        <f t="shared" ref="AC160:AC169" si="9">IF(AA160&lt;AB160,Z160,0)</f>
        <v>0</v>
      </c>
      <c r="AD160" s="186">
        <f>IF(AA160&lt;Geometry!O19,Geometry!Z160,0)</f>
        <v>0</v>
      </c>
    </row>
    <row r="161" spans="1:30" ht="11.45" customHeight="1" x14ac:dyDescent="0.2">
      <c r="A161" s="488"/>
      <c r="C161" s="235"/>
      <c r="D161" s="235"/>
      <c r="E161" s="235"/>
      <c r="F161" s="235"/>
      <c r="G161" s="235"/>
      <c r="H161" s="235"/>
      <c r="I161" s="235"/>
      <c r="J161" s="186"/>
      <c r="K161" s="235"/>
      <c r="M161" s="235"/>
      <c r="N161" s="235"/>
      <c r="O161" s="235"/>
      <c r="P161" s="235"/>
      <c r="Q161" s="235"/>
      <c r="R161" s="244">
        <v>2</v>
      </c>
      <c r="S161" s="414">
        <f>Geometry!I20</f>
        <v>0</v>
      </c>
      <c r="T161" s="414">
        <f>Geometry!H20</f>
        <v>0</v>
      </c>
      <c r="U161" s="497">
        <f>R141</f>
        <v>0</v>
      </c>
      <c r="V161" s="186">
        <f t="shared" si="8"/>
        <v>0</v>
      </c>
      <c r="W161" s="186">
        <f>IF(T161&gt;Geometry!J20,Geometry!V161,0)</f>
        <v>0</v>
      </c>
      <c r="X161" s="483"/>
      <c r="Y161" s="244">
        <v>2</v>
      </c>
      <c r="Z161" s="414">
        <f>Geometry!N20</f>
        <v>0</v>
      </c>
      <c r="AA161" s="414">
        <f>Geometry!M20</f>
        <v>0</v>
      </c>
      <c r="AB161" s="489">
        <f>Y149</f>
        <v>115</v>
      </c>
      <c r="AC161" s="186">
        <f t="shared" si="9"/>
        <v>0</v>
      </c>
      <c r="AD161" s="186">
        <f>IF(AA161&lt;Geometry!O20,Geometry!Z161,0)</f>
        <v>0</v>
      </c>
    </row>
    <row r="162" spans="1:30" ht="11.45" customHeight="1" x14ac:dyDescent="0.2">
      <c r="C162" s="235"/>
      <c r="D162" s="235"/>
      <c r="E162" s="235"/>
      <c r="F162" s="235"/>
      <c r="G162" s="235"/>
      <c r="H162" s="235"/>
      <c r="I162" s="235"/>
      <c r="J162" s="186"/>
      <c r="K162" s="235"/>
      <c r="L162" s="235" t="s">
        <v>312</v>
      </c>
      <c r="N162" s="235"/>
      <c r="O162" s="235"/>
      <c r="P162" s="235"/>
      <c r="Q162" s="235"/>
      <c r="R162" s="244">
        <v>3</v>
      </c>
      <c r="S162" s="414">
        <f>Geometry!I21</f>
        <v>0</v>
      </c>
      <c r="T162" s="414">
        <f>Geometry!H21</f>
        <v>0</v>
      </c>
      <c r="U162" s="497">
        <f>R141</f>
        <v>0</v>
      </c>
      <c r="V162" s="186">
        <f t="shared" si="8"/>
        <v>0</v>
      </c>
      <c r="W162" s="186">
        <f>IF(T162&gt;Geometry!J21,Geometry!V162,0)</f>
        <v>0</v>
      </c>
      <c r="X162" s="483"/>
      <c r="Y162" s="244">
        <v>3</v>
      </c>
      <c r="Z162" s="414">
        <f>Geometry!N21</f>
        <v>0</v>
      </c>
      <c r="AA162" s="414">
        <f>Geometry!M21</f>
        <v>0</v>
      </c>
      <c r="AB162" s="489">
        <f>Y149</f>
        <v>115</v>
      </c>
      <c r="AC162" s="186">
        <f t="shared" si="9"/>
        <v>0</v>
      </c>
      <c r="AD162" s="186">
        <f>IF(AA162&lt;Geometry!O21,Geometry!Z162,0)</f>
        <v>0</v>
      </c>
    </row>
    <row r="163" spans="1:30" ht="11.45" customHeight="1" x14ac:dyDescent="0.2">
      <c r="C163" s="235"/>
      <c r="D163" s="235"/>
      <c r="E163" s="235"/>
      <c r="F163" s="235"/>
      <c r="G163" s="235"/>
      <c r="H163" s="235"/>
      <c r="I163" s="235"/>
      <c r="J163" s="186"/>
      <c r="K163" s="235"/>
      <c r="L163" s="235" t="s">
        <v>0</v>
      </c>
      <c r="N163" s="235"/>
      <c r="O163" s="235"/>
      <c r="P163" s="235"/>
      <c r="Q163" s="235"/>
      <c r="R163" s="244">
        <v>4</v>
      </c>
      <c r="S163" s="414">
        <f>Geometry!I22</f>
        <v>0</v>
      </c>
      <c r="T163" s="414">
        <f>Geometry!H22</f>
        <v>0</v>
      </c>
      <c r="U163" s="497">
        <f>R141</f>
        <v>0</v>
      </c>
      <c r="V163" s="186">
        <f t="shared" si="8"/>
        <v>0</v>
      </c>
      <c r="W163" s="186">
        <f>IF(T163&gt;Geometry!J22,Geometry!V163,0)</f>
        <v>0</v>
      </c>
      <c r="X163" s="483"/>
      <c r="Y163" s="244">
        <v>4</v>
      </c>
      <c r="Z163" s="414">
        <f>Geometry!N22</f>
        <v>0</v>
      </c>
      <c r="AA163" s="414">
        <f>Geometry!M22</f>
        <v>0</v>
      </c>
      <c r="AB163" s="489">
        <f>Y149</f>
        <v>115</v>
      </c>
      <c r="AC163" s="186">
        <f t="shared" si="9"/>
        <v>0</v>
      </c>
      <c r="AD163" s="186">
        <f>IF(AA163&lt;Geometry!O22,Geometry!Z163,0)</f>
        <v>0</v>
      </c>
    </row>
    <row r="164" spans="1:30" ht="11.45" customHeight="1" x14ac:dyDescent="0.2">
      <c r="C164" s="235" t="s">
        <v>78</v>
      </c>
      <c r="D164" s="235"/>
      <c r="E164" s="235"/>
      <c r="F164" s="235"/>
      <c r="G164" s="235"/>
      <c r="H164" s="235"/>
      <c r="I164" s="235"/>
      <c r="J164" s="186"/>
      <c r="K164" s="235"/>
      <c r="L164" s="235" t="s">
        <v>79</v>
      </c>
      <c r="N164" s="235"/>
      <c r="O164" s="235"/>
      <c r="P164" s="235"/>
      <c r="Q164" s="235"/>
      <c r="R164" s="244">
        <v>5</v>
      </c>
      <c r="S164" s="414">
        <f>Geometry!I23</f>
        <v>0</v>
      </c>
      <c r="T164" s="414">
        <f>Geometry!H23</f>
        <v>0</v>
      </c>
      <c r="U164" s="497">
        <f>R141</f>
        <v>0</v>
      </c>
      <c r="V164" s="186">
        <f t="shared" si="8"/>
        <v>0</v>
      </c>
      <c r="W164" s="186">
        <f>IF(T164&gt;Geometry!J23,Geometry!V164,0)</f>
        <v>0</v>
      </c>
      <c r="X164" s="483"/>
      <c r="Y164" s="244">
        <v>5</v>
      </c>
      <c r="Z164" s="414">
        <f>Geometry!N23</f>
        <v>0</v>
      </c>
      <c r="AA164" s="414">
        <f>Geometry!M23</f>
        <v>0</v>
      </c>
      <c r="AB164" s="489">
        <f>Y149</f>
        <v>115</v>
      </c>
      <c r="AC164" s="186">
        <f t="shared" si="9"/>
        <v>0</v>
      </c>
      <c r="AD164" s="186">
        <f>IF(AA164&lt;Geometry!O23,Geometry!Z164,0)</f>
        <v>0</v>
      </c>
    </row>
    <row r="165" spans="1:30" ht="11.45" customHeight="1" x14ac:dyDescent="0.2">
      <c r="A165" s="488"/>
      <c r="C165" s="235"/>
      <c r="D165" s="235"/>
      <c r="E165" s="235"/>
      <c r="F165" s="235"/>
      <c r="G165" s="235"/>
      <c r="H165" s="235"/>
      <c r="I165" s="235"/>
      <c r="J165" s="186"/>
      <c r="K165" s="235"/>
      <c r="L165" s="186"/>
      <c r="M165" s="235"/>
      <c r="N165" s="235"/>
      <c r="O165" s="235"/>
      <c r="P165" s="235"/>
      <c r="Q165" s="235"/>
      <c r="R165" s="244">
        <v>6</v>
      </c>
      <c r="S165" s="414">
        <f>Geometry!I24</f>
        <v>0</v>
      </c>
      <c r="T165" s="414">
        <f>Geometry!H24</f>
        <v>0</v>
      </c>
      <c r="U165" s="497">
        <f>R141</f>
        <v>0</v>
      </c>
      <c r="V165" s="186">
        <f t="shared" si="8"/>
        <v>0</v>
      </c>
      <c r="W165" s="186">
        <f>IF(T165&gt;Geometry!J24,Geometry!V165,0)</f>
        <v>0</v>
      </c>
      <c r="X165" s="483"/>
      <c r="Y165" s="244">
        <v>6</v>
      </c>
      <c r="Z165" s="414">
        <f>Geometry!N24</f>
        <v>0</v>
      </c>
      <c r="AA165" s="414">
        <f>Geometry!M24</f>
        <v>0</v>
      </c>
      <c r="AB165" s="489">
        <f>Y149</f>
        <v>115</v>
      </c>
      <c r="AC165" s="186">
        <f t="shared" si="9"/>
        <v>0</v>
      </c>
      <c r="AD165" s="186">
        <f>IF(AA165&lt;Geometry!O24,Geometry!Z165,0)</f>
        <v>0</v>
      </c>
    </row>
    <row r="166" spans="1:30" ht="11.45" customHeight="1" x14ac:dyDescent="0.2">
      <c r="A166" s="488"/>
      <c r="C166" s="235"/>
      <c r="D166" s="235"/>
      <c r="E166" s="235"/>
      <c r="F166" s="235"/>
      <c r="G166" s="235"/>
      <c r="H166" s="235"/>
      <c r="I166" s="235"/>
      <c r="J166" s="186"/>
      <c r="K166" s="235"/>
      <c r="L166" s="186"/>
      <c r="M166" s="235"/>
      <c r="N166" s="235"/>
      <c r="O166" s="235"/>
      <c r="P166" s="235"/>
      <c r="Q166" s="235"/>
      <c r="R166" s="244">
        <v>7</v>
      </c>
      <c r="S166" s="414">
        <f>Geometry!I25</f>
        <v>0</v>
      </c>
      <c r="T166" s="414">
        <f>Geometry!H25</f>
        <v>0</v>
      </c>
      <c r="U166" s="497">
        <f>R141</f>
        <v>0</v>
      </c>
      <c r="V166" s="186">
        <f t="shared" si="8"/>
        <v>0</v>
      </c>
      <c r="W166" s="186">
        <f>IF(T166&gt;Geometry!J25,Geometry!V166,0)</f>
        <v>0</v>
      </c>
      <c r="X166" s="484"/>
      <c r="Y166" s="244">
        <v>7</v>
      </c>
      <c r="Z166" s="414">
        <f>Geometry!N25</f>
        <v>0</v>
      </c>
      <c r="AA166" s="414">
        <f>Geometry!M25</f>
        <v>0</v>
      </c>
      <c r="AB166" s="489">
        <f>Y149</f>
        <v>115</v>
      </c>
      <c r="AC166" s="186">
        <f t="shared" si="9"/>
        <v>0</v>
      </c>
      <c r="AD166" s="186">
        <f>IF(AA166&lt;Geometry!O25,Geometry!Z166,0)</f>
        <v>0</v>
      </c>
    </row>
    <row r="167" spans="1:30" ht="11.45" customHeight="1" x14ac:dyDescent="0.2">
      <c r="A167" s="488"/>
      <c r="C167" s="498" t="s">
        <v>126</v>
      </c>
      <c r="D167" s="235"/>
      <c r="E167" s="235"/>
      <c r="F167" s="235"/>
      <c r="G167" s="235"/>
      <c r="H167" s="235"/>
      <c r="I167" s="235"/>
      <c r="J167" s="186"/>
      <c r="K167" s="235"/>
      <c r="L167" s="186"/>
      <c r="M167" s="235"/>
      <c r="N167" s="235"/>
      <c r="O167" s="235"/>
      <c r="P167" s="235"/>
      <c r="Q167" s="235"/>
      <c r="R167" s="244">
        <v>8</v>
      </c>
      <c r="S167" s="414">
        <f>Geometry!I26</f>
        <v>0</v>
      </c>
      <c r="T167" s="414">
        <f>Geometry!H26</f>
        <v>0</v>
      </c>
      <c r="U167" s="497">
        <f>R141</f>
        <v>0</v>
      </c>
      <c r="V167" s="186">
        <f t="shared" si="8"/>
        <v>0</v>
      </c>
      <c r="W167" s="186">
        <f>IF(T167&gt;Geometry!J26,Geometry!V167,0)</f>
        <v>0</v>
      </c>
      <c r="X167" s="484"/>
      <c r="Y167" s="244">
        <v>8</v>
      </c>
      <c r="Z167" s="414">
        <f>Geometry!N26</f>
        <v>0</v>
      </c>
      <c r="AA167" s="414">
        <f>Geometry!M26</f>
        <v>0</v>
      </c>
      <c r="AB167" s="489">
        <f>Y149</f>
        <v>115</v>
      </c>
      <c r="AC167" s="186">
        <f t="shared" si="9"/>
        <v>0</v>
      </c>
      <c r="AD167" s="186">
        <f>IF(AA167&lt;Geometry!O26,Geometry!Z167,0)</f>
        <v>0</v>
      </c>
    </row>
    <row r="168" spans="1:30" ht="11.45" customHeight="1" x14ac:dyDescent="0.2">
      <c r="A168" s="488"/>
      <c r="C168" s="235"/>
      <c r="D168" s="235"/>
      <c r="E168" s="235"/>
      <c r="F168" s="235"/>
      <c r="G168" s="235"/>
      <c r="H168" s="235"/>
      <c r="I168" s="235"/>
      <c r="J168" s="186"/>
      <c r="K168" s="235"/>
      <c r="L168" s="186"/>
      <c r="M168" s="235"/>
      <c r="N168" s="235"/>
      <c r="O168" s="235"/>
      <c r="P168" s="235"/>
      <c r="Q168" s="235"/>
      <c r="R168" s="244">
        <v>9</v>
      </c>
      <c r="S168" s="414">
        <f>Geometry!I27</f>
        <v>0</v>
      </c>
      <c r="T168" s="414">
        <f>Geometry!H27</f>
        <v>0</v>
      </c>
      <c r="U168" s="497">
        <f>R141</f>
        <v>0</v>
      </c>
      <c r="V168" s="186">
        <f t="shared" si="8"/>
        <v>0</v>
      </c>
      <c r="W168" s="186">
        <f>IF(T168&gt;Geometry!J27,Geometry!V168,0)</f>
        <v>0</v>
      </c>
      <c r="X168" s="484"/>
      <c r="Y168" s="244">
        <v>9</v>
      </c>
      <c r="Z168" s="414">
        <f>Geometry!N27</f>
        <v>0</v>
      </c>
      <c r="AA168" s="414">
        <f>Geometry!M27</f>
        <v>0</v>
      </c>
      <c r="AB168" s="489">
        <f>Y149</f>
        <v>115</v>
      </c>
      <c r="AC168" s="186">
        <f t="shared" si="9"/>
        <v>0</v>
      </c>
      <c r="AD168" s="186">
        <f>IF(AA168&lt;Geometry!O27,Geometry!Z168,0)</f>
        <v>0</v>
      </c>
    </row>
    <row r="169" spans="1:30" ht="11.45" customHeight="1" x14ac:dyDescent="0.2">
      <c r="A169" s="488"/>
      <c r="C169" s="235" t="s">
        <v>80</v>
      </c>
      <c r="D169" s="235"/>
      <c r="E169" s="235"/>
      <c r="F169" s="235"/>
      <c r="G169" s="235"/>
      <c r="H169" s="235"/>
      <c r="I169" s="235"/>
      <c r="J169" s="186"/>
      <c r="K169" s="235"/>
      <c r="L169" s="186"/>
      <c r="M169" s="235"/>
      <c r="N169" s="235"/>
      <c r="O169" s="235"/>
      <c r="P169" s="235"/>
      <c r="Q169" s="235"/>
      <c r="R169" s="244">
        <v>10</v>
      </c>
      <c r="S169" s="414">
        <f>Geometry!I28</f>
        <v>0</v>
      </c>
      <c r="T169" s="414">
        <f>Geometry!H28</f>
        <v>0</v>
      </c>
      <c r="U169" s="497">
        <f>R141</f>
        <v>0</v>
      </c>
      <c r="V169" s="186">
        <f t="shared" si="8"/>
        <v>0</v>
      </c>
      <c r="W169" s="186">
        <f>IF(T169&gt;Geometry!J28,Geometry!V169,0)</f>
        <v>0</v>
      </c>
      <c r="X169" s="484"/>
      <c r="Y169" s="244">
        <v>10</v>
      </c>
      <c r="Z169" s="414">
        <f>Geometry!N28</f>
        <v>0</v>
      </c>
      <c r="AA169" s="414">
        <f>Geometry!M28</f>
        <v>0</v>
      </c>
      <c r="AB169" s="489">
        <f>Y149</f>
        <v>115</v>
      </c>
      <c r="AC169" s="186">
        <f t="shared" si="9"/>
        <v>0</v>
      </c>
      <c r="AD169" s="186">
        <f>IF(AA169&lt;Geometry!O28,Geometry!Z169,0)</f>
        <v>0</v>
      </c>
    </row>
    <row r="170" spans="1:30" ht="11.45" customHeight="1" x14ac:dyDescent="0.2">
      <c r="A170" s="488"/>
      <c r="C170" s="235" t="s">
        <v>111</v>
      </c>
      <c r="D170" s="235"/>
      <c r="E170" s="235"/>
      <c r="F170" s="235"/>
      <c r="G170" s="235"/>
      <c r="H170" s="235"/>
      <c r="I170" s="235"/>
      <c r="J170" s="186"/>
      <c r="K170" s="235"/>
      <c r="L170" s="186"/>
      <c r="M170" s="235"/>
      <c r="N170" s="235"/>
      <c r="O170" s="235"/>
      <c r="P170" s="235"/>
      <c r="Q170" s="235"/>
      <c r="R170" s="234"/>
      <c r="S170" s="234"/>
      <c r="T170" s="234"/>
      <c r="U170" s="499"/>
      <c r="V170" s="234"/>
      <c r="W170" s="234"/>
      <c r="X170" s="500"/>
      <c r="Y170" s="234"/>
      <c r="Z170" s="234"/>
      <c r="AA170" s="234"/>
      <c r="AB170" s="501"/>
      <c r="AC170" s="234"/>
      <c r="AD170" s="234"/>
    </row>
    <row r="171" spans="1:30" ht="11.45" customHeight="1" x14ac:dyDescent="0.2">
      <c r="A171" s="488"/>
      <c r="C171" s="235"/>
      <c r="D171" s="235"/>
      <c r="E171" s="235"/>
      <c r="F171" s="235"/>
      <c r="G171" s="235"/>
      <c r="H171" s="235"/>
      <c r="I171" s="235"/>
      <c r="J171" s="186"/>
      <c r="K171" s="235"/>
      <c r="L171" s="186"/>
      <c r="M171" s="235"/>
      <c r="N171" s="235"/>
      <c r="O171" s="235"/>
      <c r="P171" s="235"/>
      <c r="Q171" s="235"/>
      <c r="R171" s="234"/>
      <c r="S171" s="234"/>
      <c r="T171" s="234"/>
      <c r="U171" s="499"/>
      <c r="V171" s="234"/>
      <c r="W171" s="234"/>
      <c r="X171" s="500"/>
      <c r="Y171" s="234"/>
      <c r="Z171" s="234"/>
      <c r="AA171" s="234"/>
      <c r="AB171" s="501"/>
      <c r="AC171" s="234"/>
      <c r="AD171" s="234"/>
    </row>
    <row r="172" spans="1:30" ht="11.45" customHeight="1" x14ac:dyDescent="0.2">
      <c r="A172" s="488"/>
      <c r="C172" s="235"/>
      <c r="D172" s="235"/>
      <c r="E172" s="235"/>
      <c r="F172" s="235"/>
      <c r="G172" s="235"/>
      <c r="H172" s="235"/>
      <c r="I172" s="235"/>
      <c r="J172" s="186"/>
      <c r="K172" s="235"/>
      <c r="L172" s="186"/>
      <c r="M172" s="235"/>
      <c r="N172" s="235"/>
      <c r="O172" s="235"/>
      <c r="P172" s="235"/>
      <c r="Q172" s="235"/>
      <c r="R172" s="234"/>
      <c r="S172" s="234"/>
      <c r="T172" s="234"/>
      <c r="U172" s="499"/>
      <c r="V172" s="234"/>
      <c r="W172" s="234"/>
      <c r="X172" s="236"/>
      <c r="Y172" s="234"/>
      <c r="Z172" s="234"/>
      <c r="AA172" s="234"/>
      <c r="AB172" s="501"/>
      <c r="AC172" s="234"/>
      <c r="AD172" s="234"/>
    </row>
    <row r="173" spans="1:30" ht="11.45" customHeight="1" x14ac:dyDescent="0.2">
      <c r="A173" s="488"/>
      <c r="C173" s="235"/>
      <c r="D173" s="235"/>
      <c r="E173" s="235"/>
      <c r="F173" s="235"/>
      <c r="G173" s="235"/>
      <c r="H173" s="235"/>
      <c r="I173" s="235"/>
      <c r="J173" s="186"/>
      <c r="K173" s="235"/>
      <c r="L173" s="186"/>
      <c r="M173" s="235"/>
      <c r="N173" s="235"/>
      <c r="O173" s="235"/>
      <c r="P173" s="235"/>
      <c r="Q173" s="235"/>
      <c r="R173" s="234"/>
      <c r="S173" s="234"/>
      <c r="T173" s="234"/>
      <c r="U173" s="499"/>
      <c r="V173" s="234"/>
      <c r="W173" s="234"/>
      <c r="X173" s="236"/>
      <c r="Y173" s="234"/>
      <c r="Z173" s="234"/>
      <c r="AA173" s="234"/>
      <c r="AB173" s="501"/>
      <c r="AC173" s="234"/>
      <c r="AD173" s="234"/>
    </row>
    <row r="174" spans="1:30" ht="11.45" customHeight="1" x14ac:dyDescent="0.2">
      <c r="A174" s="488"/>
      <c r="C174" s="235"/>
      <c r="E174" s="502"/>
      <c r="F174" s="502" t="s">
        <v>112</v>
      </c>
      <c r="G174" s="502"/>
      <c r="H174" s="287"/>
      <c r="I174" s="502"/>
      <c r="J174" s="186"/>
      <c r="K174" s="502"/>
      <c r="L174" s="502" t="s">
        <v>113</v>
      </c>
      <c r="M174" s="502"/>
      <c r="N174" s="502"/>
      <c r="O174" s="502"/>
      <c r="P174" s="235"/>
      <c r="Q174" s="235"/>
    </row>
    <row r="175" spans="1:30" ht="11.45" customHeight="1" x14ac:dyDescent="0.2">
      <c r="A175" s="488"/>
      <c r="C175" s="235"/>
      <c r="D175" s="235"/>
      <c r="E175" s="235"/>
      <c r="F175" s="235"/>
      <c r="G175" s="235"/>
      <c r="H175" s="235"/>
      <c r="I175" s="235"/>
      <c r="J175" s="186"/>
      <c r="K175" s="235"/>
      <c r="L175" s="186"/>
      <c r="M175" s="235"/>
      <c r="N175" s="235"/>
      <c r="O175" s="235"/>
      <c r="P175" s="235"/>
      <c r="Q175" s="235"/>
      <c r="U175" s="212" t="s">
        <v>167</v>
      </c>
      <c r="V175" s="414">
        <f>SUM(V160:V169)</f>
        <v>0</v>
      </c>
      <c r="W175" s="503">
        <f>SUM(W160:W169)</f>
        <v>0</v>
      </c>
      <c r="AB175" s="212" t="s">
        <v>167</v>
      </c>
      <c r="AC175" s="414">
        <f>SUM(AC160:AC169)</f>
        <v>0</v>
      </c>
      <c r="AD175" s="503">
        <f>SUM(AD160:AD169)</f>
        <v>0</v>
      </c>
    </row>
    <row r="176" spans="1:30" ht="11.45" customHeight="1" x14ac:dyDescent="0.2">
      <c r="A176" s="488"/>
      <c r="C176" s="504" t="s">
        <v>26</v>
      </c>
      <c r="D176" s="504"/>
      <c r="E176" s="504" t="s">
        <v>81</v>
      </c>
      <c r="F176" s="504"/>
      <c r="G176" s="483" t="s">
        <v>82</v>
      </c>
      <c r="H176" s="504" t="s">
        <v>83</v>
      </c>
      <c r="I176" s="249"/>
      <c r="J176" s="483"/>
      <c r="K176" s="504" t="s">
        <v>81</v>
      </c>
      <c r="L176" s="504"/>
      <c r="M176" s="483" t="s">
        <v>82</v>
      </c>
      <c r="N176" s="504" t="s">
        <v>83</v>
      </c>
      <c r="O176" s="249"/>
      <c r="U176" s="212" t="s">
        <v>166</v>
      </c>
      <c r="W176" s="505" t="s">
        <v>313</v>
      </c>
      <c r="AB176" s="212" t="s">
        <v>166</v>
      </c>
      <c r="AD176" s="505" t="s">
        <v>313</v>
      </c>
    </row>
    <row r="177" spans="1:41" ht="11.45" customHeight="1" x14ac:dyDescent="0.2">
      <c r="A177" s="488"/>
      <c r="C177" s="235" t="s">
        <v>84</v>
      </c>
      <c r="E177" s="249"/>
      <c r="F177" s="249"/>
      <c r="G177" s="235"/>
      <c r="H177" s="249"/>
      <c r="I177" s="249"/>
      <c r="J177" s="186"/>
      <c r="K177" s="249"/>
      <c r="L177" s="249"/>
      <c r="M177" s="235"/>
      <c r="N177" s="249"/>
      <c r="O177" s="249"/>
      <c r="P177" s="235"/>
      <c r="Q177" s="235"/>
      <c r="U177" s="212" t="s">
        <v>163</v>
      </c>
      <c r="AB177" s="212" t="s">
        <v>163</v>
      </c>
    </row>
    <row r="178" spans="1:41" ht="11.45" customHeight="1" x14ac:dyDescent="0.2">
      <c r="A178" s="488"/>
      <c r="C178" s="249" t="s">
        <v>69</v>
      </c>
      <c r="D178" s="249"/>
      <c r="E178" s="249" t="s">
        <v>85</v>
      </c>
      <c r="F178" s="249"/>
      <c r="G178" s="235" t="s">
        <v>86</v>
      </c>
      <c r="H178" s="249" t="s">
        <v>87</v>
      </c>
      <c r="I178" s="249"/>
      <c r="J178" s="186"/>
      <c r="K178" s="249" t="s">
        <v>88</v>
      </c>
      <c r="L178" s="249"/>
      <c r="M178" s="186" t="s">
        <v>89</v>
      </c>
      <c r="N178" s="249" t="s">
        <v>90</v>
      </c>
      <c r="O178" s="249"/>
      <c r="P178" s="235"/>
      <c r="Q178" s="235"/>
    </row>
    <row r="179" spans="1:41" ht="11.45" customHeight="1" x14ac:dyDescent="0.2">
      <c r="A179" s="488"/>
      <c r="C179" s="249" t="s">
        <v>58</v>
      </c>
      <c r="D179" s="249"/>
      <c r="E179" s="249" t="s">
        <v>85</v>
      </c>
      <c r="F179" s="249"/>
      <c r="G179" s="235" t="s">
        <v>86</v>
      </c>
      <c r="H179" s="249" t="s">
        <v>87</v>
      </c>
      <c r="I179" s="249"/>
      <c r="K179" s="249" t="s">
        <v>91</v>
      </c>
      <c r="L179" s="249"/>
      <c r="M179" s="186" t="s">
        <v>92</v>
      </c>
      <c r="N179" s="249" t="s">
        <v>93</v>
      </c>
      <c r="O179" s="249"/>
      <c r="P179" s="235"/>
      <c r="Q179" s="235"/>
      <c r="R179" s="235"/>
    </row>
    <row r="180" spans="1:41" ht="11.45" customHeight="1" x14ac:dyDescent="0.2">
      <c r="A180" s="488"/>
      <c r="C180" s="249" t="s">
        <v>70</v>
      </c>
      <c r="D180" s="249"/>
      <c r="E180" s="249" t="s">
        <v>94</v>
      </c>
      <c r="F180" s="249"/>
      <c r="G180" s="235" t="s">
        <v>95</v>
      </c>
      <c r="H180" s="249" t="s">
        <v>96</v>
      </c>
      <c r="I180" s="249"/>
      <c r="K180" s="249" t="s">
        <v>97</v>
      </c>
      <c r="L180" s="249"/>
      <c r="M180" s="186" t="s">
        <v>98</v>
      </c>
      <c r="N180" s="249" t="s">
        <v>99</v>
      </c>
      <c r="O180" s="249"/>
      <c r="P180" s="235"/>
      <c r="Q180" s="235"/>
      <c r="R180" s="506">
        <f>'RC RATING SUMMARY'!F12</f>
        <v>0</v>
      </c>
      <c r="S180" s="212" t="s">
        <v>173</v>
      </c>
    </row>
    <row r="181" spans="1:41" ht="11.45" customHeight="1" x14ac:dyDescent="0.2">
      <c r="A181" s="488"/>
      <c r="C181" s="235"/>
      <c r="D181" s="235" t="s">
        <v>84</v>
      </c>
      <c r="E181" s="235"/>
      <c r="F181" s="235"/>
      <c r="G181" s="235"/>
      <c r="H181" s="235"/>
      <c r="I181" s="235"/>
      <c r="J181" s="186"/>
      <c r="K181" s="235"/>
      <c r="L181" s="186"/>
      <c r="M181" s="235"/>
      <c r="N181" s="235"/>
      <c r="O181" s="235"/>
      <c r="P181" s="235"/>
      <c r="Q181" s="235"/>
      <c r="R181" s="503">
        <f>SUM(W175,AD175)</f>
        <v>0</v>
      </c>
      <c r="S181" s="495" t="s">
        <v>315</v>
      </c>
    </row>
    <row r="182" spans="1:41" ht="11.45" customHeight="1" x14ac:dyDescent="0.2">
      <c r="A182" s="488"/>
      <c r="C182" s="235"/>
      <c r="D182" s="235"/>
      <c r="E182" s="235"/>
      <c r="F182" s="235"/>
      <c r="G182" s="235"/>
      <c r="H182" s="235"/>
      <c r="I182" s="235"/>
      <c r="J182" s="186"/>
      <c r="K182" s="235"/>
      <c r="L182" s="186"/>
      <c r="M182" s="235"/>
      <c r="N182" s="235"/>
      <c r="O182" s="235"/>
      <c r="P182" s="235"/>
      <c r="Q182" s="235"/>
      <c r="R182" s="507">
        <f>IF(R180=0,0,R181/R180)</f>
        <v>0</v>
      </c>
      <c r="S182" s="495" t="s">
        <v>316</v>
      </c>
    </row>
    <row r="183" spans="1:41" ht="11.45" customHeight="1" x14ac:dyDescent="0.2">
      <c r="A183" s="488"/>
      <c r="C183" s="235"/>
      <c r="D183" s="235"/>
      <c r="E183" s="235"/>
      <c r="F183" s="235"/>
      <c r="G183" s="235"/>
      <c r="H183" s="235"/>
      <c r="I183" s="235"/>
      <c r="J183" s="186"/>
      <c r="K183" s="235"/>
      <c r="L183" s="186"/>
      <c r="M183" s="235"/>
      <c r="N183" s="235" t="s">
        <v>100</v>
      </c>
      <c r="O183" s="235" t="s">
        <v>101</v>
      </c>
      <c r="P183" s="235"/>
      <c r="Q183" s="235"/>
    </row>
    <row r="184" spans="1:41" ht="11.45" customHeight="1" x14ac:dyDescent="0.2">
      <c r="A184" s="488"/>
      <c r="C184" s="235"/>
      <c r="D184" s="235"/>
      <c r="E184" s="235"/>
      <c r="F184" s="235"/>
      <c r="G184" s="235"/>
      <c r="H184" s="235"/>
      <c r="I184" s="235"/>
      <c r="J184" s="186"/>
      <c r="K184" s="235"/>
      <c r="L184" s="186"/>
      <c r="M184" s="235"/>
      <c r="N184" s="235"/>
      <c r="O184" s="235"/>
      <c r="P184" s="235"/>
      <c r="Q184" s="235"/>
      <c r="R184" s="508">
        <f>IF(R182=0,0,R185)</f>
        <v>0</v>
      </c>
      <c r="S184" s="212" t="s">
        <v>28</v>
      </c>
      <c r="T184" s="212">
        <v>3</v>
      </c>
    </row>
    <row r="185" spans="1:41" ht="11.45" customHeight="1" x14ac:dyDescent="0.2">
      <c r="A185" s="488"/>
      <c r="C185" s="235"/>
      <c r="E185" s="235"/>
      <c r="F185" s="235" t="s">
        <v>114</v>
      </c>
      <c r="G185" s="235"/>
      <c r="H185" s="235"/>
      <c r="I185" s="186">
        <f>S196</f>
        <v>0</v>
      </c>
      <c r="J185" s="186"/>
      <c r="L185" s="414">
        <f>IF(Geometry!F33&gt;=Geometry!H33,0,W196)</f>
        <v>0</v>
      </c>
      <c r="M185" s="235" t="s">
        <v>306</v>
      </c>
      <c r="N185" s="235"/>
      <c r="O185" s="235"/>
      <c r="P185" s="235"/>
      <c r="Q185" s="235"/>
      <c r="R185" s="509" t="str">
        <f>IF(AND(R182&lt;&gt;0,R182&lt;0.05),3,R186)</f>
        <v/>
      </c>
      <c r="T185" s="212">
        <v>6</v>
      </c>
    </row>
    <row r="186" spans="1:41" ht="11.45" customHeight="1" x14ac:dyDescent="0.2">
      <c r="A186" s="488"/>
      <c r="C186" s="235"/>
      <c r="D186" s="235"/>
      <c r="E186" s="235"/>
      <c r="F186" s="235"/>
      <c r="G186" s="235"/>
      <c r="H186" s="235"/>
      <c r="I186" s="186"/>
      <c r="J186" s="186"/>
      <c r="K186" s="235"/>
      <c r="L186" s="186"/>
      <c r="M186" s="235"/>
      <c r="N186" s="235"/>
      <c r="O186" s="235"/>
      <c r="P186" s="235"/>
      <c r="Q186" s="235"/>
      <c r="R186" s="509" t="str">
        <f>IF(AND(R182&gt;=0.05,R182&lt;0.1),6,R187)</f>
        <v/>
      </c>
      <c r="T186" s="212">
        <v>8</v>
      </c>
    </row>
    <row r="187" spans="1:41" ht="11.45" customHeight="1" x14ac:dyDescent="0.2">
      <c r="A187" s="488"/>
      <c r="C187" s="235"/>
      <c r="E187" s="235"/>
      <c r="F187" s="235" t="s">
        <v>115</v>
      </c>
      <c r="G187" s="235"/>
      <c r="H187" s="235"/>
      <c r="I187" s="186">
        <f>S197</f>
        <v>0</v>
      </c>
      <c r="J187" s="186"/>
      <c r="K187" s="235"/>
      <c r="L187" s="414">
        <f>IF(Geometry!F34&gt;=Geometry!H34,0,W202)</f>
        <v>0</v>
      </c>
      <c r="M187" s="235" t="s">
        <v>307</v>
      </c>
      <c r="N187" s="235"/>
      <c r="O187" s="235"/>
      <c r="P187" s="235"/>
      <c r="Q187" s="235"/>
      <c r="R187" s="186" t="str">
        <f>IF(R182&gt;=0.1,8,"")</f>
        <v/>
      </c>
      <c r="AE187" s="235"/>
      <c r="AF187" s="235"/>
      <c r="AG187" s="235"/>
      <c r="AH187" s="235"/>
      <c r="AI187" s="235"/>
      <c r="AJ187" s="235"/>
      <c r="AK187" s="235"/>
      <c r="AL187" s="235"/>
      <c r="AM187" s="235"/>
      <c r="AN187" s="235"/>
      <c r="AO187" s="235"/>
    </row>
    <row r="188" spans="1:41" ht="11.45" customHeight="1" x14ac:dyDescent="0.2">
      <c r="A188" s="488"/>
      <c r="C188" s="235"/>
      <c r="D188" s="235"/>
      <c r="E188" s="235"/>
      <c r="F188" s="235"/>
      <c r="G188" s="235"/>
      <c r="H188" s="235"/>
      <c r="I188" s="235"/>
      <c r="J188" s="186"/>
      <c r="K188" s="235"/>
      <c r="L188" s="186"/>
      <c r="M188" s="235"/>
      <c r="N188" s="235"/>
      <c r="O188" s="235"/>
      <c r="P188" s="235"/>
      <c r="Q188" s="235"/>
      <c r="R188" s="235"/>
      <c r="AE188" s="186"/>
      <c r="AF188" s="414">
        <f>'RC RATING SUMMARY'!F14</f>
        <v>0</v>
      </c>
      <c r="AG188" s="235" t="s">
        <v>158</v>
      </c>
      <c r="AH188" s="186"/>
      <c r="AI188" s="186"/>
      <c r="AJ188" s="186"/>
      <c r="AK188" s="186"/>
      <c r="AL188" s="235"/>
      <c r="AM188" s="235"/>
      <c r="AN188" s="235"/>
      <c r="AO188" s="235"/>
    </row>
    <row r="189" spans="1:41" ht="11.45" customHeight="1" x14ac:dyDescent="0.2">
      <c r="A189" s="488"/>
      <c r="C189" s="235"/>
      <c r="D189" s="235"/>
      <c r="E189" s="235"/>
      <c r="F189" s="235"/>
      <c r="G189" s="235"/>
      <c r="H189" s="235"/>
      <c r="I189" s="235"/>
      <c r="J189" s="186"/>
      <c r="K189" s="235"/>
      <c r="L189" s="186"/>
      <c r="M189" s="235"/>
      <c r="N189" s="235"/>
      <c r="O189" s="235"/>
      <c r="P189" s="235"/>
      <c r="Q189" s="235"/>
      <c r="R189" s="235"/>
      <c r="AE189" s="186"/>
      <c r="AF189" s="234"/>
      <c r="AG189" s="235"/>
      <c r="AH189" s="186"/>
      <c r="AI189" s="186"/>
      <c r="AJ189" s="186"/>
      <c r="AK189" s="186"/>
      <c r="AL189" s="235"/>
      <c r="AM189" s="235"/>
      <c r="AN189" s="235"/>
      <c r="AO189" s="235"/>
    </row>
    <row r="190" spans="1:41" ht="11.45" customHeight="1" x14ac:dyDescent="0.2">
      <c r="A190" s="488"/>
      <c r="C190" s="235"/>
      <c r="E190" s="235"/>
      <c r="F190" s="235"/>
      <c r="G190" s="235"/>
      <c r="H190" s="235"/>
      <c r="I190" s="487" t="s">
        <v>102</v>
      </c>
      <c r="L190" s="186"/>
      <c r="M190" s="235"/>
      <c r="N190" s="235"/>
      <c r="O190" s="262">
        <f>SUM(L185,L187)</f>
        <v>0</v>
      </c>
      <c r="P190" s="235"/>
      <c r="Q190" s="235"/>
      <c r="R190" s="235"/>
      <c r="AE190" s="235"/>
      <c r="AF190" s="235"/>
      <c r="AG190" s="235"/>
      <c r="AH190" s="235"/>
      <c r="AI190" s="235"/>
      <c r="AJ190" s="235"/>
      <c r="AK190" s="235"/>
      <c r="AL190" s="235"/>
      <c r="AM190" s="235"/>
      <c r="AN190" s="235"/>
      <c r="AO190" s="235"/>
    </row>
    <row r="191" spans="1:41" ht="11.45" customHeight="1" x14ac:dyDescent="0.2">
      <c r="A191" s="488"/>
      <c r="C191" s="235"/>
      <c r="D191" s="235"/>
      <c r="E191" s="235"/>
      <c r="F191" s="235"/>
      <c r="G191" s="235"/>
      <c r="H191" s="235"/>
      <c r="I191" s="235"/>
      <c r="J191" s="186"/>
      <c r="K191" s="235"/>
      <c r="L191" s="186"/>
      <c r="M191" s="235"/>
      <c r="N191" s="235"/>
      <c r="O191" s="235"/>
      <c r="P191" s="235"/>
      <c r="Q191" s="235"/>
      <c r="R191" s="235"/>
      <c r="AE191" s="233"/>
      <c r="AF191" s="233" t="s">
        <v>232</v>
      </c>
      <c r="AG191" s="233"/>
      <c r="AH191" s="233"/>
      <c r="AI191" s="233"/>
      <c r="AJ191" s="414">
        <f>IF(OR(AF188=7,AF188=8),AE196,AK196)</f>
        <v>22</v>
      </c>
      <c r="AK191" s="233" t="s">
        <v>233</v>
      </c>
      <c r="AL191" s="233"/>
      <c r="AM191" s="235"/>
      <c r="AN191" s="235"/>
      <c r="AO191" s="235"/>
    </row>
    <row r="192" spans="1:41" ht="11.45" customHeight="1" x14ac:dyDescent="0.2">
      <c r="A192" s="488"/>
      <c r="C192" s="523"/>
      <c r="D192" s="233"/>
      <c r="E192" s="233"/>
      <c r="F192" s="233"/>
      <c r="G192" s="233"/>
      <c r="H192" s="233"/>
      <c r="I192" s="233"/>
      <c r="J192" s="234"/>
      <c r="K192" s="233"/>
      <c r="L192" s="234"/>
      <c r="M192" s="233"/>
      <c r="N192" s="233"/>
      <c r="O192" s="233"/>
      <c r="P192" s="233"/>
      <c r="Q192" s="235"/>
      <c r="R192" s="235"/>
      <c r="X192" s="414">
        <f>W196</f>
        <v>8</v>
      </c>
      <c r="Y192" s="212" t="s">
        <v>180</v>
      </c>
      <c r="AE192" s="493"/>
      <c r="AF192" s="234"/>
      <c r="AG192" s="233"/>
      <c r="AH192" s="233"/>
      <c r="AI192" s="233"/>
      <c r="AJ192" s="233"/>
      <c r="AK192" s="233"/>
      <c r="AL192" s="233"/>
      <c r="AM192" s="235"/>
      <c r="AN192" s="235"/>
      <c r="AO192" s="235"/>
    </row>
    <row r="193" spans="1:41" ht="11.45" customHeight="1" x14ac:dyDescent="0.2">
      <c r="A193" s="488"/>
      <c r="C193" s="233"/>
      <c r="D193" s="233"/>
      <c r="E193" s="233"/>
      <c r="F193" s="233"/>
      <c r="G193" s="233"/>
      <c r="H193" s="233"/>
      <c r="I193" s="233"/>
      <c r="J193" s="234"/>
      <c r="K193" s="233"/>
      <c r="L193" s="234"/>
      <c r="M193" s="233"/>
      <c r="N193" s="233"/>
      <c r="O193" s="233"/>
      <c r="P193" s="233"/>
      <c r="Q193" s="233"/>
      <c r="R193" s="235"/>
      <c r="AE193" s="493"/>
      <c r="AF193" s="572" t="s">
        <v>234</v>
      </c>
      <c r="AG193" s="573"/>
      <c r="AH193" s="233"/>
      <c r="AI193" s="233"/>
      <c r="AJ193" s="235"/>
      <c r="AK193" s="572" t="s">
        <v>235</v>
      </c>
      <c r="AL193" s="572"/>
      <c r="AM193" s="572"/>
      <c r="AN193" s="235"/>
      <c r="AO193" s="235"/>
    </row>
    <row r="194" spans="1:41" ht="11.45" customHeight="1" x14ac:dyDescent="0.2">
      <c r="A194" s="488"/>
      <c r="C194" s="233"/>
      <c r="D194" s="236"/>
      <c r="E194" s="233"/>
      <c r="F194" s="233"/>
      <c r="G194" s="233"/>
      <c r="H194" s="233"/>
      <c r="I194" s="233"/>
      <c r="J194" s="234"/>
      <c r="K194" s="233"/>
      <c r="L194" s="234"/>
      <c r="M194" s="233"/>
      <c r="N194" s="233"/>
      <c r="O194" s="233"/>
      <c r="P194" s="233"/>
      <c r="Q194" s="235"/>
      <c r="R194" s="235"/>
      <c r="X194" s="490" t="s">
        <v>181</v>
      </c>
      <c r="Y194" s="490"/>
      <c r="Z194" s="479"/>
      <c r="AE194" s="493"/>
      <c r="AF194" s="234"/>
      <c r="AG194" s="233"/>
      <c r="AH194" s="233"/>
      <c r="AI194" s="233"/>
      <c r="AJ194" s="235"/>
      <c r="AK194" s="233"/>
      <c r="AL194" s="233"/>
      <c r="AM194" s="233"/>
      <c r="AN194" s="235"/>
      <c r="AO194" s="235"/>
    </row>
    <row r="195" spans="1:41" ht="11.45" customHeight="1" x14ac:dyDescent="0.2">
      <c r="A195" s="488"/>
      <c r="C195" s="236"/>
      <c r="D195" s="233"/>
      <c r="E195" s="233"/>
      <c r="F195" s="233"/>
      <c r="G195" s="233"/>
      <c r="H195" s="233"/>
      <c r="I195" s="233"/>
      <c r="J195" s="234"/>
      <c r="K195" s="233"/>
      <c r="L195" s="234"/>
      <c r="M195" s="233"/>
      <c r="N195" s="233"/>
      <c r="O195" s="233"/>
      <c r="P195" s="233"/>
      <c r="Q195" s="235"/>
      <c r="R195" s="235"/>
      <c r="X195" s="234"/>
      <c r="Y195" s="186"/>
      <c r="Z195" s="186"/>
      <c r="AE195" s="253" t="s">
        <v>57</v>
      </c>
      <c r="AF195" s="253" t="s">
        <v>236</v>
      </c>
      <c r="AG195" s="253" t="s">
        <v>237</v>
      </c>
      <c r="AH195" s="253" t="s">
        <v>59</v>
      </c>
      <c r="AI195" s="233"/>
      <c r="AJ195" s="235"/>
      <c r="AK195" s="253" t="s">
        <v>238</v>
      </c>
      <c r="AL195" s="253" t="s">
        <v>239</v>
      </c>
      <c r="AM195" s="253" t="s">
        <v>59</v>
      </c>
      <c r="AN195" s="235"/>
      <c r="AO195" s="235"/>
    </row>
    <row r="196" spans="1:41" ht="11.45" customHeight="1" x14ac:dyDescent="0.2">
      <c r="A196" s="488"/>
      <c r="C196" s="236"/>
      <c r="D196" s="233"/>
      <c r="E196" s="233"/>
      <c r="F196" s="233"/>
      <c r="G196" s="233"/>
      <c r="H196" s="233"/>
      <c r="I196" s="233"/>
      <c r="J196" s="234"/>
      <c r="K196" s="233"/>
      <c r="L196" s="234"/>
      <c r="M196" s="233"/>
      <c r="N196" s="233"/>
      <c r="O196" s="233"/>
      <c r="P196" s="233"/>
      <c r="Q196" s="235"/>
      <c r="R196" s="235"/>
      <c r="S196" s="414">
        <f>Geometry!F33</f>
        <v>0</v>
      </c>
      <c r="T196" s="510" t="s">
        <v>188</v>
      </c>
      <c r="W196" s="414">
        <f>IF(Geometry!R52&lt;400,X196,W197)</f>
        <v>8</v>
      </c>
      <c r="X196" s="511">
        <f>IF(S196&lt;20,8,Y196)</f>
        <v>8</v>
      </c>
      <c r="Y196" s="511">
        <f>IF(S196&lt;=22,4,Z196)</f>
        <v>4</v>
      </c>
      <c r="Z196" s="511" t="str">
        <f>IF(S196&gt;22,0,"")</f>
        <v/>
      </c>
      <c r="AE196" s="234">
        <f>IF(AND(Geometry!V58&lt;=50,Geometry!R52&lt;400),20,AE197)</f>
        <v>20</v>
      </c>
      <c r="AF196" s="234">
        <f>IF(AND(Geometry!V58&lt;=30,Geometry!R52&lt;1501),20,AF197)</f>
        <v>20</v>
      </c>
      <c r="AG196" s="234">
        <f>IF(AND(Geometry!V58&lt;=50,Geometry!R52&lt;=2000),22,AG197)</f>
        <v>22</v>
      </c>
      <c r="AH196" s="234">
        <f>IF(Geometry!R52&gt;2000,24,0)</f>
        <v>0</v>
      </c>
      <c r="AI196" s="233"/>
      <c r="AJ196" s="235"/>
      <c r="AK196" s="234">
        <f>IF(AND(Geometry!V58&lt;60,Geometry!R52&lt;1501),22,AK197)</f>
        <v>22</v>
      </c>
      <c r="AL196" s="234">
        <f>IF(AND(Geometry!V58&lt;50,Geometry!R52&lt;2001),22,AL197)</f>
        <v>22</v>
      </c>
      <c r="AM196" s="234">
        <f>IF(Geometry!R52&gt;2000,24,0)</f>
        <v>0</v>
      </c>
      <c r="AN196" s="235"/>
      <c r="AO196" s="235"/>
    </row>
    <row r="197" spans="1:41" ht="11.45" customHeight="1" x14ac:dyDescent="0.2">
      <c r="A197" s="488"/>
      <c r="C197" s="525"/>
      <c r="D197" s="236"/>
      <c r="E197" s="233"/>
      <c r="F197" s="233"/>
      <c r="G197" s="233"/>
      <c r="H197" s="236"/>
      <c r="I197" s="233"/>
      <c r="J197" s="526"/>
      <c r="K197" s="526"/>
      <c r="L197" s="526"/>
      <c r="M197" s="236"/>
      <c r="N197" s="233"/>
      <c r="O197" s="233"/>
      <c r="P197" s="233"/>
      <c r="Q197" s="235"/>
      <c r="R197" s="235"/>
      <c r="S197" s="414">
        <f>Geometry!F34</f>
        <v>0</v>
      </c>
      <c r="T197" s="510" t="s">
        <v>187</v>
      </c>
      <c r="W197" s="186">
        <f>IF(Geometry!R52&lt;2001,X197,W198)</f>
        <v>8</v>
      </c>
      <c r="X197" s="511">
        <f>IF(S196&lt;20,8,Y196)</f>
        <v>8</v>
      </c>
      <c r="Y197" s="511">
        <f>IF(S196&lt;=22,4,Z196)</f>
        <v>4</v>
      </c>
      <c r="Z197" s="511" t="str">
        <f>IF(S196&gt;22,0,"")</f>
        <v/>
      </c>
      <c r="AE197" s="234">
        <f>IF(AND(Geometry!V58&gt;50,Geometry!R52&lt;400),22,AF196)</f>
        <v>20</v>
      </c>
      <c r="AF197" s="234">
        <f>IF(AND(Geometry!V58&gt;=35,Geometry!R52&lt;=1500),22,AG196)</f>
        <v>22</v>
      </c>
      <c r="AG197" s="234">
        <f>IF(AND(Geometry!V58&gt;=55,Geometry!R52&lt;=2001),24,AH196)</f>
        <v>0</v>
      </c>
      <c r="AH197" s="493"/>
      <c r="AI197" s="233"/>
      <c r="AJ197" s="235"/>
      <c r="AK197" s="234">
        <f>IF(AND(Geometry!V58&gt;55,Geometry!R52&lt;1501),24,AL196)</f>
        <v>22</v>
      </c>
      <c r="AL197" s="234">
        <f>IF(AND(Geometry!V58&gt;=50,Geometry!R52&lt;=2001),24,AM196)</f>
        <v>0</v>
      </c>
      <c r="AM197" s="234"/>
      <c r="AN197" s="235"/>
      <c r="AO197" s="235"/>
    </row>
    <row r="198" spans="1:41" ht="11.25" customHeight="1" x14ac:dyDescent="0.2">
      <c r="A198" s="488"/>
      <c r="C198" s="236"/>
      <c r="D198" s="236"/>
      <c r="E198" s="236"/>
      <c r="F198" s="236"/>
      <c r="G198" s="579"/>
      <c r="H198" s="579"/>
      <c r="I198" s="579"/>
      <c r="J198" s="579"/>
      <c r="K198" s="579"/>
      <c r="L198" s="579"/>
      <c r="M198" s="579"/>
      <c r="N198" s="579"/>
      <c r="O198" s="233"/>
      <c r="P198" s="233"/>
      <c r="Q198" s="235"/>
      <c r="R198" s="235"/>
      <c r="W198" s="186" t="str">
        <f>IF(Geometry!R52&gt;=2001,X198,"")</f>
        <v/>
      </c>
      <c r="X198" s="186">
        <f>IF(S196&lt;22,8,Y198)</f>
        <v>8</v>
      </c>
      <c r="Y198" s="186">
        <f>IF(S196&lt;=24,4,Z198)</f>
        <v>4</v>
      </c>
      <c r="Z198" s="186" t="str">
        <f>IF(S196&gt;24,0,"")</f>
        <v/>
      </c>
      <c r="AE198" s="234"/>
      <c r="AF198" s="234"/>
      <c r="AG198" s="234"/>
      <c r="AH198" s="493"/>
      <c r="AI198" s="233"/>
      <c r="AJ198" s="235"/>
      <c r="AK198" s="234"/>
      <c r="AL198" s="234"/>
      <c r="AM198" s="234"/>
      <c r="AN198" s="235"/>
      <c r="AO198" s="235"/>
    </row>
    <row r="199" spans="1:41" ht="14.25" customHeight="1" x14ac:dyDescent="0.2">
      <c r="A199" s="488"/>
      <c r="C199" s="236"/>
      <c r="D199" s="580"/>
      <c r="E199" s="580"/>
      <c r="F199" s="527"/>
      <c r="G199" s="579"/>
      <c r="H199" s="579"/>
      <c r="I199" s="579"/>
      <c r="J199" s="579"/>
      <c r="K199" s="579"/>
      <c r="L199" s="579"/>
      <c r="M199" s="579"/>
      <c r="N199" s="579"/>
      <c r="O199" s="233"/>
      <c r="P199" s="233"/>
      <c r="Q199" s="235"/>
      <c r="R199" s="235"/>
      <c r="AE199" s="234"/>
      <c r="AF199" s="234"/>
      <c r="AG199" s="234"/>
      <c r="AH199" s="493"/>
      <c r="AI199" s="233"/>
      <c r="AJ199" s="235"/>
      <c r="AK199" s="234"/>
      <c r="AL199" s="234"/>
      <c r="AM199" s="234"/>
      <c r="AN199" s="235"/>
      <c r="AO199" s="235"/>
    </row>
    <row r="200" spans="1:41" ht="14.25" customHeight="1" x14ac:dyDescent="0.2">
      <c r="A200" s="488"/>
      <c r="C200" s="236"/>
      <c r="D200" s="528"/>
      <c r="E200" s="528"/>
      <c r="F200" s="527"/>
      <c r="G200" s="527"/>
      <c r="H200" s="527"/>
      <c r="I200" s="236"/>
      <c r="J200" s="236"/>
      <c r="K200" s="236"/>
      <c r="L200" s="236"/>
      <c r="M200" s="236"/>
      <c r="N200" s="529"/>
      <c r="O200" s="233"/>
      <c r="P200" s="233"/>
      <c r="Q200" s="235"/>
      <c r="R200" s="235"/>
      <c r="X200" s="483" t="s">
        <v>182</v>
      </c>
      <c r="Y200" s="483"/>
      <c r="AE200" s="233"/>
      <c r="AF200" s="234"/>
      <c r="AG200" s="234"/>
      <c r="AH200" s="234"/>
      <c r="AI200" s="234"/>
      <c r="AJ200" s="233"/>
      <c r="AK200" s="234"/>
      <c r="AL200" s="234"/>
      <c r="AM200" s="186"/>
      <c r="AN200" s="235"/>
      <c r="AO200" s="235"/>
    </row>
    <row r="201" spans="1:41" ht="11.45" customHeight="1" x14ac:dyDescent="0.2">
      <c r="A201" s="488"/>
      <c r="C201" s="236"/>
      <c r="D201" s="530"/>
      <c r="E201" s="531"/>
      <c r="F201" s="236"/>
      <c r="G201" s="531"/>
      <c r="H201" s="236"/>
      <c r="I201" s="236"/>
      <c r="J201" s="236"/>
      <c r="K201" s="234"/>
      <c r="L201" s="233"/>
      <c r="M201" s="234"/>
      <c r="N201" s="236"/>
      <c r="O201" s="532"/>
      <c r="P201" s="533"/>
      <c r="Q201" s="235"/>
      <c r="R201" s="235"/>
      <c r="X201" s="234"/>
      <c r="Y201" s="186"/>
      <c r="Z201" s="186"/>
      <c r="AE201" s="493"/>
      <c r="AF201" s="233" t="s">
        <v>240</v>
      </c>
      <c r="AG201" s="234"/>
      <c r="AH201" s="234"/>
      <c r="AI201" s="234"/>
      <c r="AJ201" s="414">
        <f>IF(OR(AF188=7,AF188=8),AE206,AK206)</f>
        <v>4</v>
      </c>
      <c r="AK201" s="233" t="s">
        <v>241</v>
      </c>
      <c r="AL201" s="234"/>
      <c r="AM201" s="186"/>
      <c r="AN201" s="235"/>
      <c r="AO201" s="235"/>
    </row>
    <row r="202" spans="1:41" ht="11.45" customHeight="1" x14ac:dyDescent="0.2">
      <c r="A202" s="488"/>
      <c r="C202" s="236"/>
      <c r="D202" s="530"/>
      <c r="E202" s="531"/>
      <c r="F202" s="236"/>
      <c r="G202" s="531"/>
      <c r="H202" s="236"/>
      <c r="I202" s="236"/>
      <c r="J202" s="236"/>
      <c r="K202" s="234"/>
      <c r="L202" s="233"/>
      <c r="M202" s="234"/>
      <c r="N202" s="236"/>
      <c r="O202" s="532"/>
      <c r="P202" s="533"/>
      <c r="Q202" s="235"/>
      <c r="R202" s="235"/>
      <c r="W202" s="414">
        <f>IF(Geometry!R52&lt;400,X202,W203)</f>
        <v>6</v>
      </c>
      <c r="X202" s="511">
        <f>IF(S197&lt;2,6,Y202)</f>
        <v>6</v>
      </c>
      <c r="Y202" s="511">
        <f>IF(S197&lt;=3,3,Z202)</f>
        <v>3</v>
      </c>
      <c r="Z202" s="511" t="str">
        <f>IF(S197&gt;3,0,"")</f>
        <v/>
      </c>
      <c r="AE202" s="493"/>
      <c r="AF202" s="233"/>
      <c r="AG202" s="233"/>
      <c r="AH202" s="233"/>
      <c r="AI202" s="493"/>
      <c r="AJ202" s="233"/>
      <c r="AK202" s="234"/>
      <c r="AL202" s="234"/>
      <c r="AM202" s="186"/>
      <c r="AN202" s="235"/>
      <c r="AO202" s="235"/>
    </row>
    <row r="203" spans="1:41" ht="11.45" customHeight="1" x14ac:dyDescent="0.2">
      <c r="A203" s="488"/>
      <c r="C203" s="233"/>
      <c r="D203" s="530"/>
      <c r="E203" s="531"/>
      <c r="F203" s="236"/>
      <c r="G203" s="531"/>
      <c r="H203" s="236"/>
      <c r="I203" s="236"/>
      <c r="J203" s="236"/>
      <c r="K203" s="234"/>
      <c r="L203" s="233"/>
      <c r="M203" s="234"/>
      <c r="N203" s="236"/>
      <c r="O203" s="532"/>
      <c r="P203" s="533"/>
      <c r="Q203" s="235"/>
      <c r="R203" s="235"/>
      <c r="W203" s="186">
        <f>IF(Geometry!R52&lt;2001,X203,W204)</f>
        <v>6</v>
      </c>
      <c r="X203" s="511">
        <f>IF(S197&lt;4,6,Y202)</f>
        <v>6</v>
      </c>
      <c r="Y203" s="511">
        <f>IF(S197&lt;=6,3,Z202)</f>
        <v>3</v>
      </c>
      <c r="Z203" s="511" t="str">
        <f>IF(S197&gt;6,0,"")</f>
        <v/>
      </c>
      <c r="AE203" s="235"/>
      <c r="AF203" s="572" t="s">
        <v>234</v>
      </c>
      <c r="AG203" s="573"/>
      <c r="AH203" s="233"/>
      <c r="AI203" s="233"/>
      <c r="AJ203" s="235"/>
      <c r="AK203" s="572" t="s">
        <v>235</v>
      </c>
      <c r="AL203" s="572"/>
      <c r="AM203" s="572"/>
      <c r="AN203" s="574"/>
      <c r="AO203" s="235"/>
    </row>
    <row r="204" spans="1:41" ht="11.45" customHeight="1" x14ac:dyDescent="0.2">
      <c r="A204" s="488"/>
      <c r="C204" s="233"/>
      <c r="D204" s="530"/>
      <c r="E204" s="531"/>
      <c r="F204" s="236"/>
      <c r="G204" s="531"/>
      <c r="H204" s="236"/>
      <c r="I204" s="236"/>
      <c r="J204" s="236"/>
      <c r="K204" s="234"/>
      <c r="L204" s="233"/>
      <c r="M204" s="234"/>
      <c r="N204" s="236"/>
      <c r="O204" s="532"/>
      <c r="P204" s="533"/>
      <c r="Q204" s="235"/>
      <c r="R204" s="235"/>
      <c r="W204" s="186" t="str">
        <f>IF(Geometry!R52&gt;=2001,X204,"")</f>
        <v/>
      </c>
      <c r="X204" s="186">
        <f>IF(S197&lt;6,6,Y204)</f>
        <v>6</v>
      </c>
      <c r="Y204" s="186">
        <f>IF(S197&lt;=8,3,Z204)</f>
        <v>3</v>
      </c>
      <c r="Z204" s="186" t="str">
        <f>IF(S197&gt;8,0,"")</f>
        <v/>
      </c>
      <c r="AE204" s="235"/>
      <c r="AF204" s="186"/>
      <c r="AG204" s="186"/>
      <c r="AH204" s="186"/>
      <c r="AI204" s="186"/>
      <c r="AJ204" s="186"/>
      <c r="AK204" s="186"/>
      <c r="AL204" s="186"/>
      <c r="AM204" s="186"/>
      <c r="AN204" s="235"/>
      <c r="AO204" s="235"/>
    </row>
    <row r="205" spans="1:41" ht="11.45" customHeight="1" x14ac:dyDescent="0.2">
      <c r="A205" s="488"/>
      <c r="C205" s="236"/>
      <c r="D205" s="530"/>
      <c r="E205" s="233"/>
      <c r="F205" s="236"/>
      <c r="G205" s="233"/>
      <c r="H205" s="236"/>
      <c r="I205" s="236"/>
      <c r="J205" s="236"/>
      <c r="K205" s="234"/>
      <c r="L205" s="233"/>
      <c r="M205" s="234"/>
      <c r="N205" s="236"/>
      <c r="O205" s="532"/>
      <c r="P205" s="533"/>
      <c r="Q205" s="235"/>
      <c r="R205" s="235"/>
      <c r="AE205" s="253" t="s">
        <v>57</v>
      </c>
      <c r="AF205" s="253" t="s">
        <v>236</v>
      </c>
      <c r="AG205" s="253" t="s">
        <v>237</v>
      </c>
      <c r="AH205" s="253" t="s">
        <v>59</v>
      </c>
      <c r="AI205" s="235"/>
      <c r="AJ205" s="186"/>
      <c r="AK205" s="253" t="s">
        <v>57</v>
      </c>
      <c r="AL205" s="253" t="s">
        <v>236</v>
      </c>
      <c r="AM205" s="253" t="s">
        <v>59</v>
      </c>
      <c r="AN205" s="235"/>
      <c r="AO205" s="235"/>
    </row>
    <row r="206" spans="1:41" ht="11.45" customHeight="1" x14ac:dyDescent="0.2">
      <c r="A206" s="488"/>
      <c r="C206" s="236"/>
      <c r="D206" s="236"/>
      <c r="E206" s="236"/>
      <c r="F206" s="236"/>
      <c r="G206" s="233"/>
      <c r="H206" s="236"/>
      <c r="I206" s="236"/>
      <c r="J206" s="236"/>
      <c r="K206" s="236"/>
      <c r="L206" s="236"/>
      <c r="M206" s="236"/>
      <c r="N206" s="236"/>
      <c r="O206" s="236"/>
      <c r="P206" s="534"/>
      <c r="Q206" s="235"/>
      <c r="R206" s="235"/>
      <c r="AE206" s="234">
        <f>IF(Geometry!R52&lt;400,2,AF206)</f>
        <v>2</v>
      </c>
      <c r="AF206" s="234">
        <f>IF(Geometry!R52&lt;1501,4,AG206)</f>
        <v>4</v>
      </c>
      <c r="AG206" s="234">
        <f>IF(Geometry!R52&lt;2001,6,AH206)</f>
        <v>6</v>
      </c>
      <c r="AH206" s="234">
        <f>IF(Geometry!R52&gt;2000,8,0)</f>
        <v>0</v>
      </c>
      <c r="AI206" s="235"/>
      <c r="AJ206" s="186"/>
      <c r="AK206" s="234">
        <f>IF(Geometry!R52&lt;400,4,AL206)</f>
        <v>4</v>
      </c>
      <c r="AL206" s="234">
        <f>IF(Geometry!R52&lt;2001,6,AM206)</f>
        <v>6</v>
      </c>
      <c r="AM206" s="234">
        <f>IF(Geometry!R52&gt;2000,8,0)</f>
        <v>0</v>
      </c>
      <c r="AN206" s="235"/>
      <c r="AO206" s="235"/>
    </row>
    <row r="207" spans="1:41" ht="11.45" customHeight="1" x14ac:dyDescent="0.2">
      <c r="A207" s="488"/>
      <c r="C207" s="236"/>
      <c r="D207" s="236"/>
      <c r="E207" s="236"/>
      <c r="F207" s="236"/>
      <c r="G207" s="236"/>
      <c r="H207" s="236"/>
      <c r="I207" s="236"/>
      <c r="J207" s="236"/>
      <c r="K207" s="236"/>
      <c r="L207" s="236"/>
      <c r="M207" s="535"/>
      <c r="N207" s="236"/>
      <c r="O207" s="536"/>
      <c r="P207" s="537"/>
      <c r="Q207" s="235"/>
      <c r="R207" s="235"/>
      <c r="AE207" s="233"/>
      <c r="AF207" s="235"/>
      <c r="AG207" s="235"/>
      <c r="AH207" s="234"/>
      <c r="AI207" s="234"/>
      <c r="AJ207" s="186"/>
      <c r="AK207" s="234"/>
      <c r="AL207" s="186"/>
      <c r="AM207" s="186"/>
      <c r="AN207" s="235"/>
      <c r="AO207" s="235"/>
    </row>
    <row r="208" spans="1:41" ht="11.45" customHeight="1" x14ac:dyDescent="0.2">
      <c r="A208" s="488"/>
      <c r="C208" s="236"/>
      <c r="D208" s="236"/>
      <c r="E208" s="236"/>
      <c r="F208" s="236"/>
      <c r="G208" s="236"/>
      <c r="H208" s="236"/>
      <c r="I208" s="236"/>
      <c r="J208" s="236"/>
      <c r="K208" s="236"/>
      <c r="L208" s="236"/>
      <c r="M208" s="535"/>
      <c r="N208" s="236"/>
      <c r="O208" s="536"/>
      <c r="P208" s="233"/>
      <c r="Q208" s="235"/>
      <c r="R208" s="235"/>
      <c r="AE208" s="233"/>
      <c r="AF208" s="235"/>
      <c r="AG208" s="235"/>
      <c r="AH208" s="234"/>
      <c r="AI208" s="234"/>
      <c r="AJ208" s="186"/>
      <c r="AK208" s="234"/>
      <c r="AL208" s="186"/>
      <c r="AM208" s="186"/>
      <c r="AN208" s="235"/>
      <c r="AO208" s="235"/>
    </row>
    <row r="209" spans="1:41" ht="11.45" customHeight="1" x14ac:dyDescent="0.2">
      <c r="A209" s="488"/>
      <c r="C209" s="525"/>
      <c r="D209" s="236"/>
      <c r="E209" s="233"/>
      <c r="F209" s="233"/>
      <c r="G209" s="233"/>
      <c r="H209" s="236"/>
      <c r="I209" s="233"/>
      <c r="J209" s="526"/>
      <c r="K209" s="526"/>
      <c r="L209" s="526"/>
      <c r="M209" s="236"/>
      <c r="N209" s="233"/>
      <c r="O209" s="233"/>
      <c r="P209" s="233"/>
      <c r="Q209" s="235"/>
      <c r="R209" s="233"/>
      <c r="AE209" s="235"/>
      <c r="AF209" s="235"/>
      <c r="AG209" s="235"/>
      <c r="AH209" s="235"/>
      <c r="AI209" s="235"/>
      <c r="AJ209" s="235"/>
      <c r="AK209" s="235"/>
      <c r="AL209" s="235"/>
      <c r="AM209" s="235"/>
      <c r="AN209" s="235"/>
      <c r="AO209" s="235"/>
    </row>
    <row r="210" spans="1:41" ht="11.45" customHeight="1" x14ac:dyDescent="0.2">
      <c r="A210" s="488"/>
      <c r="C210" s="236"/>
      <c r="D210" s="580"/>
      <c r="E210" s="580"/>
      <c r="F210" s="236"/>
      <c r="G210" s="579"/>
      <c r="H210" s="579"/>
      <c r="I210" s="579"/>
      <c r="J210" s="579"/>
      <c r="K210" s="579"/>
      <c r="L210" s="579"/>
      <c r="M210" s="579"/>
      <c r="N210" s="579"/>
      <c r="O210" s="233"/>
      <c r="P210" s="233"/>
      <c r="Q210" s="235"/>
      <c r="R210" s="235"/>
      <c r="AE210" s="235"/>
      <c r="AF210" s="235"/>
      <c r="AG210" s="235"/>
      <c r="AH210" s="235"/>
      <c r="AI210" s="235"/>
      <c r="AJ210" s="235"/>
      <c r="AK210" s="235"/>
      <c r="AL210" s="235"/>
      <c r="AM210" s="235"/>
      <c r="AN210" s="235"/>
      <c r="AO210" s="235"/>
    </row>
    <row r="211" spans="1:41" ht="14.25" customHeight="1" x14ac:dyDescent="0.2">
      <c r="A211" s="488"/>
      <c r="C211" s="236"/>
      <c r="D211" s="528"/>
      <c r="E211" s="528"/>
      <c r="F211" s="236"/>
      <c r="G211" s="579"/>
      <c r="H211" s="579"/>
      <c r="I211" s="579"/>
      <c r="J211" s="579"/>
      <c r="K211" s="579"/>
      <c r="L211" s="579"/>
      <c r="M211" s="579"/>
      <c r="N211" s="579"/>
      <c r="O211" s="233"/>
      <c r="P211" s="233"/>
      <c r="Q211" s="235"/>
      <c r="R211" s="235"/>
      <c r="AE211" s="235"/>
      <c r="AF211" s="235"/>
      <c r="AG211" s="235"/>
      <c r="AH211" s="235"/>
      <c r="AI211" s="235"/>
      <c r="AJ211" s="235"/>
      <c r="AK211" s="235"/>
      <c r="AL211" s="235"/>
      <c r="AM211" s="235"/>
      <c r="AN211" s="235"/>
      <c r="AO211" s="235"/>
    </row>
    <row r="212" spans="1:41" ht="14.25" customHeight="1" x14ac:dyDescent="0.2">
      <c r="A212" s="488"/>
      <c r="C212" s="236"/>
      <c r="D212" s="530"/>
      <c r="E212" s="236"/>
      <c r="F212" s="236"/>
      <c r="G212" s="236"/>
      <c r="H212" s="233"/>
      <c r="I212" s="236"/>
      <c r="J212" s="236"/>
      <c r="K212" s="233"/>
      <c r="L212" s="276"/>
      <c r="M212" s="236"/>
      <c r="N212" s="236"/>
      <c r="O212" s="532"/>
      <c r="P212" s="533"/>
      <c r="Q212" s="235"/>
      <c r="R212" s="235"/>
      <c r="AE212" s="235"/>
      <c r="AF212" s="235"/>
      <c r="AG212" s="235"/>
      <c r="AH212" s="571" t="s">
        <v>242</v>
      </c>
      <c r="AI212" s="571"/>
      <c r="AJ212" s="571"/>
      <c r="AK212" s="571"/>
      <c r="AL212" s="235"/>
      <c r="AM212" s="235"/>
      <c r="AN212" s="235"/>
      <c r="AO212" s="235"/>
    </row>
    <row r="213" spans="1:41" ht="11.45" customHeight="1" x14ac:dyDescent="0.2">
      <c r="A213" s="488"/>
      <c r="C213" s="233"/>
      <c r="D213" s="530"/>
      <c r="E213" s="233"/>
      <c r="F213" s="236"/>
      <c r="G213" s="233"/>
      <c r="H213" s="233"/>
      <c r="I213" s="236"/>
      <c r="J213" s="234"/>
      <c r="K213" s="233"/>
      <c r="L213" s="234"/>
      <c r="M213" s="236"/>
      <c r="N213" s="236"/>
      <c r="O213" s="532"/>
      <c r="P213" s="533"/>
      <c r="Q213" s="235"/>
      <c r="R213" s="235"/>
      <c r="AE213" s="235"/>
      <c r="AF213" s="235"/>
      <c r="AG213" s="235"/>
      <c r="AH213" s="235"/>
      <c r="AI213" s="235"/>
      <c r="AJ213" s="235"/>
      <c r="AK213" s="235"/>
      <c r="AL213" s="235"/>
      <c r="AM213" s="235"/>
      <c r="AN213" s="235"/>
      <c r="AO213" s="235"/>
    </row>
    <row r="214" spans="1:41" ht="11.45" customHeight="1" x14ac:dyDescent="0.2">
      <c r="A214" s="488"/>
      <c r="C214" s="233"/>
      <c r="D214" s="530"/>
      <c r="E214" s="233"/>
      <c r="F214" s="236"/>
      <c r="G214" s="233"/>
      <c r="H214" s="233"/>
      <c r="I214" s="233"/>
      <c r="J214" s="234"/>
      <c r="K214" s="233"/>
      <c r="L214" s="234"/>
      <c r="M214" s="236"/>
      <c r="N214" s="236"/>
      <c r="O214" s="532"/>
      <c r="P214" s="533"/>
      <c r="Q214" s="235"/>
      <c r="R214" s="235"/>
      <c r="AE214" s="235"/>
      <c r="AF214" s="186"/>
      <c r="AG214" s="512" t="s">
        <v>234</v>
      </c>
      <c r="AH214" s="186"/>
      <c r="AI214" s="186"/>
      <c r="AJ214" s="235"/>
      <c r="AK214" s="235"/>
      <c r="AL214" s="186"/>
      <c r="AM214" s="512" t="s">
        <v>234</v>
      </c>
      <c r="AN214" s="186"/>
      <c r="AO214" s="186"/>
    </row>
    <row r="215" spans="1:41" ht="11.45" customHeight="1" x14ac:dyDescent="0.2">
      <c r="A215" s="488"/>
      <c r="C215" s="233"/>
      <c r="D215" s="530"/>
      <c r="E215" s="233"/>
      <c r="F215" s="236"/>
      <c r="G215" s="233"/>
      <c r="H215" s="233"/>
      <c r="I215" s="236"/>
      <c r="J215" s="233"/>
      <c r="K215" s="233"/>
      <c r="L215" s="234"/>
      <c r="M215" s="236"/>
      <c r="N215" s="236"/>
      <c r="O215" s="532"/>
      <c r="P215" s="533"/>
      <c r="Q215" s="235"/>
      <c r="R215" s="235"/>
      <c r="AE215" s="235"/>
      <c r="AF215" s="235"/>
      <c r="AG215" s="235"/>
      <c r="AH215" s="235"/>
      <c r="AI215" s="235"/>
      <c r="AJ215" s="235"/>
      <c r="AK215" s="235"/>
      <c r="AL215" s="235"/>
      <c r="AM215" s="235"/>
      <c r="AN215" s="235"/>
      <c r="AO215" s="235"/>
    </row>
    <row r="216" spans="1:41" ht="11.45" customHeight="1" x14ac:dyDescent="0.2">
      <c r="A216" s="488"/>
      <c r="C216" s="233"/>
      <c r="D216" s="530"/>
      <c r="E216" s="233"/>
      <c r="F216" s="236"/>
      <c r="G216" s="233"/>
      <c r="H216" s="233"/>
      <c r="I216" s="236"/>
      <c r="J216" s="233"/>
      <c r="K216" s="233"/>
      <c r="L216" s="234"/>
      <c r="M216" s="236"/>
      <c r="N216" s="236"/>
      <c r="O216" s="532"/>
      <c r="P216" s="533"/>
      <c r="Q216" s="235"/>
      <c r="R216" s="235"/>
      <c r="AE216" s="413" t="s">
        <v>243</v>
      </c>
      <c r="AF216" s="235"/>
      <c r="AG216" s="186" t="s">
        <v>244</v>
      </c>
      <c r="AH216" s="513"/>
      <c r="AI216" s="513"/>
      <c r="AJ216" s="235"/>
      <c r="AK216" s="413" t="s">
        <v>243</v>
      </c>
      <c r="AL216" s="235"/>
      <c r="AM216" s="186" t="s">
        <v>245</v>
      </c>
      <c r="AN216" s="513"/>
      <c r="AO216" s="513"/>
    </row>
    <row r="217" spans="1:41" ht="11.45" customHeight="1" x14ac:dyDescent="0.2">
      <c r="A217" s="488"/>
      <c r="C217" s="233"/>
      <c r="D217" s="233"/>
      <c r="E217" s="233"/>
      <c r="F217" s="233"/>
      <c r="G217" s="233"/>
      <c r="H217" s="233"/>
      <c r="I217" s="236"/>
      <c r="J217" s="236"/>
      <c r="K217" s="236"/>
      <c r="L217" s="236"/>
      <c r="M217" s="236"/>
      <c r="N217" s="236"/>
      <c r="O217" s="236"/>
      <c r="P217" s="233"/>
      <c r="Q217" s="235"/>
      <c r="R217" s="235"/>
      <c r="AE217" s="413" t="s">
        <v>246</v>
      </c>
      <c r="AF217" s="253" t="s">
        <v>57</v>
      </c>
      <c r="AG217" s="253" t="s">
        <v>236</v>
      </c>
      <c r="AH217" s="253" t="s">
        <v>237</v>
      </c>
      <c r="AI217" s="253" t="s">
        <v>59</v>
      </c>
      <c r="AJ217" s="235"/>
      <c r="AK217" s="413" t="s">
        <v>246</v>
      </c>
      <c r="AL217" s="253" t="s">
        <v>57</v>
      </c>
      <c r="AM217" s="253" t="s">
        <v>236</v>
      </c>
      <c r="AN217" s="253" t="s">
        <v>237</v>
      </c>
      <c r="AO217" s="253" t="s">
        <v>59</v>
      </c>
    </row>
    <row r="218" spans="1:41" ht="11.45" customHeight="1" x14ac:dyDescent="0.2">
      <c r="A218" s="488"/>
      <c r="C218" s="233"/>
      <c r="D218" s="233"/>
      <c r="E218" s="233"/>
      <c r="F218" s="233"/>
      <c r="G218" s="233"/>
      <c r="H218" s="233"/>
      <c r="I218" s="236"/>
      <c r="J218" s="236"/>
      <c r="K218" s="236"/>
      <c r="L218" s="236"/>
      <c r="M218" s="535"/>
      <c r="N218" s="236"/>
      <c r="O218" s="536"/>
      <c r="P218" s="233"/>
      <c r="Q218" s="235"/>
      <c r="R218" s="235"/>
      <c r="AE218" s="235"/>
      <c r="AF218" s="235"/>
      <c r="AG218" s="235"/>
      <c r="AH218" s="235"/>
      <c r="AI218" s="235"/>
      <c r="AJ218" s="235"/>
      <c r="AK218" s="235"/>
      <c r="AL218" s="235"/>
      <c r="AM218" s="235"/>
      <c r="AN218" s="235"/>
      <c r="AO218" s="235"/>
    </row>
    <row r="219" spans="1:41" ht="11.45" customHeight="1" x14ac:dyDescent="0.2">
      <c r="A219" s="488"/>
      <c r="C219" s="233"/>
      <c r="D219" s="581"/>
      <c r="E219" s="581"/>
      <c r="F219" s="581"/>
      <c r="G219" s="581"/>
      <c r="H219" s="581"/>
      <c r="I219" s="581"/>
      <c r="J219" s="581"/>
      <c r="K219" s="233"/>
      <c r="L219" s="234"/>
      <c r="M219" s="233"/>
      <c r="N219" s="236"/>
      <c r="O219" s="233"/>
      <c r="P219" s="233"/>
      <c r="Q219" s="235"/>
      <c r="R219" s="235"/>
      <c r="AE219" s="186">
        <v>20</v>
      </c>
      <c r="AF219" s="186">
        <v>20</v>
      </c>
      <c r="AG219" s="186">
        <v>20</v>
      </c>
      <c r="AH219" s="186">
        <v>22</v>
      </c>
      <c r="AI219" s="186">
        <v>24</v>
      </c>
      <c r="AJ219" s="235"/>
      <c r="AK219" s="413" t="s">
        <v>247</v>
      </c>
      <c r="AL219" s="186">
        <v>2</v>
      </c>
      <c r="AM219" s="186">
        <v>4</v>
      </c>
      <c r="AN219" s="186">
        <v>6</v>
      </c>
      <c r="AO219" s="186">
        <v>8</v>
      </c>
    </row>
    <row r="220" spans="1:41" ht="11.45" customHeight="1" x14ac:dyDescent="0.2">
      <c r="A220" s="488"/>
      <c r="C220" s="236"/>
      <c r="D220" s="581"/>
      <c r="E220" s="581"/>
      <c r="F220" s="581"/>
      <c r="G220" s="581"/>
      <c r="H220" s="581"/>
      <c r="I220" s="581"/>
      <c r="J220" s="581"/>
      <c r="K220" s="236"/>
      <c r="L220" s="236"/>
      <c r="M220" s="538"/>
      <c r="N220" s="236"/>
      <c r="O220" s="539"/>
      <c r="P220" s="233"/>
      <c r="Q220" s="235"/>
      <c r="R220" s="235"/>
      <c r="AE220" s="186">
        <v>25</v>
      </c>
      <c r="AF220" s="186">
        <v>20</v>
      </c>
      <c r="AG220" s="186">
        <v>20</v>
      </c>
      <c r="AH220" s="186">
        <v>22</v>
      </c>
      <c r="AI220" s="186">
        <v>24</v>
      </c>
      <c r="AJ220" s="235"/>
      <c r="AK220" s="186"/>
      <c r="AL220" s="186"/>
      <c r="AM220" s="186"/>
      <c r="AN220" s="186"/>
      <c r="AO220" s="186"/>
    </row>
    <row r="221" spans="1:41" ht="11.45" customHeight="1" x14ac:dyDescent="0.2">
      <c r="A221" s="488"/>
      <c r="C221" s="236"/>
      <c r="D221" s="581"/>
      <c r="E221" s="581"/>
      <c r="F221" s="581"/>
      <c r="G221" s="581"/>
      <c r="H221" s="581"/>
      <c r="I221" s="581"/>
      <c r="J221" s="581"/>
      <c r="K221" s="236"/>
      <c r="L221" s="236"/>
      <c r="M221" s="233"/>
      <c r="N221" s="233"/>
      <c r="O221" s="233"/>
      <c r="P221" s="233"/>
      <c r="Q221" s="235"/>
      <c r="R221" s="235"/>
      <c r="AE221" s="186">
        <v>30</v>
      </c>
      <c r="AF221" s="186">
        <v>20</v>
      </c>
      <c r="AG221" s="186">
        <v>20</v>
      </c>
      <c r="AH221" s="186">
        <v>22</v>
      </c>
      <c r="AI221" s="186">
        <v>24</v>
      </c>
      <c r="AJ221" s="235"/>
      <c r="AK221" s="186"/>
      <c r="AL221" s="186"/>
      <c r="AM221" s="186"/>
      <c r="AN221" s="186"/>
      <c r="AO221" s="186"/>
    </row>
    <row r="222" spans="1:41" ht="11.45" customHeight="1" x14ac:dyDescent="0.2">
      <c r="A222" s="488"/>
      <c r="C222" s="233"/>
      <c r="D222" s="233"/>
      <c r="E222" s="233"/>
      <c r="F222" s="233"/>
      <c r="G222" s="233"/>
      <c r="H222" s="233"/>
      <c r="I222" s="236"/>
      <c r="J222" s="236"/>
      <c r="K222" s="236"/>
      <c r="L222" s="236"/>
      <c r="M222" s="236"/>
      <c r="N222" s="233"/>
      <c r="O222" s="233"/>
      <c r="P222" s="233"/>
      <c r="Q222" s="235"/>
      <c r="R222" s="235"/>
      <c r="AE222" s="234">
        <v>35</v>
      </c>
      <c r="AF222" s="186">
        <v>20</v>
      </c>
      <c r="AG222" s="186">
        <v>22</v>
      </c>
      <c r="AH222" s="186">
        <v>22</v>
      </c>
      <c r="AI222" s="186">
        <v>24</v>
      </c>
      <c r="AJ222" s="235"/>
      <c r="AK222" s="234"/>
      <c r="AL222" s="186"/>
      <c r="AM222" s="186"/>
      <c r="AN222" s="186"/>
      <c r="AO222" s="186"/>
    </row>
    <row r="223" spans="1:41" ht="11.45" customHeight="1" x14ac:dyDescent="0.2">
      <c r="A223" s="488"/>
      <c r="C223" s="233"/>
      <c r="D223" s="233"/>
      <c r="E223" s="233"/>
      <c r="F223" s="233"/>
      <c r="G223" s="233"/>
      <c r="H223" s="233"/>
      <c r="I223" s="233"/>
      <c r="J223" s="234"/>
      <c r="K223" s="233"/>
      <c r="L223" s="234"/>
      <c r="M223" s="233"/>
      <c r="N223" s="233"/>
      <c r="O223" s="233"/>
      <c r="P223" s="233"/>
      <c r="Q223" s="235"/>
      <c r="R223" s="235"/>
      <c r="AE223" s="186">
        <v>40</v>
      </c>
      <c r="AF223" s="186">
        <v>20</v>
      </c>
      <c r="AG223" s="186">
        <v>22</v>
      </c>
      <c r="AH223" s="186">
        <v>22</v>
      </c>
      <c r="AI223" s="186">
        <v>24</v>
      </c>
      <c r="AJ223" s="235"/>
      <c r="AK223" s="186"/>
      <c r="AL223" s="186"/>
      <c r="AM223" s="186"/>
      <c r="AN223" s="186"/>
      <c r="AO223" s="186"/>
    </row>
    <row r="224" spans="1:41" ht="11.45" customHeight="1" x14ac:dyDescent="0.2">
      <c r="C224" s="236"/>
      <c r="D224" s="236"/>
      <c r="E224" s="236"/>
      <c r="F224" s="236"/>
      <c r="G224" s="236"/>
      <c r="H224" s="236"/>
      <c r="I224" s="233"/>
      <c r="J224" s="233"/>
      <c r="K224" s="233"/>
      <c r="L224" s="234"/>
      <c r="M224" s="236"/>
      <c r="N224" s="236"/>
      <c r="O224" s="236"/>
      <c r="P224" s="236"/>
      <c r="Q224" s="235"/>
      <c r="R224" s="235"/>
      <c r="AE224" s="186">
        <v>45</v>
      </c>
      <c r="AF224" s="186">
        <v>20</v>
      </c>
      <c r="AG224" s="186">
        <v>22</v>
      </c>
      <c r="AH224" s="186">
        <v>22</v>
      </c>
      <c r="AI224" s="186">
        <v>24</v>
      </c>
      <c r="AJ224" s="235"/>
      <c r="AK224" s="186"/>
      <c r="AL224" s="186"/>
      <c r="AM224" s="186"/>
      <c r="AN224" s="186"/>
      <c r="AO224" s="186"/>
    </row>
    <row r="225" spans="3:41" ht="11.45" customHeight="1" x14ac:dyDescent="0.2">
      <c r="C225" s="236"/>
      <c r="D225" s="236"/>
      <c r="E225" s="236"/>
      <c r="F225" s="236"/>
      <c r="G225" s="236"/>
      <c r="H225" s="236"/>
      <c r="I225" s="236"/>
      <c r="J225" s="236"/>
      <c r="K225" s="236"/>
      <c r="L225" s="236"/>
      <c r="M225" s="236"/>
      <c r="N225" s="236"/>
      <c r="O225" s="236"/>
      <c r="P225" s="236"/>
      <c r="Q225" s="236"/>
      <c r="R225" s="235"/>
      <c r="AE225" s="186">
        <v>50</v>
      </c>
      <c r="AF225" s="186">
        <v>20</v>
      </c>
      <c r="AG225" s="186">
        <v>22</v>
      </c>
      <c r="AH225" s="186">
        <v>22</v>
      </c>
      <c r="AI225" s="186">
        <v>24</v>
      </c>
      <c r="AJ225" s="235"/>
      <c r="AK225" s="186"/>
      <c r="AL225" s="186"/>
      <c r="AM225" s="186"/>
      <c r="AN225" s="186"/>
      <c r="AO225" s="186"/>
    </row>
    <row r="226" spans="3:41" ht="11.45" customHeight="1" x14ac:dyDescent="0.2">
      <c r="C226" s="236"/>
      <c r="D226" s="236"/>
      <c r="E226" s="236"/>
      <c r="F226" s="236"/>
      <c r="G226" s="236"/>
      <c r="H226" s="236"/>
      <c r="I226" s="236"/>
      <c r="J226" s="236"/>
      <c r="K226" s="236"/>
      <c r="L226" s="236"/>
      <c r="M226" s="236"/>
      <c r="N226" s="236"/>
      <c r="O226" s="236"/>
      <c r="P226" s="236"/>
      <c r="Q226" s="236"/>
      <c r="R226" s="235"/>
      <c r="AE226" s="186">
        <v>55</v>
      </c>
      <c r="AF226" s="186">
        <v>22</v>
      </c>
      <c r="AG226" s="186">
        <v>22</v>
      </c>
      <c r="AH226" s="186">
        <v>24</v>
      </c>
      <c r="AI226" s="186">
        <v>24</v>
      </c>
      <c r="AJ226" s="235"/>
      <c r="AK226" s="186"/>
      <c r="AL226" s="186"/>
      <c r="AM226" s="186"/>
      <c r="AN226" s="186"/>
      <c r="AO226" s="186"/>
    </row>
    <row r="227" spans="3:41" ht="11.45" customHeight="1" x14ac:dyDescent="0.2">
      <c r="C227" s="236"/>
      <c r="D227" s="236"/>
      <c r="E227" s="236"/>
      <c r="F227" s="236"/>
      <c r="G227" s="236"/>
      <c r="H227" s="236"/>
      <c r="I227" s="236"/>
      <c r="J227" s="236"/>
      <c r="K227" s="236"/>
      <c r="L227" s="236"/>
      <c r="M227" s="236"/>
      <c r="N227" s="236"/>
      <c r="O227" s="236"/>
      <c r="P227" s="236"/>
      <c r="Q227" s="236"/>
      <c r="R227" s="235"/>
      <c r="AE227" s="186">
        <v>60</v>
      </c>
      <c r="AF227" s="186">
        <v>22</v>
      </c>
      <c r="AG227" s="186">
        <v>22</v>
      </c>
      <c r="AH227" s="186">
        <v>24</v>
      </c>
      <c r="AI227" s="186">
        <v>24</v>
      </c>
      <c r="AJ227" s="235"/>
      <c r="AK227" s="186"/>
      <c r="AL227" s="186"/>
      <c r="AM227" s="186"/>
      <c r="AN227" s="186"/>
      <c r="AO227" s="186"/>
    </row>
    <row r="228" spans="3:41" ht="11.45" customHeight="1" x14ac:dyDescent="0.2">
      <c r="C228" s="236"/>
      <c r="D228" s="236"/>
      <c r="E228" s="236"/>
      <c r="F228" s="236"/>
      <c r="G228" s="236"/>
      <c r="H228" s="236"/>
      <c r="I228" s="236"/>
      <c r="J228" s="236"/>
      <c r="K228" s="236"/>
      <c r="L228" s="236"/>
      <c r="M228" s="236"/>
      <c r="N228" s="236"/>
      <c r="O228" s="236"/>
      <c r="P228" s="236"/>
      <c r="Q228" s="236"/>
      <c r="R228" s="235"/>
      <c r="AE228" s="235"/>
      <c r="AF228" s="235"/>
      <c r="AG228" s="235"/>
      <c r="AH228" s="235"/>
      <c r="AI228" s="235"/>
      <c r="AJ228" s="235"/>
      <c r="AK228" s="235"/>
      <c r="AL228" s="235"/>
      <c r="AM228" s="235"/>
      <c r="AN228" s="235"/>
      <c r="AO228" s="235"/>
    </row>
    <row r="229" spans="3:41" ht="11.45" customHeight="1" x14ac:dyDescent="0.2">
      <c r="C229" s="236"/>
      <c r="D229" s="236"/>
      <c r="E229" s="236"/>
      <c r="F229" s="236"/>
      <c r="G229" s="236"/>
      <c r="H229" s="236"/>
      <c r="I229" s="236"/>
      <c r="J229" s="236"/>
      <c r="K229" s="236"/>
      <c r="L229" s="236"/>
      <c r="M229" s="236"/>
      <c r="N229" s="236"/>
      <c r="O229" s="236"/>
      <c r="P229" s="236"/>
      <c r="Q229" s="236"/>
      <c r="R229" s="235"/>
    </row>
    <row r="230" spans="3:41" ht="11.45" customHeight="1" x14ac:dyDescent="0.2">
      <c r="C230" s="236"/>
      <c r="D230" s="236"/>
      <c r="E230" s="236"/>
      <c r="F230" s="236"/>
      <c r="G230" s="236"/>
      <c r="H230" s="236"/>
      <c r="I230" s="236"/>
      <c r="J230" s="236"/>
      <c r="K230" s="236"/>
      <c r="L230" s="236"/>
      <c r="M230" s="236"/>
      <c r="N230" s="236"/>
      <c r="O230" s="236"/>
      <c r="P230" s="236"/>
      <c r="Q230" s="236"/>
      <c r="R230" s="235"/>
    </row>
    <row r="231" spans="3:41" ht="11.45" customHeight="1" x14ac:dyDescent="0.2">
      <c r="C231" s="236"/>
      <c r="D231" s="236"/>
      <c r="E231" s="236"/>
      <c r="F231" s="236"/>
      <c r="G231" s="236"/>
      <c r="H231" s="236"/>
      <c r="I231" s="236"/>
      <c r="J231" s="236"/>
      <c r="K231" s="236"/>
      <c r="L231" s="236"/>
      <c r="M231" s="236"/>
      <c r="N231" s="236"/>
      <c r="O231" s="236"/>
      <c r="P231" s="236"/>
      <c r="Q231" s="236"/>
      <c r="R231" s="235"/>
      <c r="AE231" s="235"/>
      <c r="AF231" s="186"/>
      <c r="AG231" s="512" t="s">
        <v>235</v>
      </c>
      <c r="AH231" s="186"/>
      <c r="AI231" s="186"/>
      <c r="AJ231" s="235"/>
      <c r="AK231" s="235"/>
      <c r="AL231" s="186"/>
      <c r="AM231" s="512" t="s">
        <v>235</v>
      </c>
      <c r="AN231" s="186"/>
      <c r="AO231" s="186"/>
    </row>
    <row r="232" spans="3:41" ht="11.45" customHeight="1" x14ac:dyDescent="0.2">
      <c r="C232" s="236"/>
      <c r="D232" s="236"/>
      <c r="E232" s="236"/>
      <c r="F232" s="236"/>
      <c r="G232" s="236"/>
      <c r="H232" s="236"/>
      <c r="I232" s="236"/>
      <c r="J232" s="236"/>
      <c r="K232" s="236"/>
      <c r="L232" s="236"/>
      <c r="M232" s="236"/>
      <c r="N232" s="236"/>
      <c r="O232" s="236"/>
      <c r="P232" s="236"/>
      <c r="Q232" s="236"/>
      <c r="R232" s="235"/>
      <c r="AE232" s="235"/>
      <c r="AF232" s="235"/>
      <c r="AG232" s="235"/>
      <c r="AH232" s="235"/>
      <c r="AI232" s="235"/>
      <c r="AJ232" s="235"/>
      <c r="AK232" s="235"/>
      <c r="AL232" s="235"/>
      <c r="AM232" s="235"/>
      <c r="AN232" s="235"/>
      <c r="AO232" s="235"/>
    </row>
    <row r="233" spans="3:41" ht="11.45" customHeight="1" x14ac:dyDescent="0.2">
      <c r="C233" s="236"/>
      <c r="D233" s="236"/>
      <c r="E233" s="236"/>
      <c r="F233" s="236"/>
      <c r="G233" s="236"/>
      <c r="H233" s="236"/>
      <c r="I233" s="236"/>
      <c r="J233" s="236"/>
      <c r="K233" s="236"/>
      <c r="L233" s="236"/>
      <c r="M233" s="236"/>
      <c r="N233" s="236"/>
      <c r="O233" s="236"/>
      <c r="P233" s="236"/>
      <c r="Q233" s="236"/>
      <c r="R233" s="235"/>
      <c r="AE233" s="413" t="s">
        <v>243</v>
      </c>
      <c r="AF233" s="235"/>
      <c r="AG233" s="186" t="s">
        <v>244</v>
      </c>
      <c r="AH233" s="513"/>
      <c r="AI233" s="513"/>
      <c r="AJ233" s="235"/>
      <c r="AK233" s="413" t="s">
        <v>243</v>
      </c>
      <c r="AL233" s="235"/>
      <c r="AM233" s="186" t="s">
        <v>245</v>
      </c>
      <c r="AN233" s="513"/>
      <c r="AO233" s="513"/>
    </row>
    <row r="234" spans="3:41" ht="11.45" customHeight="1" x14ac:dyDescent="0.2">
      <c r="C234" s="236"/>
      <c r="D234" s="236"/>
      <c r="E234" s="236"/>
      <c r="F234" s="236"/>
      <c r="G234" s="236"/>
      <c r="H234" s="236"/>
      <c r="I234" s="236"/>
      <c r="J234" s="236"/>
      <c r="K234" s="236"/>
      <c r="L234" s="236"/>
      <c r="M234" s="236"/>
      <c r="N234" s="236"/>
      <c r="O234" s="236"/>
      <c r="P234" s="236"/>
      <c r="Q234" s="236"/>
      <c r="R234" s="235"/>
      <c r="AE234" s="413" t="s">
        <v>246</v>
      </c>
      <c r="AF234" s="253" t="s">
        <v>57</v>
      </c>
      <c r="AG234" s="253" t="s">
        <v>236</v>
      </c>
      <c r="AH234" s="253" t="s">
        <v>237</v>
      </c>
      <c r="AI234" s="253" t="s">
        <v>59</v>
      </c>
      <c r="AJ234" s="235"/>
      <c r="AK234" s="413" t="s">
        <v>246</v>
      </c>
      <c r="AL234" s="253" t="s">
        <v>57</v>
      </c>
      <c r="AM234" s="253" t="s">
        <v>236</v>
      </c>
      <c r="AN234" s="253" t="s">
        <v>237</v>
      </c>
      <c r="AO234" s="253" t="s">
        <v>59</v>
      </c>
    </row>
    <row r="235" spans="3:41" ht="11.45" customHeight="1" x14ac:dyDescent="0.2">
      <c r="C235" s="236"/>
      <c r="D235" s="236"/>
      <c r="E235" s="236"/>
      <c r="F235" s="236"/>
      <c r="G235" s="236"/>
      <c r="H235" s="236"/>
      <c r="I235" s="236"/>
      <c r="J235" s="236"/>
      <c r="K235" s="236"/>
      <c r="L235" s="236"/>
      <c r="M235" s="236"/>
      <c r="N235" s="236"/>
      <c r="O235" s="236"/>
      <c r="P235" s="236"/>
      <c r="Q235" s="236"/>
      <c r="R235" s="235"/>
      <c r="AE235" s="235"/>
      <c r="AF235" s="235"/>
      <c r="AG235" s="235"/>
      <c r="AH235" s="235"/>
      <c r="AI235" s="235"/>
      <c r="AJ235" s="235"/>
      <c r="AK235" s="235"/>
      <c r="AL235" s="235"/>
      <c r="AM235" s="235"/>
      <c r="AN235" s="235"/>
      <c r="AO235" s="235"/>
    </row>
    <row r="236" spans="3:41" ht="11.45" customHeight="1" x14ac:dyDescent="0.2">
      <c r="C236" s="236"/>
      <c r="D236" s="236"/>
      <c r="E236" s="236"/>
      <c r="F236" s="236"/>
      <c r="G236" s="236"/>
      <c r="H236" s="236"/>
      <c r="I236" s="236"/>
      <c r="J236" s="236"/>
      <c r="K236" s="236"/>
      <c r="L236" s="236"/>
      <c r="M236" s="236"/>
      <c r="N236" s="236"/>
      <c r="O236" s="236"/>
      <c r="P236" s="236"/>
      <c r="Q236" s="236"/>
      <c r="R236" s="235"/>
      <c r="AE236" s="186">
        <v>40</v>
      </c>
      <c r="AF236" s="186">
        <v>22</v>
      </c>
      <c r="AG236" s="186">
        <v>22</v>
      </c>
      <c r="AH236" s="186">
        <v>22</v>
      </c>
      <c r="AI236" s="186">
        <v>24</v>
      </c>
      <c r="AJ236" s="235"/>
      <c r="AK236" s="413" t="s">
        <v>247</v>
      </c>
      <c r="AL236" s="186">
        <v>4</v>
      </c>
      <c r="AM236" s="186">
        <v>6</v>
      </c>
      <c r="AN236" s="186">
        <v>6</v>
      </c>
      <c r="AO236" s="186">
        <v>8</v>
      </c>
    </row>
    <row r="237" spans="3:41" ht="11.45" customHeight="1" x14ac:dyDescent="0.2">
      <c r="C237" s="236"/>
      <c r="D237" s="236"/>
      <c r="E237" s="236"/>
      <c r="F237" s="236"/>
      <c r="G237" s="236"/>
      <c r="H237" s="236"/>
      <c r="I237" s="236"/>
      <c r="J237" s="236"/>
      <c r="K237" s="236"/>
      <c r="L237" s="236"/>
      <c r="M237" s="236"/>
      <c r="N237" s="236"/>
      <c r="O237" s="236"/>
      <c r="P237" s="236"/>
      <c r="Q237" s="236"/>
      <c r="R237" s="235"/>
      <c r="AE237" s="186">
        <v>45</v>
      </c>
      <c r="AF237" s="186">
        <v>22</v>
      </c>
      <c r="AG237" s="186">
        <v>22</v>
      </c>
      <c r="AH237" s="186">
        <v>22</v>
      </c>
      <c r="AI237" s="186">
        <v>24</v>
      </c>
      <c r="AJ237" s="235"/>
      <c r="AK237" s="186"/>
      <c r="AL237" s="186"/>
      <c r="AM237" s="186"/>
      <c r="AN237" s="186"/>
      <c r="AO237" s="186"/>
    </row>
    <row r="238" spans="3:41" ht="11.45" customHeight="1" x14ac:dyDescent="0.2">
      <c r="C238" s="236"/>
      <c r="D238" s="236"/>
      <c r="E238" s="236"/>
      <c r="F238" s="236"/>
      <c r="G238" s="236"/>
      <c r="H238" s="236"/>
      <c r="I238" s="236"/>
      <c r="J238" s="236"/>
      <c r="K238" s="236"/>
      <c r="L238" s="236"/>
      <c r="M238" s="236"/>
      <c r="N238" s="236"/>
      <c r="O238" s="236"/>
      <c r="P238" s="236"/>
      <c r="Q238" s="236"/>
      <c r="R238" s="235"/>
      <c r="AE238" s="186">
        <v>50</v>
      </c>
      <c r="AF238" s="186">
        <v>22</v>
      </c>
      <c r="AG238" s="186">
        <v>22</v>
      </c>
      <c r="AH238" s="186">
        <v>24</v>
      </c>
      <c r="AI238" s="186">
        <v>24</v>
      </c>
      <c r="AJ238" s="235"/>
      <c r="AK238" s="186"/>
      <c r="AL238" s="186"/>
      <c r="AM238" s="186"/>
      <c r="AN238" s="186"/>
      <c r="AO238" s="186"/>
    </row>
    <row r="239" spans="3:41" ht="11.45" customHeight="1" x14ac:dyDescent="0.2">
      <c r="C239" s="236"/>
      <c r="D239" s="236"/>
      <c r="E239" s="236"/>
      <c r="F239" s="236"/>
      <c r="G239" s="236"/>
      <c r="H239" s="236"/>
      <c r="I239" s="236"/>
      <c r="J239" s="236"/>
      <c r="K239" s="236"/>
      <c r="L239" s="236"/>
      <c r="M239" s="236"/>
      <c r="N239" s="236"/>
      <c r="O239" s="236"/>
      <c r="P239" s="236"/>
      <c r="Q239" s="236"/>
      <c r="R239" s="235"/>
      <c r="AE239" s="186">
        <v>55</v>
      </c>
      <c r="AF239" s="186">
        <v>22</v>
      </c>
      <c r="AG239" s="186">
        <v>22</v>
      </c>
      <c r="AH239" s="186">
        <v>24</v>
      </c>
      <c r="AI239" s="186">
        <v>24</v>
      </c>
      <c r="AJ239" s="235"/>
      <c r="AK239" s="186"/>
      <c r="AL239" s="186"/>
      <c r="AM239" s="186"/>
      <c r="AN239" s="186"/>
      <c r="AO239" s="186"/>
    </row>
    <row r="240" spans="3:41" ht="11.45" customHeight="1" x14ac:dyDescent="0.2">
      <c r="C240" s="236"/>
      <c r="D240" s="236"/>
      <c r="E240" s="236"/>
      <c r="F240" s="236"/>
      <c r="G240" s="236"/>
      <c r="H240" s="236"/>
      <c r="I240" s="236"/>
      <c r="J240" s="236"/>
      <c r="K240" s="236"/>
      <c r="L240" s="236"/>
      <c r="M240" s="236"/>
      <c r="N240" s="236"/>
      <c r="O240" s="236"/>
      <c r="P240" s="236"/>
      <c r="Q240" s="236"/>
      <c r="R240" s="235"/>
      <c r="AE240" s="186">
        <v>60</v>
      </c>
      <c r="AF240" s="186">
        <v>24</v>
      </c>
      <c r="AG240" s="186">
        <v>24</v>
      </c>
      <c r="AH240" s="186">
        <v>24</v>
      </c>
      <c r="AI240" s="186">
        <v>24</v>
      </c>
      <c r="AJ240" s="235"/>
      <c r="AK240" s="186"/>
      <c r="AL240" s="186"/>
      <c r="AM240" s="186"/>
      <c r="AN240" s="186"/>
      <c r="AO240" s="186"/>
    </row>
    <row r="241" spans="3:41" ht="11.45" customHeight="1" x14ac:dyDescent="0.2">
      <c r="C241" s="236"/>
      <c r="D241" s="236"/>
      <c r="E241" s="236"/>
      <c r="F241" s="236"/>
      <c r="G241" s="236"/>
      <c r="H241" s="236"/>
      <c r="I241" s="236"/>
      <c r="J241" s="236"/>
      <c r="K241" s="236"/>
      <c r="L241" s="236"/>
      <c r="M241" s="236"/>
      <c r="N241" s="236"/>
      <c r="O241" s="236"/>
      <c r="P241" s="236"/>
      <c r="Q241" s="236"/>
      <c r="R241" s="236"/>
      <c r="AE241" s="186">
        <v>65</v>
      </c>
      <c r="AF241" s="186">
        <v>24</v>
      </c>
      <c r="AG241" s="186">
        <v>24</v>
      </c>
      <c r="AH241" s="186">
        <v>24</v>
      </c>
      <c r="AI241" s="186">
        <v>24</v>
      </c>
      <c r="AJ241" s="235"/>
      <c r="AK241" s="186"/>
      <c r="AL241" s="186"/>
      <c r="AM241" s="186"/>
      <c r="AN241" s="186"/>
      <c r="AO241" s="186"/>
    </row>
    <row r="242" spans="3:41" ht="11.45" customHeight="1" x14ac:dyDescent="0.2">
      <c r="C242" s="236"/>
      <c r="D242" s="236"/>
      <c r="E242" s="236"/>
      <c r="F242" s="236"/>
      <c r="G242" s="236"/>
      <c r="H242" s="236"/>
      <c r="I242" s="236"/>
      <c r="J242" s="236"/>
      <c r="K242" s="236"/>
      <c r="L242" s="236"/>
      <c r="M242" s="236"/>
      <c r="N242" s="236"/>
      <c r="O242" s="236"/>
      <c r="P242" s="236"/>
      <c r="Q242" s="236"/>
      <c r="R242" s="236"/>
      <c r="AE242" s="186">
        <v>70</v>
      </c>
      <c r="AF242" s="186">
        <v>24</v>
      </c>
      <c r="AG242" s="186">
        <v>24</v>
      </c>
      <c r="AH242" s="186">
        <v>24</v>
      </c>
      <c r="AI242" s="186">
        <v>24</v>
      </c>
      <c r="AJ242" s="235"/>
      <c r="AK242" s="186"/>
      <c r="AL242" s="186"/>
      <c r="AM242" s="186"/>
      <c r="AN242" s="186"/>
      <c r="AO242" s="186"/>
    </row>
    <row r="243" spans="3:41" ht="11.45" customHeight="1" x14ac:dyDescent="0.2">
      <c r="C243" s="236"/>
      <c r="D243" s="236"/>
      <c r="E243" s="236"/>
      <c r="F243" s="236"/>
      <c r="G243" s="236"/>
      <c r="H243" s="236"/>
      <c r="I243" s="236"/>
      <c r="J243" s="236"/>
      <c r="K243" s="236"/>
      <c r="L243" s="236"/>
      <c r="M243" s="236"/>
      <c r="N243" s="236"/>
      <c r="O243" s="236"/>
      <c r="P243" s="236"/>
      <c r="Q243" s="236"/>
      <c r="R243" s="236"/>
      <c r="AE243" s="186">
        <v>75</v>
      </c>
      <c r="AF243" s="186">
        <v>24</v>
      </c>
      <c r="AG243" s="186">
        <v>24</v>
      </c>
      <c r="AH243" s="186">
        <v>24</v>
      </c>
      <c r="AI243" s="186">
        <v>24</v>
      </c>
      <c r="AJ243" s="235"/>
      <c r="AK243" s="186"/>
      <c r="AL243" s="186"/>
      <c r="AM243" s="186"/>
      <c r="AN243" s="186"/>
      <c r="AO243" s="186"/>
    </row>
    <row r="244" spans="3:41" ht="11.45" customHeight="1" x14ac:dyDescent="0.2">
      <c r="C244" s="236"/>
      <c r="D244" s="236"/>
      <c r="E244" s="236"/>
      <c r="F244" s="236"/>
      <c r="G244" s="236"/>
      <c r="H244" s="236"/>
      <c r="I244" s="236"/>
      <c r="J244" s="236"/>
      <c r="K244" s="236"/>
      <c r="L244" s="236"/>
      <c r="M244" s="236"/>
      <c r="N244" s="236"/>
      <c r="O244" s="236"/>
      <c r="P244" s="236"/>
      <c r="Q244" s="236"/>
      <c r="R244" s="236"/>
    </row>
    <row r="245" spans="3:41" ht="11.45" customHeight="1" x14ac:dyDescent="0.2">
      <c r="C245" s="236"/>
      <c r="D245" s="236"/>
      <c r="E245" s="236"/>
      <c r="F245" s="236"/>
      <c r="G245" s="236"/>
      <c r="H245" s="236"/>
      <c r="I245" s="236"/>
      <c r="J245" s="236"/>
      <c r="K245" s="236"/>
      <c r="L245" s="236"/>
      <c r="M245" s="236"/>
      <c r="N245" s="236"/>
      <c r="O245" s="236"/>
      <c r="P245" s="236"/>
      <c r="Q245" s="236"/>
      <c r="R245" s="236"/>
    </row>
  </sheetData>
  <sheetProtection algorithmName="SHA-512" hashValue="a4d1e1vDvToUCwWroQgHs/Llgan6ajJpBZDXg4qgt7FvcZp7pWTfIdmPP3KAKM3RtKsoI5Z5WwR44fE/Ju7nZA==" saltValue="SDXr+4liukLn730+gQXoKA==" spinCount="100000" sheet="1" selectLockedCells="1"/>
  <mergeCells count="25">
    <mergeCell ref="D219:J221"/>
    <mergeCell ref="U60:W62"/>
    <mergeCell ref="P16:P17"/>
    <mergeCell ref="G10:I10"/>
    <mergeCell ref="D10:E10"/>
    <mergeCell ref="K16:K17"/>
    <mergeCell ref="F16:F17"/>
    <mergeCell ref="K14:L14"/>
    <mergeCell ref="K15:L15"/>
    <mergeCell ref="M10:O10"/>
    <mergeCell ref="J112:O112"/>
    <mergeCell ref="D111:G111"/>
    <mergeCell ref="F6:H6"/>
    <mergeCell ref="C4:E4"/>
    <mergeCell ref="M9:O9"/>
    <mergeCell ref="C16:C18"/>
    <mergeCell ref="G210:N211"/>
    <mergeCell ref="G198:N199"/>
    <mergeCell ref="D199:E199"/>
    <mergeCell ref="D210:E210"/>
    <mergeCell ref="AH212:AK212"/>
    <mergeCell ref="AF193:AG193"/>
    <mergeCell ref="AK193:AM193"/>
    <mergeCell ref="AF203:AG203"/>
    <mergeCell ref="AK203:AN203"/>
  </mergeCells>
  <conditionalFormatting sqref="E16">
    <cfRule type="expression" dxfId="5" priority="11" stopIfTrue="1">
      <formula>ISERROR($D$18)</formula>
    </cfRule>
  </conditionalFormatting>
  <conditionalFormatting sqref="O16">
    <cfRule type="expression" dxfId="4" priority="13" stopIfTrue="1">
      <formula>ISERROR(#REF!)</formula>
    </cfRule>
  </conditionalFormatting>
  <conditionalFormatting sqref="O14:O15 O30">
    <cfRule type="expression" dxfId="3" priority="10" stopIfTrue="1">
      <formula>ISERROR(#REF!)</formula>
    </cfRule>
  </conditionalFormatting>
  <conditionalFormatting sqref="D14 E30">
    <cfRule type="expression" dxfId="2" priority="24" stopIfTrue="1">
      <formula>ISERROR($D$17)</formula>
    </cfRule>
  </conditionalFormatting>
  <conditionalFormatting sqref="O218">
    <cfRule type="expression" dxfId="1" priority="25" stopIfTrue="1">
      <formula>ISERROR($N$221)</formula>
    </cfRule>
  </conditionalFormatting>
  <conditionalFormatting sqref="O207:O208">
    <cfRule type="expression" dxfId="0" priority="26" stopIfTrue="1">
      <formula>ISERROR($N$211)</formula>
    </cfRule>
  </conditionalFormatting>
  <hyperlinks>
    <hyperlink ref="K15" location="'RC'!A142" display="Sht 4" xr:uid="{00000000-0004-0000-0300-000000000000}"/>
    <hyperlink ref="D15" location="'RC'!A114" display="Sht 4" xr:uid="{00000000-0004-0000-0300-000001000000}"/>
    <hyperlink ref="O32" location="'RC'!A177" display="Sht 5" xr:uid="{00000000-0004-0000-0300-000002000000}"/>
  </hyperlinks>
  <pageMargins left="0.7" right="0.7" top="0.75" bottom="0.75" header="0.3" footer="0.3"/>
  <pageSetup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I229"/>
  <sheetViews>
    <sheetView showFormulas="1" showGridLines="0" topLeftCell="A98" zoomScale="28" zoomScaleNormal="28" workbookViewId="0">
      <selection activeCell="AM249" sqref="AM249"/>
    </sheetView>
  </sheetViews>
  <sheetFormatPr defaultRowHeight="11.45" customHeight="1" x14ac:dyDescent="0.2"/>
  <cols>
    <col min="1" max="1" width="1" customWidth="1"/>
    <col min="2" max="2" width="3.85546875" customWidth="1"/>
    <col min="3" max="5" width="6.7109375" customWidth="1"/>
    <col min="6" max="6" width="7.7109375" customWidth="1"/>
    <col min="7" max="14" width="6.7109375" customWidth="1"/>
    <col min="15" max="15" width="8.7109375" customWidth="1"/>
    <col min="17" max="17" width="50.7109375" style="134" customWidth="1"/>
  </cols>
  <sheetData>
    <row r="1" spans="1:18" ht="11.45" customHeight="1" x14ac:dyDescent="0.2">
      <c r="Q1" s="132"/>
      <c r="R1" s="1"/>
    </row>
    <row r="2" spans="1:18" ht="11.45" customHeight="1" x14ac:dyDescent="0.2">
      <c r="Q2" s="132"/>
      <c r="R2" s="1"/>
    </row>
    <row r="3" spans="1:18" ht="11.45" customHeight="1" x14ac:dyDescent="0.2">
      <c r="Q3" s="132"/>
      <c r="R3" s="1"/>
    </row>
    <row r="4" spans="1:18" ht="11.45" customHeight="1" x14ac:dyDescent="0.2">
      <c r="A4" s="591"/>
      <c r="Q4" s="132"/>
      <c r="R4" s="1"/>
    </row>
    <row r="5" spans="1:18" ht="15.95" customHeight="1" x14ac:dyDescent="0.2">
      <c r="A5" s="591"/>
      <c r="Q5" s="132"/>
      <c r="R5" s="1"/>
    </row>
    <row r="6" spans="1:18" ht="15.95" customHeight="1" x14ac:dyDescent="0.2">
      <c r="A6" s="591"/>
      <c r="Q6" s="132"/>
      <c r="R6" s="1"/>
    </row>
    <row r="7" spans="1:18" ht="15.95" customHeight="1" x14ac:dyDescent="0.2">
      <c r="A7" s="591"/>
      <c r="Q7" s="132"/>
      <c r="R7" s="1"/>
    </row>
    <row r="8" spans="1:18" ht="15.95" customHeight="1" x14ac:dyDescent="0.2">
      <c r="A8" s="591"/>
      <c r="Q8" s="132"/>
      <c r="R8" s="1"/>
    </row>
    <row r="9" spans="1:18" ht="15.95" customHeight="1" x14ac:dyDescent="0.2">
      <c r="A9" s="591"/>
      <c r="Q9" s="132"/>
      <c r="R9" s="1"/>
    </row>
    <row r="10" spans="1:18" ht="15.95" customHeight="1" x14ac:dyDescent="0.2">
      <c r="A10" s="591"/>
      <c r="Q10" s="132"/>
      <c r="R10" s="1"/>
    </row>
    <row r="11" spans="1:18" ht="15.95" customHeight="1" x14ac:dyDescent="0.2">
      <c r="A11" s="591"/>
      <c r="Q11" s="132"/>
      <c r="R11" s="1"/>
    </row>
    <row r="12" spans="1:18" ht="15.95" customHeight="1" x14ac:dyDescent="0.2">
      <c r="A12" s="591"/>
      <c r="Q12" s="132"/>
      <c r="R12" s="1"/>
    </row>
    <row r="13" spans="1:18" ht="15.95" customHeight="1" x14ac:dyDescent="0.2">
      <c r="A13" s="591"/>
      <c r="Q13" s="132"/>
      <c r="R13" s="1"/>
    </row>
    <row r="14" spans="1:18" ht="15.95" customHeight="1" x14ac:dyDescent="0.2">
      <c r="A14" s="591"/>
      <c r="Q14" s="132"/>
      <c r="R14" s="1"/>
    </row>
    <row r="15" spans="1:18" ht="15.95" customHeight="1" x14ac:dyDescent="0.2">
      <c r="A15" s="591"/>
      <c r="Q15" s="132"/>
      <c r="R15" s="1"/>
    </row>
    <row r="16" spans="1:18" ht="15.95" customHeight="1" x14ac:dyDescent="0.2">
      <c r="A16" s="591"/>
      <c r="Q16" s="132"/>
      <c r="R16" s="1"/>
    </row>
    <row r="17" spans="1:33" ht="15.95" customHeight="1" x14ac:dyDescent="0.2">
      <c r="A17" s="591"/>
      <c r="Q17" s="132"/>
      <c r="R17" s="1"/>
    </row>
    <row r="18" spans="1:33" ht="15.95" customHeight="1" x14ac:dyDescent="0.2">
      <c r="A18" s="591"/>
      <c r="Q18" s="132"/>
      <c r="R18" s="1"/>
    </row>
    <row r="19" spans="1:33" ht="15.95" customHeight="1" x14ac:dyDescent="0.2">
      <c r="A19" s="591"/>
      <c r="Q19" s="132"/>
      <c r="R19" s="1"/>
    </row>
    <row r="20" spans="1:33" ht="15.95" customHeight="1" x14ac:dyDescent="0.2">
      <c r="A20" s="591"/>
      <c r="Q20" s="132"/>
      <c r="R20" s="1"/>
    </row>
    <row r="21" spans="1:33" ht="15.95" customHeight="1" x14ac:dyDescent="0.2">
      <c r="A21" s="591"/>
      <c r="Q21" s="132"/>
      <c r="R21" s="1"/>
    </row>
    <row r="22" spans="1:33" ht="15.95" customHeight="1" x14ac:dyDescent="0.2">
      <c r="A22" s="591"/>
      <c r="Q22" s="132"/>
      <c r="R22" s="1"/>
    </row>
    <row r="23" spans="1:33" ht="15.95" customHeight="1" x14ac:dyDescent="0.2">
      <c r="A23" s="591"/>
      <c r="Q23" s="132"/>
      <c r="R23" s="1"/>
    </row>
    <row r="24" spans="1:33" ht="15.95" customHeight="1" x14ac:dyDescent="0.2">
      <c r="A24" s="591"/>
      <c r="Q24" s="132"/>
      <c r="R24" s="1"/>
    </row>
    <row r="25" spans="1:33" ht="15.95" customHeight="1" x14ac:dyDescent="0.2">
      <c r="A25" s="591"/>
      <c r="Q25" s="132"/>
      <c r="R25" s="1"/>
    </row>
    <row r="26" spans="1:33" ht="15.95" customHeight="1" x14ac:dyDescent="0.2">
      <c r="A26" s="591"/>
      <c r="Q26" s="132"/>
      <c r="R26" s="1"/>
    </row>
    <row r="27" spans="1:33" ht="15.95" customHeight="1" x14ac:dyDescent="0.2">
      <c r="A27" s="591"/>
      <c r="Q27" s="132"/>
      <c r="R27" s="1"/>
    </row>
    <row r="28" spans="1:33" ht="15.95" customHeight="1" x14ac:dyDescent="0.2">
      <c r="A28" s="591"/>
      <c r="Q28" s="132"/>
      <c r="R28" s="1"/>
    </row>
    <row r="29" spans="1:33" ht="15.95" customHeight="1" x14ac:dyDescent="0.2">
      <c r="A29" s="591"/>
      <c r="Q29" s="132"/>
      <c r="R29" s="1"/>
    </row>
    <row r="30" spans="1:33" ht="15.95" customHeight="1" x14ac:dyDescent="0.2">
      <c r="A30" s="591"/>
      <c r="Q30" s="132"/>
      <c r="R30" s="1"/>
    </row>
    <row r="31" spans="1:33" ht="15.95" customHeight="1" x14ac:dyDescent="0.2">
      <c r="A31" s="591"/>
      <c r="Q31" s="132"/>
      <c r="R31" s="1"/>
    </row>
    <row r="32" spans="1:33" ht="15.95" customHeight="1" x14ac:dyDescent="0.2">
      <c r="A32" s="591"/>
      <c r="Q32" s="132"/>
      <c r="R32" s="1"/>
      <c r="U32" s="9"/>
      <c r="V32" s="9"/>
      <c r="W32" s="20"/>
      <c r="X32" s="9"/>
      <c r="Y32" s="9"/>
      <c r="Z32" s="9"/>
      <c r="AA32" s="9"/>
      <c r="AB32" s="9"/>
      <c r="AC32" s="9"/>
      <c r="AD32" s="20"/>
      <c r="AE32" s="10"/>
      <c r="AF32" s="20"/>
      <c r="AG32" s="20"/>
    </row>
    <row r="33" spans="1:61" ht="15.95" customHeight="1" x14ac:dyDescent="0.2">
      <c r="A33" s="591"/>
      <c r="Q33" s="132"/>
      <c r="R33" s="1"/>
      <c r="U33" s="9"/>
      <c r="V33" s="9"/>
      <c r="W33" s="9"/>
      <c r="X33" s="9"/>
      <c r="Y33" s="9"/>
      <c r="Z33" s="9"/>
      <c r="AA33" s="9"/>
      <c r="AB33" s="9"/>
      <c r="AC33" s="9"/>
      <c r="AD33" s="21"/>
      <c r="AE33" s="28"/>
      <c r="AF33" s="20"/>
      <c r="AG33" s="20"/>
      <c r="AW33" s="13"/>
      <c r="AX33" s="13"/>
      <c r="AY33" s="13"/>
      <c r="AZ33" s="13"/>
      <c r="BA33" s="13"/>
      <c r="BB33" s="13"/>
      <c r="BC33" s="13"/>
      <c r="BD33" s="13"/>
      <c r="BE33" s="13"/>
      <c r="BF33" s="13"/>
      <c r="BG33" s="13"/>
      <c r="BH33" s="13"/>
      <c r="BI33" s="13"/>
    </row>
    <row r="34" spans="1:61" ht="15.95" customHeight="1" x14ac:dyDescent="0.2">
      <c r="A34" s="591"/>
      <c r="Q34" s="132"/>
      <c r="R34" s="1"/>
      <c r="U34" s="9"/>
      <c r="V34" s="9"/>
      <c r="W34" s="9"/>
      <c r="X34" s="9"/>
      <c r="Y34" s="9"/>
      <c r="Z34" s="9"/>
      <c r="AA34" s="9"/>
      <c r="AB34" s="9"/>
      <c r="AC34" s="9"/>
      <c r="AD34" s="9"/>
      <c r="AE34" s="9"/>
      <c r="AF34" s="9"/>
      <c r="AG34" s="20"/>
      <c r="AW34" s="13"/>
      <c r="AX34" s="13"/>
      <c r="AY34" s="3"/>
      <c r="AZ34" s="34"/>
      <c r="BA34" s="15"/>
      <c r="BB34" s="13"/>
      <c r="BC34" s="35"/>
      <c r="BD34" s="3"/>
      <c r="BE34" s="13"/>
      <c r="BF34" s="13"/>
      <c r="BG34" s="13"/>
      <c r="BH34" s="13"/>
      <c r="BI34" s="13"/>
    </row>
    <row r="35" spans="1:61" ht="15.95" customHeight="1" x14ac:dyDescent="0.2">
      <c r="Q35" s="132"/>
      <c r="R35" s="1"/>
      <c r="U35" s="9"/>
      <c r="V35" s="9"/>
      <c r="W35" s="9"/>
      <c r="X35" s="9"/>
      <c r="Y35" s="9"/>
      <c r="Z35" s="9"/>
      <c r="AA35" s="9"/>
      <c r="AB35" s="9"/>
      <c r="AC35" s="9"/>
      <c r="AD35" s="9"/>
      <c r="AE35" s="9"/>
      <c r="AF35" s="20"/>
      <c r="AG35" s="20"/>
      <c r="AW35" s="13"/>
      <c r="AX35" s="13"/>
      <c r="AY35" s="3"/>
      <c r="AZ35" s="3"/>
      <c r="BA35" s="3"/>
      <c r="BB35" s="13"/>
      <c r="BC35" s="13"/>
      <c r="BD35" s="13"/>
      <c r="BE35" s="13"/>
      <c r="BF35" s="13"/>
      <c r="BG35" s="13"/>
      <c r="BH35" s="13"/>
      <c r="BI35" s="13"/>
    </row>
    <row r="36" spans="1:61" ht="15.95" customHeight="1" x14ac:dyDescent="0.2">
      <c r="Q36" s="132"/>
      <c r="R36" s="1"/>
      <c r="U36" s="9"/>
      <c r="V36" s="9"/>
      <c r="W36" s="9"/>
      <c r="X36" s="9"/>
      <c r="Y36" s="9"/>
      <c r="Z36" s="9"/>
      <c r="AA36" s="9"/>
      <c r="AB36" s="9"/>
      <c r="AC36" s="9"/>
      <c r="AD36" s="9"/>
      <c r="AE36" s="9"/>
      <c r="AF36" s="20"/>
      <c r="AW36" s="13"/>
      <c r="AX36" s="13"/>
      <c r="AY36" s="13"/>
      <c r="AZ36" s="13"/>
      <c r="BA36" s="13"/>
      <c r="BB36" s="13"/>
      <c r="BC36" s="13"/>
      <c r="BD36" s="13"/>
      <c r="BE36" s="13"/>
      <c r="BF36" s="13"/>
      <c r="BG36" s="13"/>
      <c r="BH36" s="13"/>
      <c r="BI36" s="13"/>
    </row>
    <row r="37" spans="1:61" ht="15.95" customHeight="1" x14ac:dyDescent="0.2">
      <c r="Q37" s="132"/>
      <c r="R37" s="1"/>
      <c r="U37" s="11"/>
      <c r="V37" s="11"/>
      <c r="W37" s="11"/>
      <c r="X37" s="11"/>
      <c r="Y37" s="11"/>
      <c r="Z37" s="11"/>
      <c r="AA37" s="9"/>
      <c r="AB37" s="9"/>
      <c r="AC37" s="9"/>
      <c r="AD37" s="9"/>
      <c r="AE37" s="22"/>
      <c r="AF37" s="20"/>
      <c r="AH37" s="19"/>
      <c r="AI37" s="19"/>
      <c r="AW37" s="13"/>
      <c r="AX37" s="3"/>
      <c r="AY37" s="3"/>
      <c r="AZ37" s="3"/>
      <c r="BA37" s="3"/>
      <c r="BB37" s="36"/>
      <c r="BC37" s="37"/>
      <c r="BD37" s="38"/>
      <c r="BE37" s="38"/>
      <c r="BF37" s="39"/>
      <c r="BG37" s="3"/>
      <c r="BH37" s="3"/>
      <c r="BI37" s="3"/>
    </row>
    <row r="38" spans="1:61" ht="15.95" customHeight="1" x14ac:dyDescent="0.2">
      <c r="Q38" s="132"/>
      <c r="R38" s="1"/>
      <c r="U38" s="9"/>
      <c r="V38" s="9"/>
      <c r="W38" s="9"/>
      <c r="X38" s="9"/>
      <c r="Y38" s="9"/>
      <c r="Z38" s="9"/>
      <c r="AA38" s="9"/>
      <c r="AB38" s="9"/>
      <c r="AC38" s="9"/>
      <c r="AD38" s="9"/>
      <c r="AE38" s="22"/>
      <c r="AF38" s="20"/>
      <c r="AH38" s="19"/>
      <c r="AI38" s="19"/>
      <c r="AW38" s="13"/>
      <c r="AX38" s="3"/>
      <c r="AY38" s="40"/>
      <c r="AZ38" s="41"/>
      <c r="BA38" s="3"/>
      <c r="BB38" s="40"/>
      <c r="BC38" s="42"/>
      <c r="BD38" s="15"/>
      <c r="BE38" s="40"/>
      <c r="BF38" s="40"/>
      <c r="BG38" s="3"/>
      <c r="BH38" s="3"/>
      <c r="BI38" s="3"/>
    </row>
    <row r="39" spans="1:61" ht="15.95" customHeight="1" x14ac:dyDescent="0.2">
      <c r="Q39" s="132"/>
      <c r="AC39" s="9"/>
      <c r="AD39" s="9"/>
      <c r="AE39" s="22"/>
      <c r="AF39" s="20"/>
      <c r="AH39" s="24"/>
      <c r="AI39" s="8"/>
      <c r="AW39" s="13"/>
      <c r="AX39" s="3"/>
      <c r="AY39" s="43"/>
      <c r="AZ39" s="15"/>
      <c r="BA39" s="3"/>
      <c r="BB39" s="3"/>
      <c r="BC39" s="42"/>
      <c r="BD39" s="40"/>
      <c r="BE39" s="3"/>
      <c r="BF39" s="3"/>
      <c r="BG39" s="3"/>
      <c r="BH39" s="3"/>
      <c r="BI39" s="3"/>
    </row>
    <row r="40" spans="1:61" ht="11.45" customHeight="1" x14ac:dyDescent="0.2">
      <c r="Q40" s="132"/>
      <c r="AC40" s="9"/>
      <c r="AD40" s="9"/>
      <c r="AE40" s="22"/>
      <c r="AF40" s="20"/>
      <c r="AH40" s="19"/>
      <c r="AI40" s="19"/>
      <c r="AW40" s="13"/>
      <c r="AX40" s="3"/>
      <c r="AY40" s="43"/>
      <c r="AZ40" s="43"/>
      <c r="BA40" s="3"/>
      <c r="BB40" s="3"/>
      <c r="BC40" s="13"/>
      <c r="BD40" s="13"/>
      <c r="BE40" s="3"/>
      <c r="BF40" s="3"/>
      <c r="BG40" s="3"/>
      <c r="BH40" s="3"/>
      <c r="BI40" s="3"/>
    </row>
    <row r="41" spans="1:61" ht="11.45" customHeight="1" x14ac:dyDescent="0.2">
      <c r="Q41" s="132"/>
      <c r="AC41" s="9"/>
      <c r="AD41" s="9"/>
      <c r="AE41" s="22"/>
      <c r="AF41" s="20"/>
      <c r="AH41" s="19"/>
      <c r="AI41" s="19"/>
      <c r="AW41" s="13"/>
      <c r="AX41" s="16"/>
      <c r="AY41" s="17"/>
      <c r="AZ41" s="17"/>
      <c r="BA41" s="17"/>
      <c r="BB41" s="16"/>
      <c r="BC41" s="16"/>
      <c r="BD41" s="16"/>
      <c r="BE41" s="16"/>
      <c r="BF41" s="44"/>
      <c r="BG41" s="3"/>
      <c r="BH41" s="3"/>
      <c r="BI41" s="3"/>
    </row>
    <row r="42" spans="1:61" ht="11.45" customHeight="1" x14ac:dyDescent="0.2">
      <c r="Q42" s="132"/>
      <c r="AC42" s="9"/>
      <c r="AD42" s="9"/>
      <c r="AE42" s="22"/>
      <c r="AF42" s="20"/>
      <c r="AH42" s="19"/>
      <c r="AI42" s="19"/>
      <c r="AW42" s="13"/>
      <c r="AX42" s="3"/>
      <c r="AY42" s="3"/>
      <c r="AZ42" s="15"/>
      <c r="BA42" s="3"/>
      <c r="BB42" s="3"/>
      <c r="BC42" s="3"/>
      <c r="BD42" s="3"/>
      <c r="BE42" s="3"/>
      <c r="BF42" s="45"/>
      <c r="BG42" s="3"/>
      <c r="BH42" s="3"/>
      <c r="BI42" s="3"/>
    </row>
    <row r="43" spans="1:61" ht="11.45" customHeight="1" x14ac:dyDescent="0.2">
      <c r="Q43" s="132"/>
      <c r="AC43" s="23"/>
      <c r="AD43" s="9"/>
      <c r="AE43" s="22"/>
      <c r="AF43" s="20"/>
      <c r="AG43" s="20"/>
      <c r="AH43" s="19"/>
      <c r="AI43" s="19"/>
      <c r="AW43" s="13"/>
      <c r="AX43" s="46"/>
      <c r="AY43" s="47"/>
      <c r="AZ43" s="16"/>
      <c r="BA43" s="47"/>
      <c r="BB43" s="16"/>
      <c r="BC43" s="16"/>
      <c r="BD43" s="16"/>
      <c r="BE43" s="16"/>
      <c r="BF43" s="47"/>
      <c r="BG43" s="46"/>
      <c r="BH43" s="3"/>
      <c r="BI43" s="3"/>
    </row>
    <row r="44" spans="1:61" ht="11.45" customHeight="1" x14ac:dyDescent="0.2">
      <c r="Q44" s="132"/>
      <c r="AC44" s="23"/>
      <c r="AD44" s="9"/>
      <c r="AE44" s="22"/>
      <c r="AF44" s="20"/>
      <c r="AG44" s="20"/>
      <c r="AH44" s="19"/>
      <c r="AI44" s="19"/>
      <c r="AW44" s="13"/>
      <c r="AX44" s="15"/>
      <c r="AY44" s="15"/>
      <c r="AZ44" s="15"/>
      <c r="BA44" s="15"/>
      <c r="BB44" s="15"/>
      <c r="BC44" s="15"/>
      <c r="BD44" s="15"/>
      <c r="BE44" s="15"/>
      <c r="BF44" s="15"/>
      <c r="BG44" s="15"/>
      <c r="BH44" s="3"/>
      <c r="BI44" s="15"/>
    </row>
    <row r="45" spans="1:61" ht="11.45" customHeight="1" x14ac:dyDescent="0.2">
      <c r="C45" s="1" t="s">
        <v>14</v>
      </c>
      <c r="D45" s="1"/>
      <c r="E45" s="1"/>
      <c r="F45" s="1"/>
      <c r="G45" s="1"/>
      <c r="H45" s="1"/>
      <c r="I45" s="1"/>
      <c r="J45" s="2"/>
      <c r="K45" s="1"/>
      <c r="L45" s="2"/>
      <c r="M45" s="1"/>
      <c r="N45" s="1"/>
      <c r="O45" s="1"/>
      <c r="P45" s="1"/>
      <c r="Q45" s="132"/>
      <c r="AC45" s="9"/>
      <c r="AD45" s="9"/>
      <c r="AE45" s="22"/>
      <c r="AF45" s="20"/>
      <c r="AG45" s="20"/>
      <c r="AW45" s="13"/>
      <c r="AX45" s="15"/>
      <c r="AY45" s="15"/>
      <c r="AZ45" s="15"/>
      <c r="BA45" s="15"/>
      <c r="BB45" s="15"/>
      <c r="BC45" s="15"/>
      <c r="BD45" s="15"/>
      <c r="BE45" s="15"/>
      <c r="BF45" s="15"/>
      <c r="BG45" s="15"/>
      <c r="BH45" s="3"/>
      <c r="BI45" s="15"/>
    </row>
    <row r="46" spans="1:61" ht="11.45" customHeight="1" x14ac:dyDescent="0.2">
      <c r="C46" s="1"/>
      <c r="D46" s="1"/>
      <c r="E46" s="1"/>
      <c r="F46" s="1"/>
      <c r="G46" s="1"/>
      <c r="H46" s="1"/>
      <c r="I46" s="1"/>
      <c r="J46" s="2"/>
      <c r="K46" s="1"/>
      <c r="L46" s="1"/>
      <c r="M46" s="1"/>
      <c r="N46" s="1"/>
      <c r="O46" s="1"/>
      <c r="P46" s="1"/>
      <c r="Q46" s="132"/>
      <c r="AE46" s="9"/>
      <c r="AF46" s="20"/>
      <c r="AG46" s="20"/>
      <c r="AW46" s="13"/>
      <c r="AX46" s="15"/>
      <c r="AY46" s="15"/>
      <c r="AZ46" s="15"/>
      <c r="BA46" s="15"/>
      <c r="BB46" s="15"/>
      <c r="BC46" s="15"/>
      <c r="BD46" s="15"/>
      <c r="BE46" s="15"/>
      <c r="BF46" s="15"/>
      <c r="BG46" s="15"/>
      <c r="BH46" s="3"/>
      <c r="BI46" s="15"/>
    </row>
    <row r="47" spans="1:61" ht="11.45" customHeight="1" x14ac:dyDescent="0.2">
      <c r="C47" s="6"/>
      <c r="D47" s="6"/>
      <c r="E47" s="6"/>
      <c r="F47" s="6"/>
      <c r="G47" s="6"/>
      <c r="H47" s="6"/>
      <c r="I47" s="6"/>
      <c r="J47" s="7"/>
      <c r="K47" s="6"/>
      <c r="L47" s="6"/>
      <c r="M47" s="6"/>
      <c r="N47" s="6"/>
      <c r="O47" s="6"/>
      <c r="P47" s="1"/>
      <c r="Q47" s="132"/>
      <c r="AE47" s="8"/>
      <c r="AF47" s="20"/>
      <c r="AG47" s="20"/>
      <c r="AW47" s="13"/>
      <c r="AX47" s="15"/>
      <c r="AY47" s="15"/>
      <c r="AZ47" s="15"/>
      <c r="BA47" s="15"/>
      <c r="BB47" s="15"/>
      <c r="BC47" s="15"/>
      <c r="BD47" s="15"/>
      <c r="BE47" s="15"/>
      <c r="BF47" s="15"/>
      <c r="BG47" s="15"/>
      <c r="BH47" s="3"/>
      <c r="BI47" s="15"/>
    </row>
    <row r="48" spans="1:61" ht="11.45" customHeight="1" x14ac:dyDescent="0.2">
      <c r="C48" s="6"/>
      <c r="D48" s="6"/>
      <c r="E48" s="6"/>
      <c r="F48" s="6"/>
      <c r="G48" s="6"/>
      <c r="H48" s="6"/>
      <c r="I48" s="6"/>
      <c r="J48" s="7"/>
      <c r="K48" s="6"/>
      <c r="L48" s="6"/>
      <c r="M48" s="6"/>
      <c r="N48" s="6"/>
      <c r="O48" s="6"/>
      <c r="P48" s="1"/>
      <c r="Q48" s="132"/>
      <c r="AE48" s="25"/>
      <c r="AF48" s="20"/>
      <c r="AG48" s="20"/>
      <c r="AW48" s="13"/>
      <c r="AX48" s="15"/>
      <c r="AY48" s="15"/>
      <c r="AZ48" s="15"/>
      <c r="BA48" s="15"/>
      <c r="BB48" s="15"/>
      <c r="BC48" s="15"/>
      <c r="BD48" s="15"/>
      <c r="BE48" s="15"/>
      <c r="BF48" s="15"/>
      <c r="BG48" s="15"/>
      <c r="BH48" s="3"/>
      <c r="BI48" s="15"/>
    </row>
    <row r="49" spans="1:61" ht="11.45" customHeight="1" x14ac:dyDescent="0.2">
      <c r="C49" s="12"/>
      <c r="D49" s="6"/>
      <c r="E49" s="6"/>
      <c r="F49" s="6"/>
      <c r="G49" s="6"/>
      <c r="H49" s="6"/>
      <c r="I49" s="6"/>
      <c r="J49" s="7"/>
      <c r="K49" s="6"/>
      <c r="L49" s="7"/>
      <c r="M49" s="6"/>
      <c r="N49" s="6"/>
      <c r="O49" s="6"/>
      <c r="P49" s="1"/>
      <c r="Q49" s="132"/>
      <c r="AE49" s="25"/>
      <c r="AF49" s="20"/>
      <c r="AG49" s="20"/>
      <c r="AW49" s="13"/>
      <c r="AX49" s="15"/>
      <c r="AY49" s="15"/>
      <c r="AZ49" s="15"/>
      <c r="BA49" s="15"/>
      <c r="BB49" s="15"/>
      <c r="BC49" s="15"/>
      <c r="BD49" s="15"/>
      <c r="BE49" s="15"/>
      <c r="BF49" s="15"/>
      <c r="BG49" s="15"/>
      <c r="BH49" s="3"/>
      <c r="BI49" s="15"/>
    </row>
    <row r="50" spans="1:61" ht="11.45" customHeight="1" x14ac:dyDescent="0.2">
      <c r="A50" s="591"/>
      <c r="C50" s="6"/>
      <c r="D50" s="6"/>
      <c r="E50" s="6"/>
      <c r="F50" s="6"/>
      <c r="G50" s="6"/>
      <c r="H50" s="6"/>
      <c r="I50" s="6"/>
      <c r="J50" s="7"/>
      <c r="K50" s="6"/>
      <c r="L50" s="7"/>
      <c r="M50" s="6"/>
      <c r="N50" s="6"/>
      <c r="O50" s="6"/>
      <c r="P50" s="1"/>
      <c r="Q50" s="132"/>
      <c r="AE50" s="25"/>
      <c r="AF50" s="20"/>
      <c r="AG50" s="20"/>
      <c r="AW50" s="13"/>
      <c r="AX50" s="15"/>
      <c r="AY50" s="15"/>
      <c r="AZ50" s="15"/>
      <c r="BA50" s="15"/>
      <c r="BB50" s="15"/>
      <c r="BC50" s="15"/>
      <c r="BD50" s="15"/>
      <c r="BE50" s="15"/>
      <c r="BF50" s="15"/>
      <c r="BG50" s="15"/>
      <c r="BH50" s="3"/>
      <c r="BI50" s="15"/>
    </row>
    <row r="51" spans="1:61" ht="11.45" customHeight="1" x14ac:dyDescent="0.2">
      <c r="A51" s="591"/>
      <c r="Q51" s="132"/>
      <c r="AE51" s="25"/>
      <c r="AF51" s="20"/>
      <c r="AG51" s="20"/>
      <c r="AW51" s="13"/>
      <c r="AX51" s="15"/>
      <c r="AY51" s="15"/>
      <c r="AZ51" s="15"/>
      <c r="BA51" s="15"/>
      <c r="BB51" s="15"/>
      <c r="BC51" s="15"/>
      <c r="BD51" s="15"/>
      <c r="BE51" s="15"/>
      <c r="BF51" s="15"/>
      <c r="BG51" s="15"/>
      <c r="BH51" s="3"/>
      <c r="BI51" s="15"/>
    </row>
    <row r="52" spans="1:61" ht="11.45" customHeight="1" x14ac:dyDescent="0.2">
      <c r="A52" s="591"/>
      <c r="Q52" s="132"/>
      <c r="AE52" s="25"/>
      <c r="AF52" s="20"/>
      <c r="AG52" s="20"/>
      <c r="AW52" s="13"/>
      <c r="AX52" s="15"/>
      <c r="AY52" s="15"/>
      <c r="AZ52" s="15"/>
      <c r="BA52" s="15"/>
      <c r="BB52" s="15"/>
      <c r="BC52" s="15"/>
      <c r="BD52" s="15"/>
      <c r="BE52" s="15"/>
      <c r="BF52" s="15"/>
      <c r="BG52" s="15"/>
      <c r="BH52" s="3"/>
      <c r="BI52" s="15"/>
    </row>
    <row r="53" spans="1:61" ht="11.45" customHeight="1" x14ac:dyDescent="0.2">
      <c r="A53" s="591"/>
      <c r="Q53" s="132"/>
      <c r="AC53" s="20"/>
      <c r="AD53" s="20"/>
      <c r="AE53" s="22"/>
      <c r="AF53" s="20"/>
      <c r="AG53" s="20"/>
      <c r="AW53" s="13"/>
      <c r="AX53" s="15"/>
      <c r="AY53" s="15"/>
      <c r="AZ53" s="15"/>
      <c r="BA53" s="15"/>
      <c r="BB53" s="15"/>
      <c r="BC53" s="15"/>
      <c r="BD53" s="15"/>
      <c r="BE53" s="15"/>
      <c r="BF53" s="15"/>
      <c r="BG53" s="15"/>
      <c r="BH53" s="3"/>
      <c r="BI53" s="15"/>
    </row>
    <row r="54" spans="1:61" ht="11.45" customHeight="1" x14ac:dyDescent="0.2">
      <c r="A54" s="591"/>
      <c r="Q54" s="132"/>
      <c r="AC54" s="9"/>
      <c r="AD54" s="9"/>
      <c r="AE54" s="22"/>
      <c r="AF54" s="20"/>
      <c r="AG54" s="20"/>
      <c r="AW54" s="13"/>
      <c r="AX54" s="3"/>
      <c r="AY54" s="3"/>
      <c r="AZ54" s="3"/>
      <c r="BA54" s="3"/>
      <c r="BB54" s="3"/>
      <c r="BC54" s="3"/>
      <c r="BD54" s="3"/>
      <c r="BE54" s="3"/>
      <c r="BF54" s="3"/>
      <c r="BG54" s="3"/>
      <c r="BH54" s="3"/>
      <c r="BI54" s="15"/>
    </row>
    <row r="55" spans="1:61" ht="11.45" customHeight="1" x14ac:dyDescent="0.2">
      <c r="A55" s="591"/>
      <c r="Q55" s="132"/>
      <c r="AC55" s="9"/>
      <c r="AD55" s="9"/>
      <c r="AE55" s="22"/>
      <c r="AF55" s="20"/>
      <c r="AG55" s="20"/>
      <c r="AW55" s="13"/>
      <c r="AX55" s="3"/>
      <c r="AY55" s="3"/>
      <c r="AZ55" s="3"/>
      <c r="BA55" s="3"/>
      <c r="BB55" s="3"/>
      <c r="BC55" s="15"/>
      <c r="BD55" s="16"/>
      <c r="BE55" s="3"/>
      <c r="BF55" s="40"/>
      <c r="BG55" s="15"/>
      <c r="BH55" s="3"/>
      <c r="BI55" s="15"/>
    </row>
    <row r="56" spans="1:61" ht="11.45" customHeight="1" x14ac:dyDescent="0.2">
      <c r="A56" s="591"/>
      <c r="Q56" s="132"/>
      <c r="AC56" s="9"/>
      <c r="AD56" s="9"/>
      <c r="AE56" s="22"/>
      <c r="AF56" s="20"/>
      <c r="AG56" s="20"/>
      <c r="AW56" s="13"/>
      <c r="AX56" s="3"/>
      <c r="AY56" s="3"/>
      <c r="AZ56" s="3"/>
      <c r="BA56" s="3"/>
      <c r="BB56" s="3"/>
      <c r="BC56" s="15"/>
      <c r="BD56" s="3"/>
      <c r="BE56" s="3"/>
      <c r="BF56" s="48"/>
      <c r="BG56" s="49"/>
      <c r="BH56" s="3"/>
      <c r="BI56" s="15"/>
    </row>
    <row r="57" spans="1:61" ht="11.45" customHeight="1" x14ac:dyDescent="0.2">
      <c r="A57" s="591"/>
      <c r="Q57" s="132"/>
      <c r="AC57" s="9"/>
      <c r="AD57" s="9"/>
      <c r="AE57" s="22"/>
      <c r="AF57" s="20"/>
      <c r="AG57" s="20"/>
      <c r="AW57" s="13"/>
      <c r="AX57" s="3"/>
      <c r="AY57" s="3"/>
      <c r="AZ57" s="3"/>
      <c r="BA57" s="3"/>
      <c r="BB57" s="3"/>
      <c r="BC57" s="15"/>
      <c r="BD57" s="3"/>
      <c r="BE57" s="3"/>
      <c r="BF57" s="14"/>
      <c r="BG57" s="15"/>
      <c r="BH57" s="3"/>
      <c r="BI57" s="15"/>
    </row>
    <row r="58" spans="1:61" ht="11.45" customHeight="1" x14ac:dyDescent="0.2">
      <c r="A58" s="591"/>
      <c r="Q58" s="132"/>
      <c r="AC58" s="9"/>
      <c r="AD58" s="9"/>
      <c r="AE58" s="22"/>
      <c r="AF58" s="20"/>
      <c r="AG58" s="20"/>
      <c r="AW58" s="13"/>
      <c r="AX58" s="3"/>
      <c r="AY58" s="3"/>
      <c r="AZ58" s="3"/>
      <c r="BA58" s="3"/>
      <c r="BB58" s="3"/>
      <c r="BC58" s="15"/>
      <c r="BD58" s="3"/>
      <c r="BE58" s="3"/>
      <c r="BF58" s="3"/>
      <c r="BG58" s="3"/>
      <c r="BH58" s="3"/>
      <c r="BI58" s="15"/>
    </row>
    <row r="59" spans="1:61" ht="11.45" customHeight="1" x14ac:dyDescent="0.2">
      <c r="A59" s="591"/>
      <c r="Q59" s="132"/>
      <c r="AC59" s="9"/>
      <c r="AD59" s="9"/>
      <c r="AE59" s="22"/>
      <c r="AF59" s="20"/>
      <c r="AG59" s="20"/>
      <c r="AW59" s="13"/>
      <c r="AX59" s="3"/>
      <c r="AY59" s="3"/>
      <c r="AZ59" s="3"/>
      <c r="BA59" s="3"/>
      <c r="BB59" s="3"/>
      <c r="BC59" s="15"/>
      <c r="BD59" s="15"/>
      <c r="BE59" s="3"/>
      <c r="BF59" s="3"/>
      <c r="BG59" s="3"/>
      <c r="BH59" s="3"/>
      <c r="BI59" s="15"/>
    </row>
    <row r="60" spans="1:61" ht="11.45" customHeight="1" x14ac:dyDescent="0.2">
      <c r="A60" s="591"/>
      <c r="Q60" s="132"/>
      <c r="AC60" s="9"/>
      <c r="AD60" s="9"/>
      <c r="AE60" s="22"/>
      <c r="AF60" s="20"/>
      <c r="AG60" s="20"/>
      <c r="AW60" s="13"/>
      <c r="AX60" s="50"/>
      <c r="AY60" s="50"/>
      <c r="AZ60" s="50"/>
      <c r="BA60" s="50"/>
      <c r="BB60" s="50"/>
      <c r="BC60" s="18"/>
      <c r="BD60" s="51"/>
      <c r="BE60" s="51"/>
      <c r="BF60" s="51"/>
      <c r="BG60" s="51"/>
      <c r="BH60" s="51"/>
      <c r="BI60" s="3"/>
    </row>
    <row r="61" spans="1:61" ht="11.45" customHeight="1" x14ac:dyDescent="0.2">
      <c r="A61" s="591"/>
      <c r="Q61" s="132"/>
      <c r="AC61" s="9"/>
      <c r="AD61" s="9"/>
      <c r="AE61" s="9"/>
      <c r="AF61" s="20"/>
      <c r="AG61" s="20"/>
      <c r="AW61" s="13"/>
      <c r="AX61" s="15"/>
      <c r="AY61" s="15"/>
      <c r="AZ61" s="15"/>
      <c r="BA61" s="15"/>
      <c r="BB61" s="15"/>
      <c r="BC61" s="18"/>
      <c r="BD61" s="35"/>
      <c r="BE61" s="35"/>
      <c r="BF61" s="35"/>
      <c r="BG61" s="35"/>
      <c r="BH61" s="35"/>
      <c r="BI61" s="15"/>
    </row>
    <row r="62" spans="1:61" ht="11.45" customHeight="1" x14ac:dyDescent="0.2">
      <c r="A62" s="591"/>
      <c r="Q62" s="132"/>
      <c r="AC62" s="9"/>
      <c r="AD62" s="9"/>
      <c r="AE62" s="22"/>
      <c r="AF62" s="20"/>
      <c r="AG62" s="20"/>
      <c r="AW62" s="13"/>
      <c r="AX62" s="15"/>
      <c r="AY62" s="15"/>
      <c r="AZ62" s="15"/>
      <c r="BA62" s="15"/>
      <c r="BB62" s="15"/>
      <c r="BC62" s="18"/>
      <c r="BD62" s="35"/>
      <c r="BE62" s="35"/>
      <c r="BF62" s="35"/>
      <c r="BG62" s="35"/>
      <c r="BH62" s="35"/>
      <c r="BI62" s="15"/>
    </row>
    <row r="63" spans="1:61" ht="11.45" customHeight="1" x14ac:dyDescent="0.2">
      <c r="A63" s="591"/>
      <c r="Q63" s="132"/>
      <c r="AC63" s="9"/>
      <c r="AD63" s="9"/>
      <c r="AE63" s="9"/>
      <c r="AF63" s="9"/>
      <c r="AG63" s="20"/>
      <c r="AW63" s="13"/>
      <c r="AX63" s="15"/>
      <c r="AY63" s="15"/>
      <c r="AZ63" s="15"/>
      <c r="BA63" s="15"/>
      <c r="BB63" s="15"/>
      <c r="BC63" s="18"/>
      <c r="BD63" s="35"/>
      <c r="BE63" s="35"/>
      <c r="BF63" s="35"/>
      <c r="BG63" s="35"/>
      <c r="BH63" s="35"/>
      <c r="BI63" s="15"/>
    </row>
    <row r="64" spans="1:61" ht="11.45" customHeight="1" x14ac:dyDescent="0.2">
      <c r="A64" s="591"/>
      <c r="Q64" s="132"/>
      <c r="AC64" s="9"/>
      <c r="AD64" s="9"/>
      <c r="AE64" s="9"/>
      <c r="AF64" s="20"/>
      <c r="AG64" s="20"/>
      <c r="AW64" s="13"/>
      <c r="AX64" s="15"/>
      <c r="AY64" s="15"/>
      <c r="AZ64" s="15"/>
      <c r="BA64" s="15"/>
      <c r="BB64" s="15"/>
      <c r="BC64" s="18"/>
      <c r="BD64" s="35"/>
      <c r="BE64" s="35"/>
      <c r="BF64" s="35"/>
      <c r="BG64" s="35"/>
      <c r="BH64" s="35"/>
      <c r="BI64" s="3"/>
    </row>
    <row r="65" spans="1:61" ht="11.45" customHeight="1" x14ac:dyDescent="0.2">
      <c r="A65" s="591"/>
      <c r="Q65" s="132"/>
      <c r="AC65" s="9"/>
      <c r="AD65" s="9"/>
      <c r="AE65" s="9"/>
      <c r="AF65" s="20"/>
      <c r="AG65" s="20"/>
      <c r="AW65" s="13"/>
      <c r="AX65" s="15"/>
      <c r="AY65" s="15"/>
      <c r="AZ65" s="15"/>
      <c r="BA65" s="15"/>
      <c r="BB65" s="15"/>
      <c r="BC65" s="18"/>
      <c r="BD65" s="35"/>
      <c r="BE65" s="35"/>
      <c r="BF65" s="35"/>
      <c r="BG65" s="35"/>
      <c r="BH65" s="35"/>
      <c r="BI65" s="3"/>
    </row>
    <row r="66" spans="1:61" ht="11.45" customHeight="1" x14ac:dyDescent="0.2">
      <c r="A66" s="591"/>
      <c r="Q66" s="132"/>
      <c r="AC66" s="20"/>
      <c r="AD66" s="20"/>
      <c r="AE66" s="22"/>
      <c r="AF66" s="20"/>
      <c r="AG66" s="20"/>
      <c r="AW66" s="13"/>
      <c r="AX66" s="15"/>
      <c r="AY66" s="15"/>
      <c r="AZ66" s="15"/>
      <c r="BA66" s="15"/>
      <c r="BB66" s="15"/>
      <c r="BC66" s="18"/>
      <c r="BD66" s="35"/>
      <c r="BE66" s="35"/>
      <c r="BF66" s="35"/>
      <c r="BG66" s="35"/>
      <c r="BH66" s="35"/>
      <c r="BI66" s="3"/>
    </row>
    <row r="67" spans="1:61" ht="11.45" customHeight="1" x14ac:dyDescent="0.2">
      <c r="A67" s="591"/>
      <c r="Q67" s="132"/>
      <c r="AC67" s="20"/>
      <c r="AD67" s="20"/>
      <c r="AE67" s="22"/>
      <c r="AF67" s="20"/>
      <c r="AG67" s="20"/>
      <c r="AW67" s="13"/>
      <c r="AX67" s="15"/>
      <c r="AY67" s="15"/>
      <c r="AZ67" s="15"/>
      <c r="BA67" s="15"/>
      <c r="BB67" s="15"/>
      <c r="BC67" s="18"/>
      <c r="BD67" s="35"/>
      <c r="BE67" s="35"/>
      <c r="BF67" s="35"/>
      <c r="BG67" s="35"/>
      <c r="BH67" s="35"/>
      <c r="BI67" s="3"/>
    </row>
    <row r="68" spans="1:61" ht="11.45" customHeight="1" x14ac:dyDescent="0.2">
      <c r="A68" s="591"/>
      <c r="Q68" s="132"/>
      <c r="AC68" s="21"/>
      <c r="AD68" s="26"/>
      <c r="AE68" s="9"/>
      <c r="AF68" s="20"/>
      <c r="AG68" s="20"/>
      <c r="AW68" s="13"/>
      <c r="AX68" s="15"/>
      <c r="AY68" s="15"/>
      <c r="AZ68" s="15"/>
      <c r="BA68" s="15"/>
      <c r="BB68" s="15"/>
      <c r="BC68" s="18"/>
      <c r="BD68" s="35"/>
      <c r="BE68" s="35"/>
      <c r="BF68" s="35"/>
      <c r="BG68" s="35"/>
      <c r="BH68" s="35"/>
      <c r="BI68" s="3"/>
    </row>
    <row r="69" spans="1:61" ht="11.45" customHeight="1" x14ac:dyDescent="0.2">
      <c r="A69" s="591"/>
      <c r="Q69" s="132"/>
      <c r="AC69" s="21"/>
      <c r="AD69" s="22"/>
      <c r="AE69" s="9"/>
      <c r="AF69" s="20"/>
      <c r="AG69" s="20"/>
      <c r="AW69" s="13"/>
      <c r="AX69" s="15"/>
      <c r="AY69" s="15"/>
      <c r="AZ69" s="15"/>
      <c r="BA69" s="15"/>
      <c r="BB69" s="15"/>
      <c r="BC69" s="18"/>
      <c r="BD69" s="35"/>
      <c r="BE69" s="35"/>
      <c r="BF69" s="35"/>
      <c r="BG69" s="35"/>
      <c r="BH69" s="35"/>
      <c r="BI69" s="3"/>
    </row>
    <row r="70" spans="1:61" ht="11.45" customHeight="1" x14ac:dyDescent="0.2">
      <c r="A70" s="591"/>
      <c r="Q70" s="132"/>
      <c r="AC70" s="27"/>
      <c r="AD70" s="27"/>
      <c r="AE70" s="22"/>
      <c r="AF70" s="20"/>
      <c r="AG70" s="20"/>
      <c r="AW70" s="13"/>
      <c r="AX70" s="15"/>
      <c r="AY70" s="15"/>
      <c r="AZ70" s="15"/>
      <c r="BA70" s="15"/>
      <c r="BB70" s="15"/>
      <c r="BC70" s="18"/>
      <c r="BD70" s="52"/>
      <c r="BE70" s="35"/>
      <c r="BF70" s="35"/>
      <c r="BG70" s="35"/>
      <c r="BH70" s="35"/>
      <c r="BI70" s="15"/>
    </row>
    <row r="71" spans="1:61" ht="11.45" customHeight="1" x14ac:dyDescent="0.2">
      <c r="A71" s="591"/>
      <c r="Q71" s="132"/>
      <c r="AC71" s="9"/>
      <c r="AD71" s="9"/>
      <c r="AE71" s="22"/>
      <c r="AF71" s="20"/>
      <c r="AG71" s="20"/>
      <c r="AW71" s="13"/>
      <c r="AX71" s="15"/>
      <c r="AY71" s="15"/>
      <c r="AZ71" s="15"/>
      <c r="BA71" s="15"/>
      <c r="BB71" s="15"/>
      <c r="BC71" s="18"/>
      <c r="BD71" s="52"/>
      <c r="BE71" s="35"/>
      <c r="BF71" s="35"/>
      <c r="BG71" s="35"/>
      <c r="BH71" s="35"/>
      <c r="BI71" s="15"/>
    </row>
    <row r="72" spans="1:61" ht="11.45" customHeight="1" x14ac:dyDescent="0.2">
      <c r="A72" s="591"/>
      <c r="Q72" s="132"/>
      <c r="AC72" s="9"/>
      <c r="AD72" s="9"/>
      <c r="AE72" s="22"/>
      <c r="AF72" s="20"/>
      <c r="AG72" s="20"/>
      <c r="AW72" s="13"/>
      <c r="AX72" s="13"/>
      <c r="AY72" s="13"/>
      <c r="AZ72" s="13"/>
      <c r="BA72" s="13"/>
      <c r="BB72" s="13"/>
      <c r="BC72" s="13"/>
      <c r="BD72" s="13"/>
      <c r="BE72" s="13"/>
      <c r="BF72" s="13"/>
      <c r="BG72" s="13"/>
      <c r="BH72" s="13"/>
      <c r="BI72" s="13"/>
    </row>
    <row r="73" spans="1:61" ht="11.45" customHeight="1" x14ac:dyDescent="0.2">
      <c r="A73" s="591"/>
      <c r="Q73" s="132"/>
      <c r="AC73" s="9"/>
      <c r="AD73" s="9"/>
      <c r="AE73" s="22"/>
      <c r="AF73" s="20"/>
      <c r="AG73" s="20"/>
      <c r="AW73" s="13"/>
      <c r="AX73" s="13"/>
      <c r="AY73" s="13"/>
      <c r="AZ73" s="13"/>
      <c r="BA73" s="13"/>
      <c r="BB73" s="13"/>
      <c r="BC73" s="13"/>
      <c r="BD73" s="13"/>
      <c r="BE73" s="13"/>
      <c r="BF73" s="13"/>
      <c r="BG73" s="13"/>
      <c r="BH73" s="13"/>
      <c r="BI73" s="13"/>
    </row>
    <row r="74" spans="1:61" ht="11.45" customHeight="1" x14ac:dyDescent="0.2">
      <c r="A74" s="591"/>
      <c r="Q74" s="132"/>
      <c r="AC74" s="9"/>
      <c r="AD74" s="9"/>
      <c r="AE74" s="22"/>
      <c r="AF74" s="20"/>
      <c r="AG74" s="20"/>
      <c r="AW74" s="13"/>
      <c r="AX74" s="13"/>
      <c r="AY74" s="13"/>
      <c r="AZ74" s="13"/>
      <c r="BA74" s="13"/>
      <c r="BB74" s="13"/>
      <c r="BC74" s="13"/>
      <c r="BD74" s="13"/>
      <c r="BE74" s="13"/>
      <c r="BF74" s="13"/>
      <c r="BG74" s="13"/>
      <c r="BH74" s="13"/>
      <c r="BI74" s="13"/>
    </row>
    <row r="75" spans="1:61" ht="11.45" customHeight="1" x14ac:dyDescent="0.2">
      <c r="A75" s="591"/>
      <c r="Q75" s="132"/>
      <c r="AC75" s="9"/>
      <c r="AD75" s="9"/>
      <c r="AE75" s="22"/>
      <c r="AF75" s="20"/>
      <c r="AG75" s="20"/>
      <c r="AW75" s="13"/>
      <c r="AX75" s="13"/>
      <c r="AY75" s="13"/>
      <c r="AZ75" s="13"/>
      <c r="BA75" s="13"/>
      <c r="BB75" s="13"/>
      <c r="BC75" s="13"/>
      <c r="BD75" s="13"/>
      <c r="BE75" s="13"/>
      <c r="BF75" s="13"/>
      <c r="BG75" s="13"/>
      <c r="BH75" s="13"/>
      <c r="BI75" s="13"/>
    </row>
    <row r="76" spans="1:61" ht="11.45" customHeight="1" x14ac:dyDescent="0.2">
      <c r="A76" s="591"/>
      <c r="C76" s="6"/>
      <c r="D76" s="6"/>
      <c r="E76" s="6"/>
      <c r="F76" s="6"/>
      <c r="G76" s="6"/>
      <c r="H76" s="6"/>
      <c r="I76" s="6"/>
      <c r="J76" s="7"/>
      <c r="K76" s="6"/>
      <c r="L76" s="7"/>
      <c r="M76" s="6"/>
      <c r="N76" s="6"/>
      <c r="O76" s="6"/>
      <c r="P76" s="1"/>
      <c r="Q76" s="132"/>
      <c r="AC76" s="9"/>
      <c r="AD76" s="9"/>
      <c r="AE76" s="22"/>
      <c r="AF76" s="20"/>
      <c r="AG76" s="20"/>
      <c r="AW76" s="13"/>
      <c r="AX76" s="13"/>
      <c r="AY76" s="13"/>
      <c r="AZ76" s="13"/>
      <c r="BA76" s="13"/>
      <c r="BB76" s="13"/>
      <c r="BC76" s="13"/>
      <c r="BD76" s="13"/>
      <c r="BE76" s="13"/>
      <c r="BF76" s="13"/>
      <c r="BG76" s="13"/>
      <c r="BH76" s="13"/>
      <c r="BI76" s="13"/>
    </row>
    <row r="77" spans="1:61" ht="11.45" customHeight="1" x14ac:dyDescent="0.2">
      <c r="C77" s="6"/>
      <c r="D77" s="6"/>
      <c r="E77" s="6"/>
      <c r="F77" s="6"/>
      <c r="G77" s="6"/>
      <c r="H77" s="6"/>
      <c r="I77" s="6"/>
      <c r="J77" s="7"/>
      <c r="K77" s="6"/>
      <c r="L77" s="7"/>
      <c r="M77" s="6"/>
      <c r="N77" s="6"/>
      <c r="O77" s="6"/>
      <c r="P77" s="1"/>
      <c r="Q77" s="132"/>
      <c r="AC77" s="9"/>
      <c r="AD77" s="9"/>
      <c r="AE77" s="22"/>
      <c r="AF77" s="20"/>
      <c r="AG77" s="20"/>
    </row>
    <row r="78" spans="1:61" ht="11.45" customHeight="1" x14ac:dyDescent="0.2">
      <c r="A78" s="478"/>
      <c r="C78" s="6"/>
      <c r="D78" s="6"/>
      <c r="E78" s="6"/>
      <c r="F78" s="6"/>
      <c r="G78" s="6"/>
      <c r="H78" s="6"/>
      <c r="I78" s="6"/>
      <c r="J78" s="7"/>
      <c r="K78" s="6"/>
      <c r="L78" s="7"/>
      <c r="M78" s="6"/>
      <c r="N78" s="6"/>
      <c r="O78" s="6"/>
      <c r="P78" s="1"/>
      <c r="Q78" s="132"/>
      <c r="AC78" s="9"/>
      <c r="AD78" s="9"/>
      <c r="AE78" s="22"/>
      <c r="AF78" s="20"/>
      <c r="AG78" s="20"/>
    </row>
    <row r="79" spans="1:61" ht="11.45" customHeight="1" x14ac:dyDescent="0.2">
      <c r="A79" s="478"/>
      <c r="Q79" s="132"/>
    </row>
    <row r="80" spans="1:61" ht="11.45" customHeight="1" x14ac:dyDescent="0.2">
      <c r="A80" s="478"/>
      <c r="Q80" s="132"/>
    </row>
    <row r="81" spans="1:17" ht="11.45" customHeight="1" x14ac:dyDescent="0.2">
      <c r="A81" s="478"/>
      <c r="Q81" s="132"/>
    </row>
    <row r="82" spans="1:17" ht="11.45" customHeight="1" x14ac:dyDescent="0.2">
      <c r="A82" s="478"/>
      <c r="Q82" s="132"/>
    </row>
    <row r="83" spans="1:17" ht="11.45" customHeight="1" x14ac:dyDescent="0.2">
      <c r="A83" s="478"/>
      <c r="Q83" s="132"/>
    </row>
    <row r="84" spans="1:17" ht="11.45" customHeight="1" x14ac:dyDescent="0.2">
      <c r="A84" s="478"/>
      <c r="Q84" s="132"/>
    </row>
    <row r="85" spans="1:17" ht="11.45" customHeight="1" x14ac:dyDescent="0.2">
      <c r="A85" s="478"/>
      <c r="Q85" s="132"/>
    </row>
    <row r="86" spans="1:17" ht="11.45" customHeight="1" x14ac:dyDescent="0.2">
      <c r="A86" s="478"/>
      <c r="Q86" s="133"/>
    </row>
    <row r="87" spans="1:17" ht="11.45" customHeight="1" x14ac:dyDescent="0.2">
      <c r="A87" s="478"/>
      <c r="Q87" s="133"/>
    </row>
    <row r="194" spans="3:18" ht="11.45" customHeight="1" x14ac:dyDescent="0.2">
      <c r="C194" s="13"/>
      <c r="D194" s="13"/>
      <c r="E194" s="13"/>
      <c r="F194" s="13"/>
      <c r="G194" s="13"/>
      <c r="H194" s="13"/>
      <c r="I194" s="13"/>
      <c r="J194" s="13"/>
      <c r="K194" s="13"/>
      <c r="L194" s="13"/>
      <c r="M194" s="13"/>
      <c r="N194" s="13"/>
      <c r="O194" s="13"/>
      <c r="P194" s="13"/>
      <c r="Q194" s="135"/>
      <c r="R194" s="13"/>
    </row>
    <row r="195" spans="3:18" ht="11.45" customHeight="1" x14ac:dyDescent="0.2">
      <c r="C195" s="13"/>
      <c r="D195" s="13"/>
      <c r="E195" s="13"/>
      <c r="F195" s="13"/>
      <c r="G195" s="13"/>
      <c r="H195" s="13"/>
      <c r="I195" s="13"/>
      <c r="J195" s="13"/>
      <c r="K195" s="13"/>
      <c r="L195" s="13"/>
      <c r="M195" s="13"/>
      <c r="N195" s="13"/>
      <c r="O195" s="13"/>
      <c r="P195" s="13"/>
      <c r="Q195" s="135"/>
      <c r="R195" s="13"/>
    </row>
    <row r="196" spans="3:18" ht="11.45" customHeight="1" x14ac:dyDescent="0.2">
      <c r="C196" s="13"/>
      <c r="D196" s="13"/>
      <c r="E196" s="13"/>
      <c r="F196" s="13"/>
      <c r="G196" s="13"/>
      <c r="H196" s="13"/>
      <c r="I196" s="13"/>
      <c r="J196" s="13"/>
      <c r="K196" s="13"/>
      <c r="L196" s="13"/>
      <c r="M196" s="13"/>
      <c r="N196" s="13"/>
      <c r="O196" s="13"/>
      <c r="P196" s="13"/>
      <c r="Q196" s="135"/>
      <c r="R196" s="13"/>
    </row>
    <row r="197" spans="3:18" ht="11.45" customHeight="1" x14ac:dyDescent="0.2">
      <c r="C197" s="13"/>
      <c r="D197" s="13"/>
      <c r="E197" s="13"/>
      <c r="F197" s="13"/>
      <c r="G197" s="13"/>
      <c r="H197" s="13"/>
      <c r="I197" s="13"/>
      <c r="J197" s="13"/>
      <c r="K197" s="13"/>
      <c r="L197" s="13"/>
      <c r="M197" s="13"/>
      <c r="N197" s="13"/>
      <c r="O197" s="13"/>
      <c r="P197" s="13"/>
      <c r="Q197" s="135"/>
      <c r="R197" s="13"/>
    </row>
    <row r="198" spans="3:18" ht="11.45" customHeight="1" x14ac:dyDescent="0.2">
      <c r="C198" s="13"/>
      <c r="D198" s="13"/>
      <c r="E198" s="13"/>
      <c r="F198" s="13"/>
      <c r="G198" s="13"/>
      <c r="H198" s="13"/>
      <c r="I198" s="13"/>
      <c r="J198" s="13"/>
      <c r="K198" s="13"/>
      <c r="L198" s="13"/>
      <c r="M198" s="13"/>
      <c r="N198" s="13"/>
      <c r="O198" s="13"/>
      <c r="P198" s="13"/>
      <c r="Q198" s="135"/>
      <c r="R198" s="13"/>
    </row>
    <row r="199" spans="3:18" ht="11.45" customHeight="1" x14ac:dyDescent="0.2">
      <c r="C199" s="13"/>
      <c r="D199" s="13"/>
      <c r="E199" s="13"/>
      <c r="F199" s="13"/>
      <c r="G199" s="13"/>
      <c r="H199" s="13"/>
      <c r="I199" s="13"/>
      <c r="J199" s="13"/>
      <c r="K199" s="13"/>
      <c r="L199" s="13"/>
      <c r="M199" s="13"/>
      <c r="N199" s="13"/>
      <c r="O199" s="13"/>
      <c r="P199" s="13"/>
      <c r="Q199" s="135"/>
      <c r="R199" s="13"/>
    </row>
    <row r="200" spans="3:18" ht="11.45" customHeight="1" x14ac:dyDescent="0.2">
      <c r="C200" s="13"/>
      <c r="D200" s="13"/>
      <c r="E200" s="13"/>
      <c r="F200" s="13"/>
      <c r="G200" s="13"/>
      <c r="H200" s="13"/>
      <c r="I200" s="13"/>
      <c r="J200" s="13"/>
      <c r="K200" s="13"/>
      <c r="L200" s="13"/>
      <c r="M200" s="13"/>
      <c r="N200" s="13"/>
      <c r="O200" s="13"/>
      <c r="P200" s="13"/>
      <c r="Q200" s="135"/>
      <c r="R200" s="13"/>
    </row>
    <row r="201" spans="3:18" ht="11.45" customHeight="1" x14ac:dyDescent="0.2">
      <c r="C201" s="13"/>
      <c r="D201" s="13"/>
      <c r="E201" s="13"/>
      <c r="F201" s="13"/>
      <c r="G201" s="13"/>
      <c r="H201" s="13"/>
      <c r="I201" s="13"/>
      <c r="J201" s="13"/>
      <c r="K201" s="13"/>
      <c r="L201" s="13"/>
      <c r="M201" s="13"/>
      <c r="N201" s="13"/>
      <c r="O201" s="13"/>
      <c r="P201" s="13"/>
      <c r="Q201" s="135"/>
      <c r="R201" s="13"/>
    </row>
    <row r="202" spans="3:18" ht="11.45" customHeight="1" x14ac:dyDescent="0.2">
      <c r="C202" s="13"/>
      <c r="D202" s="13"/>
      <c r="E202" s="13"/>
      <c r="F202" s="13"/>
      <c r="G202" s="13"/>
      <c r="H202" s="13"/>
      <c r="I202" s="13"/>
      <c r="J202" s="13"/>
      <c r="K202" s="13"/>
      <c r="L202" s="13"/>
      <c r="M202" s="13"/>
      <c r="N202" s="13"/>
      <c r="O202" s="13"/>
      <c r="P202" s="13"/>
      <c r="Q202" s="135"/>
      <c r="R202" s="13"/>
    </row>
    <row r="203" spans="3:18" ht="11.45" customHeight="1" x14ac:dyDescent="0.2">
      <c r="C203" s="13"/>
      <c r="D203" s="13"/>
      <c r="E203" s="13"/>
      <c r="F203" s="13"/>
      <c r="G203" s="13"/>
      <c r="H203" s="13"/>
      <c r="I203" s="13"/>
      <c r="J203" s="13"/>
      <c r="K203" s="13"/>
      <c r="L203" s="13"/>
      <c r="M203" s="13"/>
      <c r="N203" s="13"/>
      <c r="O203" s="13"/>
      <c r="P203" s="13"/>
      <c r="Q203" s="135"/>
      <c r="R203" s="13"/>
    </row>
    <row r="204" spans="3:18" ht="11.45" customHeight="1" x14ac:dyDescent="0.2">
      <c r="C204" s="13"/>
      <c r="D204" s="13"/>
      <c r="E204" s="13"/>
      <c r="F204" s="13"/>
      <c r="G204" s="13"/>
      <c r="H204" s="13"/>
      <c r="I204" s="13"/>
      <c r="J204" s="13"/>
      <c r="K204" s="13"/>
      <c r="L204" s="13"/>
      <c r="M204" s="13"/>
      <c r="N204" s="13"/>
      <c r="O204" s="13"/>
      <c r="P204" s="13"/>
      <c r="Q204" s="135"/>
      <c r="R204" s="13"/>
    </row>
    <row r="205" spans="3:18" ht="11.45" customHeight="1" x14ac:dyDescent="0.2">
      <c r="C205" s="13"/>
      <c r="D205" s="13"/>
      <c r="E205" s="13"/>
      <c r="F205" s="13"/>
      <c r="G205" s="13"/>
      <c r="H205" s="13"/>
      <c r="I205" s="13"/>
      <c r="J205" s="13"/>
      <c r="K205" s="13"/>
      <c r="L205" s="13"/>
      <c r="M205" s="13"/>
      <c r="N205" s="13"/>
      <c r="O205" s="13"/>
      <c r="P205" s="13"/>
      <c r="Q205" s="135"/>
      <c r="R205" s="13"/>
    </row>
    <row r="206" spans="3:18" ht="11.45" customHeight="1" x14ac:dyDescent="0.2">
      <c r="C206" s="13"/>
      <c r="D206" s="13"/>
      <c r="E206" s="13"/>
      <c r="F206" s="13"/>
      <c r="G206" s="13"/>
      <c r="H206" s="13"/>
      <c r="I206" s="13"/>
      <c r="J206" s="13"/>
      <c r="K206" s="13"/>
      <c r="L206" s="13"/>
      <c r="M206" s="13"/>
      <c r="N206" s="13"/>
      <c r="O206" s="13"/>
      <c r="P206" s="13"/>
      <c r="Q206" s="135"/>
      <c r="R206" s="13"/>
    </row>
    <row r="207" spans="3:18" ht="11.45" customHeight="1" x14ac:dyDescent="0.2">
      <c r="C207" s="13"/>
      <c r="D207" s="13"/>
      <c r="E207" s="13"/>
      <c r="F207" s="13"/>
      <c r="G207" s="13"/>
      <c r="H207" s="13"/>
      <c r="I207" s="13"/>
      <c r="J207" s="13"/>
      <c r="K207" s="13"/>
      <c r="L207" s="13"/>
      <c r="M207" s="13"/>
      <c r="N207" s="13"/>
      <c r="O207" s="13"/>
      <c r="P207" s="13"/>
      <c r="Q207" s="135"/>
      <c r="R207" s="13"/>
    </row>
    <row r="208" spans="3:18" ht="11.45" customHeight="1" x14ac:dyDescent="0.2">
      <c r="C208" s="13"/>
      <c r="D208" s="13"/>
      <c r="E208" s="13"/>
      <c r="F208" s="13"/>
      <c r="G208" s="13"/>
      <c r="H208" s="13"/>
      <c r="I208" s="13"/>
      <c r="J208" s="13"/>
      <c r="K208" s="13"/>
      <c r="L208" s="13"/>
      <c r="M208" s="13"/>
      <c r="N208" s="13"/>
      <c r="O208" s="13"/>
      <c r="P208" s="13"/>
      <c r="Q208" s="135"/>
      <c r="R208" s="13"/>
    </row>
    <row r="209" spans="3:18" ht="11.45" customHeight="1" x14ac:dyDescent="0.2">
      <c r="C209" s="13"/>
      <c r="D209" s="13"/>
      <c r="E209" s="13"/>
      <c r="F209" s="13"/>
      <c r="G209" s="13"/>
      <c r="H209" s="13"/>
      <c r="I209" s="13"/>
      <c r="J209" s="13"/>
      <c r="K209" s="13"/>
      <c r="L209" s="13"/>
      <c r="M209" s="13"/>
      <c r="N209" s="13"/>
      <c r="O209" s="13"/>
      <c r="P209" s="13"/>
      <c r="Q209" s="135"/>
      <c r="R209" s="13"/>
    </row>
    <row r="210" spans="3:18" ht="11.45" customHeight="1" x14ac:dyDescent="0.2">
      <c r="C210" s="13"/>
      <c r="D210" s="13"/>
      <c r="E210" s="13"/>
      <c r="F210" s="13"/>
      <c r="G210" s="13"/>
      <c r="H210" s="13"/>
      <c r="I210" s="13"/>
      <c r="J210" s="13"/>
      <c r="K210" s="13"/>
      <c r="L210" s="13"/>
      <c r="M210" s="13"/>
      <c r="N210" s="13"/>
      <c r="O210" s="13"/>
      <c r="P210" s="13"/>
      <c r="Q210" s="135"/>
      <c r="R210" s="13"/>
    </row>
    <row r="211" spans="3:18" ht="11.45" customHeight="1" x14ac:dyDescent="0.2">
      <c r="C211" s="13"/>
      <c r="D211" s="13"/>
      <c r="E211" s="13"/>
      <c r="F211" s="13"/>
      <c r="G211" s="13"/>
      <c r="H211" s="13"/>
      <c r="I211" s="13"/>
      <c r="J211" s="13"/>
      <c r="K211" s="13"/>
      <c r="L211" s="13"/>
      <c r="M211" s="13"/>
      <c r="N211" s="13"/>
      <c r="O211" s="13"/>
      <c r="P211" s="13"/>
      <c r="Q211" s="135"/>
      <c r="R211" s="13"/>
    </row>
    <row r="212" spans="3:18" ht="11.45" customHeight="1" x14ac:dyDescent="0.2">
      <c r="C212" s="13"/>
      <c r="D212" s="13"/>
      <c r="E212" s="13"/>
      <c r="F212" s="13"/>
      <c r="G212" s="13"/>
      <c r="H212" s="13"/>
      <c r="I212" s="13"/>
      <c r="J212" s="13"/>
      <c r="K212" s="13"/>
      <c r="L212" s="13"/>
      <c r="M212" s="13"/>
      <c r="N212" s="13"/>
      <c r="O212" s="13"/>
      <c r="P212" s="13"/>
      <c r="Q212" s="135"/>
      <c r="R212" s="13"/>
    </row>
    <row r="213" spans="3:18" ht="11.45" customHeight="1" x14ac:dyDescent="0.2">
      <c r="Q213" s="135"/>
      <c r="R213" s="13"/>
    </row>
    <row r="214" spans="3:18" ht="11.45" customHeight="1" x14ac:dyDescent="0.2">
      <c r="R214" s="13"/>
    </row>
    <row r="215" spans="3:18" ht="11.45" customHeight="1" x14ac:dyDescent="0.2">
      <c r="R215" s="13"/>
    </row>
    <row r="216" spans="3:18" ht="11.45" customHeight="1" x14ac:dyDescent="0.2">
      <c r="R216" s="13"/>
    </row>
    <row r="217" spans="3:18" ht="11.45" customHeight="1" x14ac:dyDescent="0.2">
      <c r="R217" s="13"/>
    </row>
    <row r="218" spans="3:18" ht="11.45" customHeight="1" x14ac:dyDescent="0.2">
      <c r="R218" s="13"/>
    </row>
    <row r="219" spans="3:18" ht="11.45" customHeight="1" x14ac:dyDescent="0.2">
      <c r="R219" s="13"/>
    </row>
    <row r="220" spans="3:18" ht="11.45" customHeight="1" x14ac:dyDescent="0.2">
      <c r="R220" s="13"/>
    </row>
    <row r="221" spans="3:18" ht="11.45" customHeight="1" x14ac:dyDescent="0.2">
      <c r="R221" s="13"/>
    </row>
    <row r="222" spans="3:18" ht="11.45" customHeight="1" x14ac:dyDescent="0.2">
      <c r="R222" s="13"/>
    </row>
    <row r="223" spans="3:18" ht="11.45" customHeight="1" x14ac:dyDescent="0.2">
      <c r="R223" s="13"/>
    </row>
    <row r="224" spans="3:18" ht="11.45" customHeight="1" x14ac:dyDescent="0.2">
      <c r="R224" s="13"/>
    </row>
    <row r="225" spans="18:18" ht="11.45" customHeight="1" x14ac:dyDescent="0.2">
      <c r="R225" s="13"/>
    </row>
    <row r="226" spans="18:18" ht="11.45" customHeight="1" x14ac:dyDescent="0.2">
      <c r="R226" s="13"/>
    </row>
    <row r="227" spans="18:18" ht="11.45" customHeight="1" x14ac:dyDescent="0.2">
      <c r="R227" s="13"/>
    </row>
    <row r="228" spans="18:18" ht="11.45" customHeight="1" x14ac:dyDescent="0.2">
      <c r="R228" s="13"/>
    </row>
    <row r="229" spans="18:18" ht="11.45" customHeight="1" x14ac:dyDescent="0.2">
      <c r="R229" s="13"/>
    </row>
  </sheetData>
  <sheetProtection selectLockedCells="1"/>
  <mergeCells count="2">
    <mergeCell ref="A50:A76"/>
    <mergeCell ref="A4:A34"/>
  </mergeCells>
  <phoneticPr fontId="0" type="noConversion"/>
  <pageMargins left="0.25" right="0.25" top="0.45" bottom="0.25" header="0.27" footer="0.5"/>
  <pageSetup orientation="portrait" r:id="rId1"/>
  <headerFooter alignWithMargins="0">
    <oddFooter>&amp;L&amp;8&amp;F&amp;RRevised 7/26/02</oddFooter>
  </headerFooter>
  <rowBreaks count="2" manualBreakCount="2">
    <brk id="45" min="2" max="14" man="1"/>
    <brk id="109" min="2"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topLeftCell="A11" workbookViewId="0">
      <selection activeCell="A44" sqref="A44:E44"/>
    </sheetView>
  </sheetViews>
  <sheetFormatPr defaultRowHeight="15" x14ac:dyDescent="0.2"/>
  <cols>
    <col min="1" max="1" width="3.28515625" style="30" customWidth="1"/>
    <col min="2" max="2" width="12" style="30" customWidth="1"/>
    <col min="3" max="3" width="3.7109375" style="30" customWidth="1"/>
    <col min="4" max="4" width="4.140625" style="30" customWidth="1"/>
    <col min="5" max="11" width="9.140625" style="30"/>
    <col min="12" max="12" width="3.28515625" style="30" customWidth="1"/>
    <col min="13" max="16384" width="9.140625" style="30"/>
  </cols>
  <sheetData>
    <row r="1" spans="1:12" ht="18.75" x14ac:dyDescent="0.3">
      <c r="A1" s="592" t="s">
        <v>199</v>
      </c>
      <c r="B1" s="592"/>
      <c r="C1" s="592"/>
      <c r="D1" s="592"/>
      <c r="E1" s="592"/>
      <c r="F1" s="592"/>
      <c r="G1" s="592"/>
      <c r="H1" s="592"/>
      <c r="I1" s="592"/>
      <c r="J1" s="592"/>
      <c r="K1" s="592"/>
      <c r="L1" s="592"/>
    </row>
    <row r="2" spans="1:12" ht="18.75" x14ac:dyDescent="0.3">
      <c r="A2" s="592" t="s">
        <v>200</v>
      </c>
      <c r="B2" s="592"/>
      <c r="C2" s="592"/>
      <c r="D2" s="592"/>
      <c r="E2" s="592"/>
      <c r="F2" s="592"/>
      <c r="G2" s="592"/>
      <c r="H2" s="592"/>
      <c r="I2" s="592"/>
      <c r="J2" s="592"/>
      <c r="K2" s="592"/>
      <c r="L2" s="592"/>
    </row>
    <row r="3" spans="1:12" ht="18.75" customHeight="1" x14ac:dyDescent="0.25">
      <c r="A3" s="593" t="s">
        <v>201</v>
      </c>
      <c r="B3" s="593"/>
      <c r="C3" s="593"/>
      <c r="D3" s="593"/>
      <c r="E3" s="593"/>
      <c r="F3" s="593"/>
      <c r="G3" s="593"/>
      <c r="H3" s="593"/>
      <c r="I3" s="593"/>
      <c r="J3" s="593"/>
      <c r="K3" s="593"/>
      <c r="L3" s="593"/>
    </row>
    <row r="7" spans="1:12" x14ac:dyDescent="0.2">
      <c r="A7" s="30" t="s">
        <v>202</v>
      </c>
      <c r="D7" s="594"/>
      <c r="E7" s="594"/>
      <c r="F7" s="594"/>
    </row>
    <row r="8" spans="1:12" x14ac:dyDescent="0.2">
      <c r="A8" s="30" t="s">
        <v>203</v>
      </c>
      <c r="D8" s="594"/>
      <c r="E8" s="594"/>
      <c r="F8" s="594"/>
      <c r="G8" s="594"/>
      <c r="H8" s="594"/>
    </row>
    <row r="9" spans="1:12" x14ac:dyDescent="0.2">
      <c r="A9" s="30" t="s">
        <v>204</v>
      </c>
      <c r="D9" s="597"/>
      <c r="E9" s="597"/>
      <c r="F9" s="597"/>
    </row>
    <row r="13" spans="1:12" x14ac:dyDescent="0.2">
      <c r="A13" s="30" t="s">
        <v>205</v>
      </c>
    </row>
    <row r="14" spans="1:12" x14ac:dyDescent="0.2">
      <c r="A14" s="30" t="s">
        <v>206</v>
      </c>
      <c r="E14" s="598"/>
      <c r="F14" s="598"/>
      <c r="G14" s="30" t="s">
        <v>207</v>
      </c>
    </row>
    <row r="15" spans="1:12" x14ac:dyDescent="0.2">
      <c r="A15" s="30" t="s">
        <v>208</v>
      </c>
    </row>
    <row r="17" spans="1:2" x14ac:dyDescent="0.2">
      <c r="A17" s="30" t="s">
        <v>209</v>
      </c>
    </row>
    <row r="18" spans="1:2" x14ac:dyDescent="0.2">
      <c r="A18" s="30" t="s">
        <v>210</v>
      </c>
    </row>
    <row r="20" spans="1:2" x14ac:dyDescent="0.2">
      <c r="B20" s="30" t="s">
        <v>211</v>
      </c>
    </row>
    <row r="21" spans="1:2" x14ac:dyDescent="0.2">
      <c r="B21" s="30" t="s">
        <v>212</v>
      </c>
    </row>
    <row r="22" spans="1:2" x14ac:dyDescent="0.2">
      <c r="B22" s="30" t="s">
        <v>213</v>
      </c>
    </row>
    <row r="23" spans="1:2" x14ac:dyDescent="0.2">
      <c r="B23" s="30" t="s">
        <v>214</v>
      </c>
    </row>
    <row r="24" spans="1:2" x14ac:dyDescent="0.2">
      <c r="B24" s="30" t="s">
        <v>215</v>
      </c>
    </row>
    <row r="25" spans="1:2" x14ac:dyDescent="0.2">
      <c r="B25" s="30" t="s">
        <v>216</v>
      </c>
    </row>
    <row r="27" spans="1:2" x14ac:dyDescent="0.2">
      <c r="A27" s="30" t="s">
        <v>217</v>
      </c>
    </row>
    <row r="29" spans="1:2" x14ac:dyDescent="0.2">
      <c r="B29" s="30" t="s">
        <v>218</v>
      </c>
    </row>
    <row r="30" spans="1:2" x14ac:dyDescent="0.2">
      <c r="B30" s="30" t="s">
        <v>219</v>
      </c>
    </row>
    <row r="31" spans="1:2" x14ac:dyDescent="0.2">
      <c r="B31" s="30" t="s">
        <v>220</v>
      </c>
    </row>
    <row r="32" spans="1:2" x14ac:dyDescent="0.2">
      <c r="B32" s="30" t="s">
        <v>221</v>
      </c>
    </row>
    <row r="33" spans="1:12" x14ac:dyDescent="0.2">
      <c r="B33" s="30" t="s">
        <v>222</v>
      </c>
    </row>
    <row r="34" spans="1:12" x14ac:dyDescent="0.2">
      <c r="B34" s="30" t="s">
        <v>223</v>
      </c>
    </row>
    <row r="35" spans="1:12" x14ac:dyDescent="0.2">
      <c r="B35" s="30" t="s">
        <v>224</v>
      </c>
    </row>
    <row r="37" spans="1:12" x14ac:dyDescent="0.2">
      <c r="A37" s="31" t="s">
        <v>225</v>
      </c>
      <c r="B37" s="32"/>
      <c r="C37" s="32"/>
      <c r="D37" s="32"/>
      <c r="E37" s="32"/>
      <c r="F37" s="32"/>
      <c r="G37" s="32"/>
      <c r="H37" s="32"/>
      <c r="I37" s="32"/>
      <c r="J37" s="32"/>
      <c r="K37" s="32"/>
      <c r="L37" s="32"/>
    </row>
    <row r="38" spans="1:12" x14ac:dyDescent="0.2">
      <c r="A38" s="31" t="s">
        <v>226</v>
      </c>
      <c r="B38" s="32"/>
      <c r="C38" s="32"/>
      <c r="D38" s="32"/>
      <c r="E38" s="32"/>
      <c r="F38" s="32"/>
      <c r="G38" s="32"/>
      <c r="H38" s="32"/>
      <c r="I38" s="32"/>
      <c r="J38" s="32"/>
      <c r="K38" s="32"/>
      <c r="L38" s="32"/>
    </row>
    <row r="39" spans="1:12" x14ac:dyDescent="0.2">
      <c r="A39" s="31" t="s">
        <v>227</v>
      </c>
      <c r="B39" s="32"/>
      <c r="C39" s="32"/>
      <c r="D39" s="32"/>
      <c r="E39" s="32"/>
      <c r="F39" s="32"/>
      <c r="G39" s="32"/>
      <c r="H39" s="32"/>
      <c r="I39" s="32"/>
      <c r="J39" s="32"/>
      <c r="K39" s="32"/>
      <c r="L39" s="32"/>
    </row>
    <row r="44" spans="1:12" x14ac:dyDescent="0.2">
      <c r="A44" s="598"/>
      <c r="B44" s="598"/>
      <c r="C44" s="598"/>
      <c r="D44" s="598"/>
      <c r="E44" s="598"/>
      <c r="H44" s="599"/>
      <c r="I44" s="599"/>
    </row>
    <row r="45" spans="1:12" x14ac:dyDescent="0.2">
      <c r="A45" s="595" t="s">
        <v>228</v>
      </c>
      <c r="B45" s="595"/>
      <c r="C45" s="595"/>
      <c r="D45" s="595"/>
      <c r="E45" s="595"/>
      <c r="H45" s="596" t="s">
        <v>229</v>
      </c>
      <c r="I45" s="596"/>
    </row>
    <row r="47" spans="1:12" x14ac:dyDescent="0.2">
      <c r="A47" s="33" t="s">
        <v>230</v>
      </c>
      <c r="B47" s="33"/>
    </row>
    <row r="48" spans="1:12" x14ac:dyDescent="0.2">
      <c r="A48" s="33"/>
      <c r="B48" s="33"/>
    </row>
  </sheetData>
  <sheetProtection sheet="1" objects="1" scenarios="1" selectLockedCells="1"/>
  <mergeCells count="11">
    <mergeCell ref="A1:L1"/>
    <mergeCell ref="A2:L2"/>
    <mergeCell ref="A3:L3"/>
    <mergeCell ref="D7:F7"/>
    <mergeCell ref="A45:E45"/>
    <mergeCell ref="H45:I45"/>
    <mergeCell ref="D8:H8"/>
    <mergeCell ref="D9:F9"/>
    <mergeCell ref="E14:F14"/>
    <mergeCell ref="A44:E44"/>
    <mergeCell ref="H44:I44"/>
  </mergeCells>
  <phoneticPr fontId="34" type="noConversion"/>
  <pageMargins left="0.75" right="0.75" top="0.65" bottom="0.7" header="0.32" footer="0.37"/>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RC RATING SUMMARY</vt:lpstr>
      <vt:lpstr>Traffic &amp; Accidents</vt:lpstr>
      <vt:lpstr>Structure</vt:lpstr>
      <vt:lpstr>Geometry</vt:lpstr>
      <vt:lpstr>RC</vt:lpstr>
      <vt:lpstr>Engineer's 3R letter</vt:lpstr>
      <vt:lpstr>'RC'!Print_Area</vt:lpstr>
      <vt:lpstr>'RC RATING SUMMARY'!Print_Area</vt:lpstr>
      <vt:lpstr>Structure!Print_Area</vt:lpstr>
      <vt:lpstr>'Traffic &amp; Accidents'!Print_Area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Randy Hart</dc:creator>
  <cp:lastModifiedBy>Johnson, Steve (CRAB)</cp:lastModifiedBy>
  <cp:lastPrinted>2020-02-20T21:42:18Z</cp:lastPrinted>
  <dcterms:created xsi:type="dcterms:W3CDTF">2001-04-16T16:59:49Z</dcterms:created>
  <dcterms:modified xsi:type="dcterms:W3CDTF">2022-06-21T21:06:41Z</dcterms:modified>
</cp:coreProperties>
</file>