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stateofwa-my.sharepoint.com/personal/steve_johnson_crab_wa_gov/Documents/Documents/Worksheets 23-25/PS/"/>
    </mc:Choice>
  </mc:AlternateContent>
  <xr:revisionPtr revIDLastSave="50" documentId="11_04287EBBACED798BD51AE9A1F0A25E119807C951" xr6:coauthVersionLast="47" xr6:coauthVersionMax="47" xr10:uidLastSave="{47F9EC27-DDE9-4103-B6BF-F30208A05970}"/>
  <bookViews>
    <workbookView xWindow="28680" yWindow="-120" windowWidth="29040" windowHeight="15840" tabRatio="673" xr2:uid="{00000000-000D-0000-FFFF-FFFF00000000}"/>
  </bookViews>
  <sheets>
    <sheet name="3R Rating Summary" sheetId="6" r:id="rId1"/>
    <sheet name="Traffic &amp; Accidents" sheetId="12" r:id="rId2"/>
    <sheet name="Structure" sheetId="13" r:id="rId3"/>
    <sheet name="Geometry" sheetId="14" r:id="rId4"/>
    <sheet name="IS and Roadside" sheetId="15" r:id="rId5"/>
    <sheet name="Engineer's 3R letter" sheetId="9" r:id="rId6"/>
  </sheets>
  <definedNames>
    <definedName name="_xlnm.Print_Area" localSheetId="0">'3R Rating Summary'!$B$3:$N$60</definedName>
    <definedName name="_xlnm.Print_Area" localSheetId="3">Geometry!$B$3:$Q$36</definedName>
    <definedName name="_xlnm.Print_Area" localSheetId="4">'IS and Roadside'!$B$3:$L$55</definedName>
    <definedName name="_xlnm.Print_Area" localSheetId="2">Structure!$B$4:$P$100</definedName>
    <definedName name="_xlnm.Print_Area" localSheetId="1">'Traffic &amp; Accidents'!$B$3:$L$38</definedName>
    <definedName name="solver_eng" localSheetId="3" hidden="1">1</definedName>
    <definedName name="solver_neg" localSheetId="3" hidden="1">1</definedName>
    <definedName name="solver_num" localSheetId="3" hidden="1">0</definedName>
    <definedName name="solver_opt" localSheetId="3" hidden="1">Geometry!$W$34</definedName>
    <definedName name="solver_typ" localSheetId="3" hidden="1">1</definedName>
    <definedName name="solver_val" localSheetId="3" hidden="1">0</definedName>
    <definedName name="solver_ver" localSheetId="3" hidde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3" i="15" l="1"/>
  <c r="H27" i="15"/>
  <c r="M46" i="14" l="1"/>
  <c r="L46" i="14" s="1"/>
  <c r="K46" i="14" s="1"/>
  <c r="K45" i="14" s="1"/>
  <c r="M45" i="14"/>
  <c r="L45" i="14" s="1"/>
  <c r="M44" i="14"/>
  <c r="L44" i="14" s="1"/>
  <c r="K44" i="14" l="1"/>
  <c r="L7" i="14" s="1"/>
  <c r="K49" i="13" l="1"/>
  <c r="N46" i="13"/>
  <c r="L45" i="13"/>
  <c r="J45" i="13"/>
  <c r="H45" i="13"/>
  <c r="F45" i="13"/>
  <c r="N26" i="13"/>
  <c r="L24" i="13"/>
  <c r="J24" i="13"/>
  <c r="H24" i="13"/>
  <c r="F24" i="13"/>
  <c r="AE154" i="14"/>
  <c r="C159" i="14"/>
  <c r="X170" i="14" s="1"/>
  <c r="C158" i="14"/>
  <c r="X164" i="14" s="1"/>
  <c r="X162" i="14" l="1"/>
  <c r="W162" i="14" s="1"/>
  <c r="Y162" i="14"/>
  <c r="X163" i="14"/>
  <c r="Y164" i="14"/>
  <c r="C160" i="14"/>
  <c r="W169" i="14"/>
  <c r="X169" i="14"/>
  <c r="Y170" i="14"/>
  <c r="W163" i="14"/>
  <c r="Y169" i="14"/>
  <c r="Y163" i="14"/>
  <c r="W164" i="14"/>
  <c r="X168" i="14"/>
  <c r="W168" i="14" s="1"/>
  <c r="W170" i="14"/>
  <c r="Y168" i="14"/>
  <c r="K32" i="12"/>
  <c r="K31" i="12"/>
  <c r="K30" i="12"/>
  <c r="K29" i="12"/>
  <c r="K28" i="12"/>
  <c r="K20" i="12"/>
  <c r="K21" i="12"/>
  <c r="K22" i="12"/>
  <c r="K23" i="12"/>
  <c r="K19" i="12"/>
  <c r="J32" i="12" l="1"/>
  <c r="J31" i="12"/>
  <c r="J30" i="12"/>
  <c r="J29" i="12"/>
  <c r="J28" i="12"/>
  <c r="J20" i="12"/>
  <c r="J21" i="12"/>
  <c r="J22" i="12"/>
  <c r="J23" i="12"/>
  <c r="J19" i="12"/>
  <c r="F82" i="12" l="1"/>
  <c r="F85" i="12" s="1"/>
  <c r="H82" i="12"/>
  <c r="H85" i="12" s="1"/>
  <c r="J82" i="12"/>
  <c r="J85" i="12" s="1"/>
  <c r="F46" i="12"/>
  <c r="J46" i="12"/>
  <c r="F48" i="12"/>
  <c r="J48" i="12"/>
  <c r="K90" i="12" l="1"/>
  <c r="N56" i="12"/>
  <c r="N55" i="12" s="1"/>
  <c r="N54" i="12" s="1"/>
  <c r="N53" i="12" s="1"/>
  <c r="N52" i="12" s="1"/>
  <c r="N51" i="12" s="1"/>
  <c r="M56" i="12"/>
  <c r="M55" i="12" s="1"/>
  <c r="M54" i="12" s="1"/>
  <c r="M53" i="12" s="1"/>
  <c r="M52" i="12" s="1"/>
  <c r="M51" i="12" s="1"/>
  <c r="K64" i="12" l="1"/>
  <c r="B21" i="14"/>
  <c r="B22" i="14"/>
  <c r="B23" i="14"/>
  <c r="B24" i="14"/>
  <c r="B25" i="14"/>
  <c r="B26" i="14"/>
  <c r="B27" i="14"/>
  <c r="B28" i="14"/>
  <c r="O92" i="14"/>
  <c r="O93" i="14"/>
  <c r="O94" i="14"/>
  <c r="O95" i="14"/>
  <c r="R58" i="14"/>
  <c r="R57" i="14"/>
  <c r="R56" i="14"/>
  <c r="P141" i="14"/>
  <c r="Y130" i="14"/>
  <c r="AB130" i="14" s="1"/>
  <c r="X130" i="14"/>
  <c r="R130" i="14"/>
  <c r="U130" i="14" s="1"/>
  <c r="Q130" i="14"/>
  <c r="Y129" i="14"/>
  <c r="AB129" i="14" s="1"/>
  <c r="X129" i="14"/>
  <c r="R129" i="14"/>
  <c r="U129" i="14" s="1"/>
  <c r="Q129" i="14"/>
  <c r="Y128" i="14"/>
  <c r="AB128" i="14" s="1"/>
  <c r="X128" i="14"/>
  <c r="R128" i="14"/>
  <c r="U128" i="14" s="1"/>
  <c r="Q128" i="14"/>
  <c r="Y127" i="14"/>
  <c r="AB127" i="14" s="1"/>
  <c r="X127" i="14"/>
  <c r="R127" i="14"/>
  <c r="U127" i="14" s="1"/>
  <c r="Q127" i="14"/>
  <c r="Y126" i="14"/>
  <c r="AB126" i="14" s="1"/>
  <c r="X126" i="14"/>
  <c r="R126" i="14"/>
  <c r="U126" i="14" s="1"/>
  <c r="Q126" i="14"/>
  <c r="Y125" i="14"/>
  <c r="AB125" i="14" s="1"/>
  <c r="X125" i="14"/>
  <c r="R125" i="14"/>
  <c r="U125" i="14" s="1"/>
  <c r="Q125" i="14"/>
  <c r="Y124" i="14"/>
  <c r="AB124" i="14" s="1"/>
  <c r="X124" i="14"/>
  <c r="R124" i="14"/>
  <c r="U124" i="14" s="1"/>
  <c r="Q124" i="14"/>
  <c r="Y123" i="14"/>
  <c r="AB123" i="14" s="1"/>
  <c r="X123" i="14"/>
  <c r="R123" i="14"/>
  <c r="U123" i="14" s="1"/>
  <c r="Q123" i="14"/>
  <c r="Y122" i="14"/>
  <c r="X122" i="14"/>
  <c r="R122" i="14"/>
  <c r="U122" i="14" s="1"/>
  <c r="Q122" i="14"/>
  <c r="Y121" i="14"/>
  <c r="X121" i="14"/>
  <c r="R121" i="14"/>
  <c r="Q121" i="14"/>
  <c r="AB122" i="14" l="1"/>
  <c r="AB121" i="14"/>
  <c r="X95" i="14"/>
  <c r="W95" i="14" s="1"/>
  <c r="V95" i="14" s="1"/>
  <c r="U95" i="14" s="1"/>
  <c r="T95" i="14" s="1"/>
  <c r="S95" i="14" s="1"/>
  <c r="X94" i="14"/>
  <c r="W94" i="14" s="1"/>
  <c r="V94" i="14" s="1"/>
  <c r="U94" i="14" s="1"/>
  <c r="T94" i="14" s="1"/>
  <c r="S94" i="14" s="1"/>
  <c r="X93" i="14"/>
  <c r="W93" i="14"/>
  <c r="V93" i="14" s="1"/>
  <c r="U93" i="14" s="1"/>
  <c r="T93" i="14" s="1"/>
  <c r="S93" i="14" s="1"/>
  <c r="X92" i="14"/>
  <c r="W92" i="14" s="1"/>
  <c r="V92" i="14" s="1"/>
  <c r="U92" i="14" s="1"/>
  <c r="T92" i="14" s="1"/>
  <c r="S92" i="14" s="1"/>
  <c r="S73" i="14"/>
  <c r="S72" i="14"/>
  <c r="S71" i="14"/>
  <c r="O89" i="14" s="1"/>
  <c r="S70" i="14"/>
  <c r="S69" i="14"/>
  <c r="S68" i="14"/>
  <c r="S67" i="14"/>
  <c r="O85" i="14" s="1"/>
  <c r="S66" i="14"/>
  <c r="S65" i="14"/>
  <c r="S64" i="14"/>
  <c r="R53" i="14"/>
  <c r="AL172" i="14" l="1"/>
  <c r="AK172" i="14" s="1"/>
  <c r="AJ172" i="14" s="1"/>
  <c r="AI167" i="14" s="1"/>
  <c r="AL162" i="14"/>
  <c r="AG162" i="14"/>
  <c r="AG172" i="14"/>
  <c r="AF172" i="14" s="1"/>
  <c r="AE172" i="14" s="1"/>
  <c r="AD172" i="14" s="1"/>
  <c r="V170" i="14"/>
  <c r="V164" i="14"/>
  <c r="V169" i="14"/>
  <c r="V168" i="14" s="1"/>
  <c r="V163" i="14"/>
  <c r="V162" i="14" s="1"/>
  <c r="W158" i="14" s="1"/>
  <c r="X84" i="14"/>
  <c r="O84" i="14"/>
  <c r="X90" i="14"/>
  <c r="W90" i="14" s="1"/>
  <c r="V90" i="14" s="1"/>
  <c r="U90" i="14" s="1"/>
  <c r="T90" i="14" s="1"/>
  <c r="S90" i="14" s="1"/>
  <c r="T72" i="14" s="1"/>
  <c r="O90" i="14"/>
  <c r="X86" i="14"/>
  <c r="W86" i="14" s="1"/>
  <c r="V86" i="14" s="1"/>
  <c r="U86" i="14" s="1"/>
  <c r="T86" i="14" s="1"/>
  <c r="S86" i="14" s="1"/>
  <c r="T68" i="14" s="1"/>
  <c r="O86" i="14"/>
  <c r="X87" i="14"/>
  <c r="W87" i="14" s="1"/>
  <c r="V87" i="14" s="1"/>
  <c r="U87" i="14" s="1"/>
  <c r="T87" i="14" s="1"/>
  <c r="S87" i="14" s="1"/>
  <c r="T69" i="14" s="1"/>
  <c r="O87" i="14"/>
  <c r="X91" i="14"/>
  <c r="O91" i="14"/>
  <c r="X88" i="14"/>
  <c r="W88" i="14" s="1"/>
  <c r="V88" i="14" s="1"/>
  <c r="U88" i="14" s="1"/>
  <c r="T88" i="14" s="1"/>
  <c r="S88" i="14" s="1"/>
  <c r="T70" i="14" s="1"/>
  <c r="O88" i="14"/>
  <c r="AB136" i="14"/>
  <c r="O83" i="14"/>
  <c r="V82" i="14"/>
  <c r="U82" i="14" s="1"/>
  <c r="T82" i="14" s="1"/>
  <c r="S82" i="14" s="1"/>
  <c r="B19" i="14" s="1"/>
  <c r="W82" i="14"/>
  <c r="X82" i="14"/>
  <c r="O82" i="14"/>
  <c r="X83" i="14"/>
  <c r="W83" i="14" s="1"/>
  <c r="V83" i="14" s="1"/>
  <c r="U83" i="14" s="1"/>
  <c r="T83" i="14" s="1"/>
  <c r="S83" i="14" s="1"/>
  <c r="B20" i="14" s="1"/>
  <c r="W54" i="14"/>
  <c r="V54" i="14" s="1"/>
  <c r="R114" i="14"/>
  <c r="Q114" i="14" s="1"/>
  <c r="P114" i="14" s="1"/>
  <c r="R112" i="14"/>
  <c r="Q112" i="14" s="1"/>
  <c r="R107" i="14"/>
  <c r="Q107" i="14" s="1"/>
  <c r="P107" i="14" s="1"/>
  <c r="R106" i="14"/>
  <c r="Q106" i="14" s="1"/>
  <c r="R108" i="14"/>
  <c r="Q108" i="14" s="1"/>
  <c r="P108" i="14" s="1"/>
  <c r="R113" i="14"/>
  <c r="Q113" i="14" s="1"/>
  <c r="P113" i="14" s="1"/>
  <c r="W55" i="14"/>
  <c r="V55" i="14" s="1"/>
  <c r="W56" i="14"/>
  <c r="V56" i="14" s="1"/>
  <c r="U56" i="14" s="1"/>
  <c r="X85" i="14"/>
  <c r="W85" i="14" s="1"/>
  <c r="V85" i="14" s="1"/>
  <c r="U85" i="14" s="1"/>
  <c r="T85" i="14" s="1"/>
  <c r="S85" i="14" s="1"/>
  <c r="T67" i="14" s="1"/>
  <c r="X89" i="14"/>
  <c r="W89" i="14" s="1"/>
  <c r="V89" i="14" s="1"/>
  <c r="U89" i="14" s="1"/>
  <c r="T89" i="14" s="1"/>
  <c r="S89" i="14" s="1"/>
  <c r="T71" i="14" s="1"/>
  <c r="W84" i="14"/>
  <c r="V84" i="14" s="1"/>
  <c r="U84" i="14" s="1"/>
  <c r="T84" i="14" s="1"/>
  <c r="S84" i="14" s="1"/>
  <c r="T66" i="14" s="1"/>
  <c r="W91" i="14"/>
  <c r="V91" i="14" s="1"/>
  <c r="U91" i="14" s="1"/>
  <c r="T91" i="14" s="1"/>
  <c r="S91" i="14" s="1"/>
  <c r="T73" i="14" s="1"/>
  <c r="V47" i="15"/>
  <c r="G52" i="15"/>
  <c r="H49" i="15"/>
  <c r="H44" i="15"/>
  <c r="H41" i="15"/>
  <c r="H17" i="15"/>
  <c r="H16" i="15"/>
  <c r="H15" i="15"/>
  <c r="H14" i="15"/>
  <c r="I13" i="15"/>
  <c r="H13" i="15" s="1"/>
  <c r="H12" i="15"/>
  <c r="H11" i="15"/>
  <c r="F35" i="14"/>
  <c r="C162" i="14" s="1"/>
  <c r="E35" i="14"/>
  <c r="M34" i="6"/>
  <c r="J29" i="6"/>
  <c r="J41" i="6"/>
  <c r="J54" i="6" s="1"/>
  <c r="J51" i="6"/>
  <c r="I29" i="14"/>
  <c r="H12" i="12" l="1"/>
  <c r="M168" i="14"/>
  <c r="M167" i="14"/>
  <c r="M166" i="14" s="1"/>
  <c r="M165" i="14" s="1"/>
  <c r="M164" i="14" s="1"/>
  <c r="M163" i="14" s="1"/>
  <c r="M162" i="14" s="1"/>
  <c r="L169" i="14" s="1"/>
  <c r="H52" i="15"/>
  <c r="M49" i="6" s="1"/>
  <c r="H18" i="15"/>
  <c r="M48" i="6" s="1"/>
  <c r="P112" i="14"/>
  <c r="P106" i="14"/>
  <c r="T64" i="14"/>
  <c r="T65" i="14"/>
  <c r="U55" i="14"/>
  <c r="M26" i="6"/>
  <c r="N29" i="14"/>
  <c r="M27" i="6"/>
  <c r="G34" i="14"/>
  <c r="P102" i="14" l="1"/>
  <c r="S126" i="14" s="1"/>
  <c r="T126" i="14" s="1"/>
  <c r="U54" i="14"/>
  <c r="V59" i="14" s="1"/>
  <c r="M51" i="6"/>
  <c r="J33" i="12"/>
  <c r="J24" i="12"/>
  <c r="M29" i="6"/>
  <c r="K35" i="14"/>
  <c r="M39" i="6" s="1"/>
  <c r="S124" i="14" l="1"/>
  <c r="T124" i="14" s="1"/>
  <c r="I11" i="14"/>
  <c r="L20" i="14" s="1"/>
  <c r="S129" i="14"/>
  <c r="T129" i="14" s="1"/>
  <c r="S125" i="14"/>
  <c r="T125" i="14" s="1"/>
  <c r="S128" i="14"/>
  <c r="T128" i="14" s="1"/>
  <c r="S130" i="14"/>
  <c r="T130" i="14" s="1"/>
  <c r="S127" i="14"/>
  <c r="T127" i="14" s="1"/>
  <c r="S123" i="14"/>
  <c r="T123" i="14" s="1"/>
  <c r="S122" i="14"/>
  <c r="T122" i="14" s="1"/>
  <c r="S121" i="14"/>
  <c r="T121" i="14" s="1"/>
  <c r="U121" i="14" s="1"/>
  <c r="U136" i="14" s="1"/>
  <c r="P142" i="14" s="1"/>
  <c r="P143" i="14" s="1"/>
  <c r="V144" i="14" s="1"/>
  <c r="V143" i="14" s="1"/>
  <c r="V142" i="14" s="1"/>
  <c r="V141" i="14" s="1"/>
  <c r="N130" i="14" s="1"/>
  <c r="V73" i="14"/>
  <c r="V66" i="14"/>
  <c r="V69" i="14"/>
  <c r="V71" i="14"/>
  <c r="V72" i="14"/>
  <c r="W114" i="14"/>
  <c r="W113" i="14" s="1"/>
  <c r="W112" i="14" s="1"/>
  <c r="W111" i="14" s="1"/>
  <c r="W110" i="14" s="1"/>
  <c r="Z125" i="14" s="1"/>
  <c r="AA125" i="14" s="1"/>
  <c r="V67" i="14"/>
  <c r="Z59" i="14"/>
  <c r="Z58" i="14" s="1"/>
  <c r="Z57" i="14" s="1"/>
  <c r="Z56" i="14" s="1"/>
  <c r="Z55" i="14" s="1"/>
  <c r="AD55" i="14" s="1"/>
  <c r="D11" i="14" s="1"/>
  <c r="G23" i="14" s="1"/>
  <c r="V65" i="14"/>
  <c r="V68" i="14"/>
  <c r="V70" i="14"/>
  <c r="AK163" i="14"/>
  <c r="AK162" i="14" s="1"/>
  <c r="AJ163" i="14" s="1"/>
  <c r="AJ162" i="14" s="1"/>
  <c r="AF163" i="14"/>
  <c r="AF162" i="14" s="1"/>
  <c r="AE163" i="14" s="1"/>
  <c r="AE162" i="14" s="1"/>
  <c r="AD163" i="14" s="1"/>
  <c r="AD162" i="14" s="1"/>
  <c r="V64" i="14"/>
  <c r="L25" i="14"/>
  <c r="J36" i="12"/>
  <c r="K28" i="14" l="1"/>
  <c r="L24" i="14"/>
  <c r="K26" i="14"/>
  <c r="K24" i="14"/>
  <c r="L26" i="14"/>
  <c r="K21" i="14"/>
  <c r="L23" i="14"/>
  <c r="K23" i="14"/>
  <c r="K25" i="14"/>
  <c r="L22" i="14"/>
  <c r="L27" i="14"/>
  <c r="L19" i="14"/>
  <c r="K19" i="14" s="1"/>
  <c r="K27" i="14"/>
  <c r="L21" i="14"/>
  <c r="K20" i="14"/>
  <c r="L28" i="14"/>
  <c r="K22" i="14"/>
  <c r="T136" i="14"/>
  <c r="AI157" i="14"/>
  <c r="G33" i="14" s="1"/>
  <c r="G35" i="14" s="1"/>
  <c r="P30" i="6" s="1"/>
  <c r="O30" i="6" s="1"/>
  <c r="V74" i="14"/>
  <c r="O74" i="14" s="1"/>
  <c r="F24" i="14"/>
  <c r="F28" i="14"/>
  <c r="F21" i="14"/>
  <c r="G25" i="14"/>
  <c r="F23" i="14"/>
  <c r="G26" i="14"/>
  <c r="G22" i="14"/>
  <c r="Z123" i="14"/>
  <c r="AA123" i="14" s="1"/>
  <c r="Z130" i="14"/>
  <c r="AA130" i="14" s="1"/>
  <c r="Z129" i="14"/>
  <c r="AA129" i="14" s="1"/>
  <c r="Z127" i="14"/>
  <c r="AA127" i="14" s="1"/>
  <c r="N11" i="14"/>
  <c r="Z122" i="14"/>
  <c r="AA122" i="14" s="1"/>
  <c r="G21" i="14"/>
  <c r="F27" i="14"/>
  <c r="F22" i="14"/>
  <c r="Z124" i="14"/>
  <c r="AA124" i="14" s="1"/>
  <c r="G19" i="14"/>
  <c r="F19" i="14" s="1"/>
  <c r="G27" i="14"/>
  <c r="G28" i="14"/>
  <c r="Z121" i="14"/>
  <c r="AA121" i="14" s="1"/>
  <c r="G24" i="14"/>
  <c r="G20" i="14"/>
  <c r="F20" i="14" s="1"/>
  <c r="Z128" i="14"/>
  <c r="AA128" i="14" s="1"/>
  <c r="F25" i="14"/>
  <c r="F26" i="14"/>
  <c r="Z126" i="14"/>
  <c r="AA126" i="14" s="1"/>
  <c r="M44" i="6"/>
  <c r="P26" i="14" l="1"/>
  <c r="P25" i="14"/>
  <c r="P24" i="14"/>
  <c r="P23" i="14"/>
  <c r="P22" i="14"/>
  <c r="P21" i="14"/>
  <c r="P20" i="14"/>
  <c r="P27" i="14"/>
  <c r="P28" i="14"/>
  <c r="Q25" i="14"/>
  <c r="Q19" i="14"/>
  <c r="P19" i="14" s="1"/>
  <c r="P29" i="14" s="1"/>
  <c r="K29" i="14"/>
  <c r="N14" i="14" s="1"/>
  <c r="Q20" i="14"/>
  <c r="Q28" i="14"/>
  <c r="Q27" i="14"/>
  <c r="Q24" i="14"/>
  <c r="Q23" i="14"/>
  <c r="Q21" i="14"/>
  <c r="F29" i="14"/>
  <c r="D14" i="14" s="1"/>
  <c r="M37" i="6" s="1"/>
  <c r="Q26" i="14"/>
  <c r="Q22" i="14"/>
  <c r="AA136" i="14"/>
  <c r="M15" i="14" l="1"/>
  <c r="M14" i="14"/>
  <c r="N13" i="14"/>
  <c r="K14" i="14" s="1"/>
  <c r="M38" i="6" s="1"/>
  <c r="M41" i="6" l="1"/>
  <c r="M54" i="6" s="1"/>
  <c r="M10"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C8" authorId="0" shapeId="0" xr:uid="{00000000-0006-0000-0100-000001000000}">
      <text>
        <r>
          <rPr>
            <sz val="8"/>
            <color indexed="81"/>
            <rFont val="Tahoma"/>
            <family val="2"/>
          </rPr>
          <t>This is not the design year volume (12, 20) you will use for design.  Rather, use the current 30th highest volume of the year, or estimate for a seasonal volume.</t>
        </r>
        <r>
          <rPr>
            <b/>
            <sz val="8"/>
            <color indexed="81"/>
            <rFont val="Tahoma"/>
            <family val="2"/>
          </rPr>
          <t xml:space="preserve">
</t>
        </r>
      </text>
    </comment>
    <comment ref="D19" authorId="0" shapeId="0" xr:uid="{00000000-0006-0000-0100-000002000000}">
      <text>
        <r>
          <rPr>
            <sz val="8"/>
            <color indexed="81"/>
            <rFont val="Tahoma"/>
            <family val="2"/>
          </rPr>
          <t>Must be an actual base, not office, training, or recruiting center.</t>
        </r>
      </text>
    </comment>
    <comment ref="D20" authorId="0" shapeId="0" xr:uid="{00000000-0006-0000-0100-000003000000}">
      <text>
        <r>
          <rPr>
            <sz val="8"/>
            <color indexed="81"/>
            <rFont val="Tahoma"/>
            <family val="2"/>
          </rPr>
          <t>A section adjacent to or within some distance (miles) of the project, or on the same main travel route, has been improved to equal or greater scope within the last 10 years.</t>
        </r>
      </text>
    </comment>
    <comment ref="D21" authorId="0" shapeId="0" xr:uid="{00000000-0006-0000-0100-000004000000}">
      <text>
        <r>
          <rPr>
            <sz val="8"/>
            <color indexed="81"/>
            <rFont val="Tahoma"/>
            <family val="2"/>
          </rPr>
          <t>School, church, grange, fire station, hospital, museum</t>
        </r>
      </text>
    </comment>
    <comment ref="D22" authorId="0" shapeId="0" xr:uid="{00000000-0006-0000-0100-000005000000}">
      <text>
        <r>
          <rPr>
            <sz val="8"/>
            <color indexed="81"/>
            <rFont val="Tahoma"/>
            <family val="2"/>
          </rPr>
          <t xml:space="preserve">YMCA, Park, Amusement Park
</t>
        </r>
      </text>
    </comment>
    <comment ref="D23" authorId="0" shapeId="0" xr:uid="{00000000-0006-0000-0100-000006000000}">
      <text>
        <r>
          <rPr>
            <sz val="8"/>
            <color indexed="81"/>
            <rFont val="Tahoma"/>
            <family val="2"/>
          </rPr>
          <t xml:space="preserve">Serves as or directly connects to a detour for a state or interstate hwy. (miles from route that is detoured)
</t>
        </r>
      </text>
    </comment>
    <comment ref="D28" authorId="0" shapeId="0" xr:uid="{00000000-0006-0000-0100-000007000000}">
      <text>
        <r>
          <rPr>
            <sz val="8"/>
            <color indexed="81"/>
            <rFont val="Tahoma"/>
            <family val="2"/>
          </rPr>
          <t xml:space="preserve">Include commercial food processing, not retail.
</t>
        </r>
      </text>
    </comment>
    <comment ref="D29" authorId="0" shapeId="0" xr:uid="{00000000-0006-0000-0100-000008000000}">
      <text>
        <r>
          <rPr>
            <sz val="8"/>
            <color indexed="81"/>
            <rFont val="Tahoma"/>
            <family val="2"/>
          </rPr>
          <t>i.e. parcel service, collection point. Not corporate office, or government post office.</t>
        </r>
        <r>
          <rPr>
            <sz val="8"/>
            <color indexed="81"/>
            <rFont val="Tahoma"/>
            <family val="2"/>
          </rPr>
          <t xml:space="preserve">
</t>
        </r>
      </text>
    </comment>
    <comment ref="D32" authorId="0" shapeId="0" xr:uid="{00000000-0006-0000-0100-000009000000}">
      <text>
        <r>
          <rPr>
            <sz val="8"/>
            <color indexed="81"/>
            <rFont val="Tahoma"/>
            <family val="2"/>
          </rPr>
          <t>Includes parcel service corporate office, post office, military recruiting, union hall.</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randy</author>
  </authors>
  <commentList>
    <comment ref="F6" authorId="0" shapeId="0" xr:uid="{00000000-0006-0000-0300-000001000000}">
      <text>
        <r>
          <rPr>
            <sz val="8"/>
            <color indexed="81"/>
            <rFont val="Tahoma"/>
            <family val="2"/>
          </rPr>
          <t xml:space="preserve">AASHTO 2001, page 235
</t>
        </r>
      </text>
    </comment>
    <comment ref="D34" authorId="0" shapeId="0" xr:uid="{00000000-0006-0000-0300-000002000000}">
      <text>
        <r>
          <rPr>
            <sz val="8"/>
            <color indexed="81"/>
            <rFont val="Tahoma"/>
            <family val="2"/>
          </rPr>
          <t>Shoulders can be paved or gravel or both.</t>
        </r>
      </text>
    </comment>
  </commentList>
</comments>
</file>

<file path=xl/sharedStrings.xml><?xml version="1.0" encoding="utf-8"?>
<sst xmlns="http://schemas.openxmlformats.org/spreadsheetml/2006/main" count="550" uniqueCount="411">
  <si>
    <t>County:</t>
  </si>
  <si>
    <t>Project Name:</t>
  </si>
  <si>
    <t>(from prospectus)</t>
  </si>
  <si>
    <t>Possible</t>
  </si>
  <si>
    <t xml:space="preserve"> Points:</t>
  </si>
  <si>
    <t>Points:</t>
  </si>
  <si>
    <t>SERVICE RATING</t>
  </si>
  <si>
    <t>Traffic Volume</t>
  </si>
  <si>
    <t>Accident History</t>
  </si>
  <si>
    <t>Subtotal</t>
  </si>
  <si>
    <t>CONDITION RATING</t>
  </si>
  <si>
    <t>(possible)</t>
  </si>
  <si>
    <t>Rating points may be assigned only to the extent that the deficient condition will be improved.</t>
  </si>
  <si>
    <t xml:space="preserve"> </t>
  </si>
  <si>
    <t>Existing ADT</t>
  </si>
  <si>
    <t xml:space="preserve">ADT Year </t>
  </si>
  <si>
    <t>or</t>
  </si>
  <si>
    <t>Existing Truck ADT</t>
  </si>
  <si>
    <t>Truck ADT Yr</t>
  </si>
  <si>
    <t>ADT = Average Weekday Traffic Volumes</t>
  </si>
  <si>
    <t>TRAFFIC VOLUME RATING TABLE</t>
  </si>
  <si>
    <t>Average</t>
  </si>
  <si>
    <t>ADT</t>
  </si>
  <si>
    <t>Truck ADT</t>
  </si>
  <si>
    <t>Points</t>
  </si>
  <si>
    <t xml:space="preserve">   </t>
  </si>
  <si>
    <t>501 - 1000</t>
  </si>
  <si>
    <t>51 - 100</t>
  </si>
  <si>
    <t>1001 - 2000</t>
  </si>
  <si>
    <t>101 - 200</t>
  </si>
  <si>
    <t>2001 - 5000</t>
  </si>
  <si>
    <t>201 - 500</t>
  </si>
  <si>
    <t>TRAFFIC VOLUME RATING</t>
  </si>
  <si>
    <t>Accident history for the three most recent consecutive years.</t>
  </si>
  <si>
    <t>Property</t>
  </si>
  <si>
    <t>Damage</t>
  </si>
  <si>
    <t>Year</t>
  </si>
  <si>
    <t>Only</t>
  </si>
  <si>
    <t>Injury</t>
  </si>
  <si>
    <t>Fatal</t>
  </si>
  <si>
    <t xml:space="preserve">SUBTOTALS: </t>
  </si>
  <si>
    <t>x 1</t>
  </si>
  <si>
    <t>x 2</t>
  </si>
  <si>
    <t>x 5</t>
  </si>
  <si>
    <t>TOTAL  =</t>
  </si>
  <si>
    <t>+</t>
  </si>
  <si>
    <t>ACCIDENT HISTORY RATING</t>
  </si>
  <si>
    <t>(from Total above)</t>
  </si>
  <si>
    <t>OR</t>
  </si>
  <si>
    <t xml:space="preserve">Using the DESIGN STANDARDS table below as a guide, determine the adequacy </t>
  </si>
  <si>
    <t>of the horizontal alignment</t>
  </si>
  <si>
    <t xml:space="preserve">                            </t>
  </si>
  <si>
    <t>ADT:</t>
  </si>
  <si>
    <t>TERRAIN:</t>
  </si>
  <si>
    <t>&lt; 400</t>
  </si>
  <si>
    <t>400 - 2000</t>
  </si>
  <si>
    <t>&gt; 2000</t>
  </si>
  <si>
    <t>FLAT</t>
  </si>
  <si>
    <t>ROLLING</t>
  </si>
  <si>
    <t>MOUNTAINOUS</t>
  </si>
  <si>
    <t>Condition</t>
  </si>
  <si>
    <t>HORIZONTAL ALIGNMENT POINTS</t>
  </si>
  <si>
    <t>of the vertical alignment.</t>
  </si>
  <si>
    <t>Standard Grades (% max.):</t>
  </si>
  <si>
    <t>Required Stopping Sight Distance:</t>
  </si>
  <si>
    <t>TERRAIN</t>
  </si>
  <si>
    <t>&lt;400</t>
  </si>
  <si>
    <t xml:space="preserve">                                 </t>
  </si>
  <si>
    <t>Design Speed</t>
  </si>
  <si>
    <t xml:space="preserve">Flat </t>
  </si>
  <si>
    <t>Rolling</t>
  </si>
  <si>
    <t>Mountain</t>
  </si>
  <si>
    <t>Condition:</t>
  </si>
  <si>
    <t>VERTICAL ALIGNMENT POINTS</t>
  </si>
  <si>
    <t xml:space="preserve">     </t>
  </si>
  <si>
    <t>ROADWAY WIDTH POINTS</t>
  </si>
  <si>
    <t>Structural Condition</t>
  </si>
  <si>
    <t>Horizontal Alignment</t>
  </si>
  <si>
    <t>Roadway Width</t>
  </si>
  <si>
    <t>Rutting</t>
  </si>
  <si>
    <t>Patching</t>
  </si>
  <si>
    <t>Cracking</t>
  </si>
  <si>
    <t>Roadway</t>
  </si>
  <si>
    <t>existing lane and shoulder widths</t>
  </si>
  <si>
    <t xml:space="preserve">  All existing alignment is better than design standards.</t>
  </si>
  <si>
    <t xml:space="preserve">  All existing curves are equal to design standards or within 5 MPH below design standards.</t>
  </si>
  <si>
    <t xml:space="preserve">  One or more substandard curves 10 MPH below design standards.</t>
  </si>
  <si>
    <t xml:space="preserve">  One or more substandard curves 15 MPH below design standards.</t>
  </si>
  <si>
    <t>No portion of roadway deviates from design standards</t>
  </si>
  <si>
    <t>Short sections of the project deviate from design standards</t>
  </si>
  <si>
    <t>5% of the project deviates from the design standards</t>
  </si>
  <si>
    <t>10% of the project deviates from the design standards</t>
  </si>
  <si>
    <t>Traffic Volume:</t>
  </si>
  <si>
    <t>AADT</t>
  </si>
  <si>
    <t>Injury, non fatal</t>
  </si>
  <si>
    <t>From CRAB</t>
  </si>
  <si>
    <t>Minimum Design Speed Table</t>
  </si>
  <si>
    <t>Existing</t>
  </si>
  <si>
    <t>Speed</t>
  </si>
  <si>
    <t>Flat</t>
  </si>
  <si>
    <t>Mountainous</t>
  </si>
  <si>
    <t>Minimum Design Speed:</t>
  </si>
  <si>
    <t>Safe</t>
  </si>
  <si>
    <t>MPH</t>
  </si>
  <si>
    <t xml:space="preserve">Existing </t>
  </si>
  <si>
    <t>Curve No.</t>
  </si>
  <si>
    <t>Radius</t>
  </si>
  <si>
    <t>Standard</t>
  </si>
  <si>
    <r>
      <t xml:space="preserve">MIN, </t>
    </r>
    <r>
      <rPr>
        <b/>
        <sz val="10"/>
        <color indexed="14"/>
        <rFont val="Arial"/>
        <family val="2"/>
      </rPr>
      <t>RADIUS</t>
    </r>
  </si>
  <si>
    <t>400-2000</t>
  </si>
  <si>
    <t>FOR 6% SUPER.</t>
  </si>
  <si>
    <t>Horizontal</t>
  </si>
  <si>
    <t>Collectors</t>
  </si>
  <si>
    <t>Arterials</t>
  </si>
  <si>
    <t>Safe Speed</t>
  </si>
  <si>
    <t>Exist. Sight</t>
  </si>
  <si>
    <t>(Vs)</t>
  </si>
  <si>
    <t>Dist.  (S)</t>
  </si>
  <si>
    <t>~</t>
  </si>
  <si>
    <t>FUNCTIONAL CLASS</t>
  </si>
  <si>
    <t>% GRADE</t>
  </si>
  <si>
    <t>Grade</t>
  </si>
  <si>
    <t>Sight dist.</t>
  </si>
  <si>
    <t>% Grade</t>
  </si>
  <si>
    <t>Length</t>
  </si>
  <si>
    <t>% Grade Required</t>
  </si>
  <si>
    <t>Std</t>
  </si>
  <si>
    <t>Deficient</t>
  </si>
  <si>
    <t>Total</t>
  </si>
  <si>
    <t>Grade Deficiency</t>
  </si>
  <si>
    <t>SSD</t>
  </si>
  <si>
    <t>Stopping Sight Distance Deficiency</t>
  </si>
  <si>
    <t>Substnd</t>
  </si>
  <si>
    <t>Substd</t>
  </si>
  <si>
    <t>% Deficient</t>
  </si>
  <si>
    <t>Project Length, ft</t>
  </si>
  <si>
    <t>Stopping Sight Distance Required</t>
  </si>
  <si>
    <t xml:space="preserve">Curve#  </t>
  </si>
  <si>
    <t>Calculation Table</t>
  </si>
  <si>
    <t>CALC</t>
  </si>
  <si>
    <t>TRUCK AADT</t>
  </si>
  <si>
    <t>POINTS</t>
  </si>
  <si>
    <t>Lane Width Points</t>
  </si>
  <si>
    <t>Lane width table</t>
  </si>
  <si>
    <t>Shoulder width table</t>
  </si>
  <si>
    <t>Available</t>
  </si>
  <si>
    <t>&lt;10%</t>
  </si>
  <si>
    <t>Geometric Rating:</t>
  </si>
  <si>
    <t>Assigned</t>
  </si>
  <si>
    <t>Max.</t>
  </si>
  <si>
    <t>Existing shoulder width (one side)</t>
  </si>
  <si>
    <r>
      <t>&gt;</t>
    </r>
    <r>
      <rPr>
        <sz val="10"/>
        <rFont val="MS Sans Serif"/>
      </rPr>
      <t>5001</t>
    </r>
  </si>
  <si>
    <r>
      <t>&gt;</t>
    </r>
    <r>
      <rPr>
        <sz val="10"/>
        <rFont val="MS Sans Serif"/>
      </rPr>
      <t>501</t>
    </r>
  </si>
  <si>
    <r>
      <t>&lt;</t>
    </r>
    <r>
      <rPr>
        <sz val="10"/>
        <rFont val="MS Sans Serif"/>
      </rPr>
      <t xml:space="preserve"> 50</t>
    </r>
  </si>
  <si>
    <r>
      <t>&lt;</t>
    </r>
    <r>
      <rPr>
        <sz val="10"/>
        <rFont val="MS Sans Serif"/>
      </rPr>
      <t xml:space="preserve"> 500</t>
    </r>
  </si>
  <si>
    <t>Length ft</t>
  </si>
  <si>
    <t>(AASHTO 2001, p 427)</t>
  </si>
  <si>
    <t>(AASHTO 2001, p 450)</t>
  </si>
  <si>
    <t>STATE OF WASHINGTON</t>
  </si>
  <si>
    <t>COUNTY ROAD ADMINISTRATION BOARD</t>
  </si>
  <si>
    <t>VERIFICATION OF 3R SCOPE FOR RAP PROJECT</t>
  </si>
  <si>
    <t>County</t>
  </si>
  <si>
    <t>Project name</t>
  </si>
  <si>
    <t>Project mileposts</t>
  </si>
  <si>
    <t xml:space="preserve">The scope of work for the RATA funding proposal mentioned above, and which was </t>
  </si>
  <si>
    <t xml:space="preserve">submitted to CRAB on </t>
  </si>
  <si>
    <t xml:space="preserve">, is based on 3R design standards as </t>
  </si>
  <si>
    <t xml:space="preserve">referrenced in the Local Agency Guidelines.   </t>
  </si>
  <si>
    <t xml:space="preserve">In keeping with these guidelines, I have considered the following factors as well as others </t>
  </si>
  <si>
    <t>in arriving at the proposed scope of improvements:</t>
  </si>
  <si>
    <t>Roadside conditions</t>
  </si>
  <si>
    <t>Funding constraints</t>
  </si>
  <si>
    <t>Environmental concerns</t>
  </si>
  <si>
    <t>Changing traffic and land use patterns</t>
  </si>
  <si>
    <t>Deterioration rate of surfacing</t>
  </si>
  <si>
    <t>Accidents or accident rates.</t>
  </si>
  <si>
    <t xml:space="preserve">Where justified, the project will include: </t>
  </si>
  <si>
    <t>Guardrail improvements or upgrades</t>
  </si>
  <si>
    <t>Approach and and transition guardrail improvements for bridges</t>
  </si>
  <si>
    <t>Beveled end sections for crossing and parallel culverts located in the clear zone.</t>
  </si>
  <si>
    <t>Relocating, protecting, or providing breakaway features for sign supports and luminaires</t>
  </si>
  <si>
    <t>Protection for exposed bridge piers and abuttments.</t>
  </si>
  <si>
    <t>Removing fixed objects from the clear zone</t>
  </si>
  <si>
    <t>Improvements to roadway geometry.</t>
  </si>
  <si>
    <t xml:space="preserve">With these and other improvements as mentioned in the project prospectus, the project </t>
  </si>
  <si>
    <t xml:space="preserve">will sufficiently extend service life, provide additonal pavement strength, restore or </t>
  </si>
  <si>
    <t>improve the original cross section, and enhance safety.</t>
  </si>
  <si>
    <t>County Engineer</t>
  </si>
  <si>
    <t>Date</t>
  </si>
  <si>
    <t>This letter must be completed prior to commencing construction and retained in the county's project files.</t>
  </si>
  <si>
    <t>LANE WIDTH CALCULATION</t>
  </si>
  <si>
    <t>DESIGN LANE WIDTH</t>
  </si>
  <si>
    <t>COLLECTORS</t>
  </si>
  <si>
    <t>ARTERIALS</t>
  </si>
  <si>
    <t>400 - 1500</t>
  </si>
  <si>
    <t>1500 - 2000</t>
  </si>
  <si>
    <t>&lt; 1501</t>
  </si>
  <si>
    <t>1501 - 2000</t>
  </si>
  <si>
    <t>SHOULDER WIDTH CALCULATION</t>
  </si>
  <si>
    <t>DESIGN SHOULDER WIDTH</t>
  </si>
  <si>
    <t>REFERRENCE TABLES</t>
  </si>
  <si>
    <t>DESIGN</t>
  </si>
  <si>
    <t>LANE WIDTHS PER ADT</t>
  </si>
  <si>
    <t>SHOULDER WIDTHS PER ADT</t>
  </si>
  <si>
    <t>SPEED</t>
  </si>
  <si>
    <t>ALL SPEEDS</t>
  </si>
  <si>
    <t>Structural Rating:</t>
  </si>
  <si>
    <t>Shoulder width, 1 side</t>
  </si>
  <si>
    <t>Width Reduction Calcs</t>
  </si>
  <si>
    <t>HORIZONTAL</t>
  </si>
  <si>
    <t>Accidents:</t>
  </si>
  <si>
    <t>Minimum Radius, Ft.</t>
  </si>
  <si>
    <t>Maximum Grade</t>
  </si>
  <si>
    <t>Proposed</t>
  </si>
  <si>
    <t xml:space="preserve">   %</t>
  </si>
  <si>
    <t>Impr.</t>
  </si>
  <si>
    <t>Sight Dist.</t>
  </si>
  <si>
    <t>Avg.</t>
  </si>
  <si>
    <t>Pts Assigned</t>
  </si>
  <si>
    <t>Road Width:</t>
  </si>
  <si>
    <t>Proposed:</t>
  </si>
  <si>
    <t>Existing:</t>
  </si>
  <si>
    <t>LIST ALL DEFICIENT ALIGNMENT</t>
  </si>
  <si>
    <t>Cum.</t>
  </si>
  <si>
    <t>weighted %</t>
  </si>
  <si>
    <t>Geometric Condition:</t>
  </si>
  <si>
    <t>3R ROADSIDE HAZARDS</t>
  </si>
  <si>
    <t>ROADSIDE HAZARDS:</t>
  </si>
  <si>
    <t>Roadway Width (15 Points Max.)</t>
  </si>
  <si>
    <t>WIDENING</t>
  </si>
  <si>
    <t>PTS</t>
  </si>
  <si>
    <t>Existing lane width (both sides)</t>
  </si>
  <si>
    <t>Existing roadbed width</t>
  </si>
  <si>
    <t>Proposed Roadbed Width</t>
  </si>
  <si>
    <t>3R ROADWAY</t>
  </si>
  <si>
    <t>FT</t>
  </si>
  <si>
    <t xml:space="preserve">Using the  table below, determine the adequacy of the </t>
  </si>
  <si>
    <t xml:space="preserve">Military base          </t>
  </si>
  <si>
    <t>Missing Link</t>
  </si>
  <si>
    <t xml:space="preserve">Community           </t>
  </si>
  <si>
    <t>Recreation</t>
  </si>
  <si>
    <t>Detour</t>
  </si>
  <si>
    <t>Manufacturing facility</t>
  </si>
  <si>
    <t>Retail facility</t>
  </si>
  <si>
    <t>Corporate or government office facility</t>
  </si>
  <si>
    <t>Terrain (check one)</t>
  </si>
  <si>
    <t>3R I/S OPERATION</t>
  </si>
  <si>
    <t xml:space="preserve"> - submit warrants and accident history</t>
  </si>
  <si>
    <t>Right Turn Pockets</t>
  </si>
  <si>
    <t>Left Turn lanes (not turn pockets or tapers)</t>
  </si>
  <si>
    <t>36 inch stop sign</t>
  </si>
  <si>
    <t>Rumble pattern buttons before intersection</t>
  </si>
  <si>
    <t>Bring Intersection sight distance to standard</t>
  </si>
  <si>
    <t>Flashing lights on stop sign</t>
  </si>
  <si>
    <t>Flashing intersection signal</t>
  </si>
  <si>
    <t>Allowed</t>
  </si>
  <si>
    <t>Scored</t>
  </si>
  <si>
    <t>Check each</t>
  </si>
  <si>
    <t>that apply</t>
  </si>
  <si>
    <t>Install flashing lights on stop</t>
  </si>
  <si>
    <t xml:space="preserve"> or other I/S warning sign</t>
  </si>
  <si>
    <t>36 inch stop signs</t>
  </si>
  <si>
    <t xml:space="preserve">A. Intersection Operation - Improvements  (10 pts) </t>
  </si>
  <si>
    <t xml:space="preserve">B. Roadside Hazards  (15 pts) </t>
  </si>
  <si>
    <t>Awarded</t>
  </si>
  <si>
    <t>Description:</t>
  </si>
  <si>
    <t>Length of Roadway to</t>
  </si>
  <si>
    <t>Count once</t>
  </si>
  <si>
    <t>have slopes flattened -</t>
  </si>
  <si>
    <t>Miles</t>
  </si>
  <si>
    <t>Length of roadway to have slopes flattened:</t>
  </si>
  <si>
    <t>Remove Structure and Obstruction</t>
  </si>
  <si>
    <t>Miles of Clear Zone</t>
  </si>
  <si>
    <r>
      <t xml:space="preserve">     (GR, Mailbox </t>
    </r>
    <r>
      <rPr>
        <u/>
        <sz val="10"/>
        <rFont val="Arial"/>
        <family val="2"/>
      </rPr>
      <t>&gt;</t>
    </r>
    <r>
      <rPr>
        <sz val="10"/>
        <rFont val="MS Sans Serif"/>
      </rPr>
      <t xml:space="preserve"> 25 in</t>
    </r>
    <r>
      <rPr>
        <vertAlign val="superscript"/>
        <sz val="10"/>
        <rFont val="Arial"/>
        <family val="2"/>
      </rPr>
      <t>2</t>
    </r>
    <r>
      <rPr>
        <sz val="10"/>
        <rFont val="MS Sans Serif"/>
      </rPr>
      <t>, trees, stumps, sign posts)</t>
    </r>
  </si>
  <si>
    <t>to be clear of</t>
  </si>
  <si>
    <t xml:space="preserve"> obstructions.</t>
  </si>
  <si>
    <t>(Count both sides)</t>
  </si>
  <si>
    <t>Do not include Utility poles.</t>
  </si>
  <si>
    <r>
      <t xml:space="preserve">Treat </t>
    </r>
    <r>
      <rPr>
        <b/>
        <sz val="10"/>
        <rFont val="MS Sans Serif"/>
        <family val="2"/>
      </rPr>
      <t>All</t>
    </r>
    <r>
      <rPr>
        <sz val="10"/>
        <rFont val="MS Sans Serif"/>
        <family val="2"/>
      </rPr>
      <t xml:space="preserve"> culvert ends (bevel and safety bar)</t>
    </r>
  </si>
  <si>
    <t>Must treat all to get points</t>
  </si>
  <si>
    <t>No. of culverts</t>
  </si>
  <si>
    <t>Upgrade / Install Guardrail / Barrier</t>
  </si>
  <si>
    <t>Attach Warrants</t>
  </si>
  <si>
    <t>(Fill height and lineal feet)</t>
  </si>
  <si>
    <t>3R CHECKLIST SUBTOTAL</t>
  </si>
  <si>
    <t>DEFINITIONS</t>
  </si>
  <si>
    <t>Rate only for those conditions that will be improved to standard.</t>
  </si>
  <si>
    <t>Provide detailed description of existing condition (and warrants) the county will improve</t>
  </si>
  <si>
    <t>such as length of deficiency, and percent of project length.</t>
  </si>
  <si>
    <t>Possible Points</t>
  </si>
  <si>
    <t>Improve entire project to clear zone or recovery area per Design Manual (Doesn't include location where guardrail is recommended per fig 700-5 due to limited R/W or environmental critical areas</t>
  </si>
  <si>
    <t xml:space="preserve">Points assigned based </t>
  </si>
  <si>
    <t>on % of project length</t>
  </si>
  <si>
    <t>improved.</t>
  </si>
  <si>
    <r>
      <t xml:space="preserve">Proportion points by </t>
    </r>
    <r>
      <rPr>
        <b/>
        <sz val="10"/>
        <rFont val="Arial"/>
        <family val="2"/>
      </rPr>
      <t>% of clear zone</t>
    </r>
    <r>
      <rPr>
        <sz val="10"/>
        <rFont val="MS Sans Serif"/>
      </rPr>
      <t xml:space="preserve"> &amp; recovery areas on project that will be free of obstructions (exception see Utility Relocation.</t>
    </r>
  </si>
  <si>
    <r>
      <t xml:space="preserve">Only get points if </t>
    </r>
    <r>
      <rPr>
        <b/>
        <sz val="10"/>
        <rFont val="Arial"/>
        <family val="2"/>
      </rPr>
      <t>all</t>
    </r>
    <r>
      <rPr>
        <sz val="10"/>
        <rFont val="MS Sans Serif"/>
      </rPr>
      <t xml:space="preserve"> culvert ends treated</t>
    </r>
  </si>
  <si>
    <r>
      <t xml:space="preserve">Only get points if upgrade </t>
    </r>
    <r>
      <rPr>
        <b/>
        <sz val="10"/>
        <rFont val="Arial"/>
        <family val="2"/>
      </rPr>
      <t>all</t>
    </r>
    <r>
      <rPr>
        <sz val="10"/>
        <rFont val="MS Sans Serif"/>
      </rPr>
      <t xml:space="preserve"> guardrail elements &amp; install new guardrail where recommended for entire project.</t>
    </r>
  </si>
  <si>
    <t>2. Remove Structure and Obstuction from Clear Zone:</t>
  </si>
  <si>
    <t>3. Culvert End Treatments:</t>
  </si>
  <si>
    <t>4. Upgrade / Install Guardrail:</t>
  </si>
  <si>
    <t>5. Utility Relocation:</t>
  </si>
  <si>
    <r>
      <t xml:space="preserve">Relocate </t>
    </r>
    <r>
      <rPr>
        <sz val="10"/>
        <rFont val="MS Sans Serif"/>
        <family val="2"/>
      </rPr>
      <t>Utilities (4' beyond bottom of ditch)</t>
    </r>
  </si>
  <si>
    <r>
      <t xml:space="preserve">Relocate </t>
    </r>
    <r>
      <rPr>
        <sz val="10"/>
        <rFont val="MS Sans Serif"/>
      </rPr>
      <t>nonbreakaway utilities for the entire project length within 5' of R/W limits and at least 4' outside of the bottom of ditch</t>
    </r>
  </si>
  <si>
    <t>Number of poles relocated</t>
  </si>
  <si>
    <t>Deduct .04 miles for each object that will not be removed</t>
  </si>
  <si>
    <t>(Specify "NEW" or UPGRADE")</t>
  </si>
  <si>
    <t>Community facility</t>
  </si>
  <si>
    <t>Commercial facility</t>
  </si>
  <si>
    <t>ACP</t>
  </si>
  <si>
    <t xml:space="preserve">TYPE OF </t>
  </si>
  <si>
    <t>PERCENTAGE OF DISTRESS</t>
  </si>
  <si>
    <t>DISTRESS</t>
  </si>
  <si>
    <t>No Distress</t>
  </si>
  <si>
    <t>10%-30%</t>
  </si>
  <si>
    <t>&gt;30%</t>
  </si>
  <si>
    <t>Corrugations</t>
  </si>
  <si>
    <t>Alligator Cracking</t>
  </si>
  <si>
    <t>Ravelling</t>
  </si>
  <si>
    <t>Trans &amp; Long.. Cracking</t>
  </si>
  <si>
    <t>ROADWAY SURFACE CONDITION RATING:</t>
  </si>
  <si>
    <t>TOTAL</t>
  </si>
  <si>
    <t>ROADWAY SURFACE CONDITION -  PCC (15 Points Max.)</t>
  </si>
  <si>
    <t>PERCENTAGE OF DISTRESS:</t>
  </si>
  <si>
    <t>DISTRESS:</t>
  </si>
  <si>
    <t>Joint Spalling</t>
  </si>
  <si>
    <t>Pumping</t>
  </si>
  <si>
    <t>Faulting</t>
  </si>
  <si>
    <t>Pavement Wear</t>
  </si>
  <si>
    <t>ROADWAY SURFACE CONDITION RATING - PCC</t>
  </si>
  <si>
    <t>TOTAL STRUCTURE RATING</t>
  </si>
  <si>
    <t>Construction or industrial materials processing</t>
  </si>
  <si>
    <t>Storage or handling facitity</t>
  </si>
  <si>
    <t>Prop. Damage only</t>
  </si>
  <si>
    <t>Max. allowed is 10</t>
  </si>
  <si>
    <t>Available Points</t>
  </si>
  <si>
    <t>Maximum allowed = 20</t>
  </si>
  <si>
    <t>L.F. upgraded, installed</t>
  </si>
  <si>
    <t xml:space="preserve">Must upgarde all, and install </t>
  </si>
  <si>
    <t>new at all locations where slopes</t>
  </si>
  <si>
    <t xml:space="preserve"> remain and GR is warranted.</t>
  </si>
  <si>
    <t>Each</t>
  </si>
  <si>
    <t>Lin. Ft.</t>
  </si>
  <si>
    <t>(100's)</t>
  </si>
  <si>
    <t>Miles from project (&gt;0)</t>
  </si>
  <si>
    <t xml:space="preserve">weighted %  </t>
  </si>
  <si>
    <t>Traffic Volume (15 Points Max.)</t>
  </si>
  <si>
    <t>Accident History (15 Points Max.)</t>
  </si>
  <si>
    <t>ROADWAY SURFACE CONDITION - ACP AND ACP/PCC (10 Points Max.)</t>
  </si>
  <si>
    <t>ROADWAY SURFACE CONDITION -  PCC (10 Points Max.)</t>
  </si>
  <si>
    <t>Horizontal Alignment (3 Points Max.)</t>
  </si>
  <si>
    <t>Vertical Alignment (2 Points Max.)</t>
  </si>
  <si>
    <t>POINTS:</t>
  </si>
  <si>
    <t>ACP/PCC &amp; PCC</t>
  </si>
  <si>
    <r>
      <t xml:space="preserve">% </t>
    </r>
    <r>
      <rPr>
        <b/>
        <sz val="8"/>
        <rFont val="MS Sans Serif"/>
        <family val="2"/>
      </rPr>
      <t>Grade</t>
    </r>
  </si>
  <si>
    <t>Improved</t>
  </si>
  <si>
    <t>Def. Length</t>
  </si>
  <si>
    <t>Length of Vertical Deficiencies improved</t>
  </si>
  <si>
    <t xml:space="preserve">TOTAL PSR RAP 3R PROJECT RATING    </t>
  </si>
  <si>
    <t>3R Points:</t>
  </si>
  <si>
    <t>Project Length</t>
  </si>
  <si>
    <t>FED Function Class</t>
  </si>
  <si>
    <t>(Stopping Sight Distance)</t>
  </si>
  <si>
    <t>PS Region</t>
  </si>
  <si>
    <r>
      <t xml:space="preserve">1. Sideslopes:  claim points for slopes that are </t>
    </r>
    <r>
      <rPr>
        <b/>
        <u/>
        <sz val="10"/>
        <color indexed="10"/>
        <rFont val="Arial"/>
        <family val="2"/>
      </rPr>
      <t>6' or Higher and 2:1 or steeper</t>
    </r>
  </si>
  <si>
    <t>miles in 1 / 100s</t>
  </si>
  <si>
    <t>Total lane width both sides</t>
  </si>
  <si>
    <t>HORIZONTAL ALIGNMENT CALCULATION TABLES:</t>
  </si>
  <si>
    <t xml:space="preserve">Using the MINIMUM DESIGN SPEEDS table below as a guide, determine the adequacy </t>
  </si>
  <si>
    <t>Vertical Curves</t>
  </si>
  <si>
    <t>COMBINED POINTS</t>
  </si>
  <si>
    <t>Unreduced</t>
  </si>
  <si>
    <r>
      <t xml:space="preserve">Scores of existing curves Safe Speed compared to </t>
    </r>
    <r>
      <rPr>
        <b/>
        <sz val="10"/>
        <color rgb="FF0070C0"/>
        <rFont val="MS Sans Serif"/>
      </rPr>
      <t>Standard</t>
    </r>
  </si>
  <si>
    <t>Minimum Design Speed Table:</t>
  </si>
  <si>
    <t>(AASHTO 2001, p 145)</t>
  </si>
  <si>
    <t>See below</t>
  </si>
  <si>
    <t>Minimum Design Speed Calc</t>
  </si>
  <si>
    <t>&lt;2000</t>
  </si>
  <si>
    <t>Maountainous</t>
  </si>
  <si>
    <t xml:space="preserve">AADT &gt;&gt;&gt;     </t>
  </si>
  <si>
    <t>Safe Speed Calculation Table, based on Min Radiuses for 6% super</t>
  </si>
  <si>
    <t>All in one formula</t>
  </si>
  <si>
    <t>safe</t>
  </si>
  <si>
    <t>speed</t>
  </si>
  <si>
    <t>The traffic volume rating is based on the table below</t>
  </si>
  <si>
    <t>Community subtotal</t>
  </si>
  <si>
    <t>Commercial subtotal</t>
  </si>
  <si>
    <t>Total Local SignificancePoints:</t>
  </si>
  <si>
    <t>This score is incrementally reduced based on 15 Point max. for 3R vs 20 for RC</t>
  </si>
  <si>
    <t>This score is incrementally reduced based on 15 Point max. for 3R vs 25 for RC</t>
  </si>
  <si>
    <t>Local Significance</t>
  </si>
  <si>
    <t xml:space="preserve">Year  </t>
  </si>
  <si>
    <t>measured</t>
  </si>
  <si>
    <t>Truck AADT</t>
  </si>
  <si>
    <t>Vertical Alignment</t>
  </si>
  <si>
    <t>TOTAL RATING</t>
  </si>
  <si>
    <t>400-1500</t>
  </si>
  <si>
    <t>1500-2000</t>
  </si>
  <si>
    <t>3R RATING SUMMARY:</t>
  </si>
  <si>
    <t>(Click on underlined text to input project data)</t>
  </si>
  <si>
    <t>LOCAL SIGNIFICANCE</t>
  </si>
  <si>
    <t>(aassigned)</t>
  </si>
  <si>
    <t>Road Log NO.</t>
  </si>
  <si>
    <r>
      <t>Flatten sideslopes for fills</t>
    </r>
    <r>
      <rPr>
        <sz val="8"/>
        <rFont val="MS Sans Serif"/>
      </rPr>
      <t/>
    </r>
  </si>
  <si>
    <t xml:space="preserve">   6' or higher,
     and &lt; 2:1</t>
  </si>
  <si>
    <t>Min. Radius Calc:</t>
  </si>
  <si>
    <t>Min. Radius</t>
  </si>
  <si>
    <r>
      <t>3R</t>
    </r>
    <r>
      <rPr>
        <b/>
        <sz val="12"/>
        <rFont val="Arial"/>
        <family val="2"/>
      </rPr>
      <t xml:space="preserve"> PROJECT SUBMITTAL</t>
    </r>
  </si>
  <si>
    <t>Use the last three 
full years' reports</t>
  </si>
  <si>
    <t>See Below</t>
  </si>
  <si>
    <t xml:space="preserve"> - Attach Hazard Review Documentation</t>
  </si>
  <si>
    <t>PS -  3R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</si>
</sst>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
    <numFmt numFmtId="165" formatCode="0#"/>
    <numFmt numFmtId="166" formatCode="yyyy"/>
    <numFmt numFmtId="167" formatCode="0.000%"/>
  </numFmts>
  <fonts count="96" x14ac:knownFonts="1">
    <font>
      <sz val="10"/>
      <name val="MS Sans Serif"/>
    </font>
    <font>
      <b/>
      <sz val="10"/>
      <name val="MS Sans Serif"/>
    </font>
    <font>
      <sz val="10"/>
      <name val="MS Sans Serif"/>
      <family val="2"/>
    </font>
    <font>
      <u/>
      <sz val="10"/>
      <name val="MS Sans Serif"/>
      <family val="2"/>
    </font>
    <font>
      <u/>
      <sz val="10"/>
      <name val="Arial"/>
      <family val="2"/>
    </font>
    <font>
      <sz val="10"/>
      <name val="Arial"/>
      <family val="2"/>
    </font>
    <font>
      <b/>
      <u/>
      <sz val="10"/>
      <name val="MS Sans Serif"/>
      <family val="2"/>
    </font>
    <font>
      <b/>
      <u/>
      <sz val="10"/>
      <name val="Arial"/>
      <family val="2"/>
    </font>
    <font>
      <u/>
      <sz val="10"/>
      <name val="MS Sans Serif"/>
      <family val="2"/>
    </font>
    <font>
      <b/>
      <sz val="10"/>
      <name val="MS Sans Serif"/>
      <family val="2"/>
    </font>
    <font>
      <sz val="10"/>
      <name val="MS Sans Serif"/>
      <family val="2"/>
    </font>
    <font>
      <b/>
      <sz val="10"/>
      <name val="Arial"/>
      <family val="2"/>
    </font>
    <font>
      <b/>
      <sz val="10"/>
      <color indexed="61"/>
      <name val="MS Sans Serif"/>
      <family val="2"/>
    </font>
    <font>
      <sz val="10"/>
      <color indexed="61"/>
      <name val="MS Sans Serif"/>
      <family val="2"/>
    </font>
    <font>
      <sz val="10"/>
      <name val="Arial"/>
      <family val="2"/>
    </font>
    <font>
      <sz val="8"/>
      <color indexed="81"/>
      <name val="Tahoma"/>
      <family val="2"/>
    </font>
    <font>
      <sz val="10"/>
      <color indexed="10"/>
      <name val="MS Sans Serif"/>
      <family val="2"/>
    </font>
    <font>
      <sz val="10"/>
      <name val="MS Sans Serif"/>
      <family val="2"/>
    </font>
    <font>
      <b/>
      <sz val="8"/>
      <name val="MS Sans Serif"/>
      <family val="2"/>
    </font>
    <font>
      <sz val="8"/>
      <name val="MS Sans Serif"/>
      <family val="2"/>
    </font>
    <font>
      <b/>
      <u/>
      <sz val="8"/>
      <name val="MS Sans Serif"/>
      <family val="2"/>
    </font>
    <font>
      <b/>
      <sz val="10"/>
      <color indexed="10"/>
      <name val="MS Sans Serif"/>
      <family val="2"/>
    </font>
    <font>
      <b/>
      <sz val="10"/>
      <color indexed="14"/>
      <name val="MS Sans Serif"/>
      <family val="2"/>
    </font>
    <font>
      <b/>
      <u/>
      <sz val="10"/>
      <color indexed="14"/>
      <name val="Arial"/>
      <family val="2"/>
    </font>
    <font>
      <sz val="8"/>
      <name val="Arial"/>
      <family val="2"/>
    </font>
    <font>
      <u/>
      <sz val="8"/>
      <name val="Arial"/>
      <family val="2"/>
    </font>
    <font>
      <b/>
      <sz val="10"/>
      <color indexed="14"/>
      <name val="Arial"/>
      <family val="2"/>
    </font>
    <font>
      <b/>
      <sz val="8"/>
      <name val="Arial"/>
      <family val="2"/>
    </font>
    <font>
      <sz val="10"/>
      <color indexed="14"/>
      <name val="MS Sans Serif"/>
      <family val="2"/>
    </font>
    <font>
      <sz val="8"/>
      <name val="MS Sans Serif"/>
      <family val="2"/>
    </font>
    <font>
      <sz val="6"/>
      <name val="MS Sans Serif"/>
      <family val="2"/>
    </font>
    <font>
      <u/>
      <sz val="8"/>
      <name val="MS Sans Serif"/>
      <family val="2"/>
    </font>
    <font>
      <sz val="8.5"/>
      <name val="MS Sans Serif"/>
      <family val="2"/>
    </font>
    <font>
      <b/>
      <sz val="8"/>
      <color indexed="14"/>
      <name val="MS Sans Serif"/>
      <family val="2"/>
    </font>
    <font>
      <b/>
      <sz val="10"/>
      <color indexed="10"/>
      <name val="MS Sans Serif"/>
      <family val="2"/>
    </font>
    <font>
      <u/>
      <sz val="7.5"/>
      <color indexed="12"/>
      <name val="MS Sans Serif"/>
      <family val="2"/>
    </font>
    <font>
      <b/>
      <sz val="10"/>
      <color indexed="11"/>
      <name val="MS Sans Serif"/>
      <family val="2"/>
    </font>
    <font>
      <sz val="14"/>
      <name val="Courier New"/>
      <family val="3"/>
    </font>
    <font>
      <sz val="12"/>
      <name val="Arial"/>
      <family val="2"/>
    </font>
    <font>
      <b/>
      <sz val="12"/>
      <name val="Arial"/>
      <family val="2"/>
    </font>
    <font>
      <i/>
      <sz val="12"/>
      <name val="Arial"/>
      <family val="2"/>
    </font>
    <font>
      <u/>
      <sz val="10"/>
      <name val="Arial"/>
      <family val="2"/>
    </font>
    <font>
      <b/>
      <u/>
      <sz val="8"/>
      <color indexed="14"/>
      <name val="MS Sans Serif"/>
      <family val="2"/>
    </font>
    <font>
      <sz val="10"/>
      <color indexed="9"/>
      <name val="MS Sans Serif"/>
      <family val="2"/>
    </font>
    <font>
      <b/>
      <sz val="8"/>
      <color indexed="10"/>
      <name val="MS Sans Serif"/>
      <family val="2"/>
    </font>
    <font>
      <b/>
      <u/>
      <sz val="10"/>
      <color indexed="12"/>
      <name val="MS Sans Serif"/>
      <family val="2"/>
    </font>
    <font>
      <b/>
      <u/>
      <sz val="10"/>
      <color indexed="12"/>
      <name val="MS Sans Serif"/>
      <family val="2"/>
    </font>
    <font>
      <u/>
      <sz val="8"/>
      <name val="MS Sans Serif"/>
      <family val="2"/>
    </font>
    <font>
      <b/>
      <sz val="10"/>
      <color indexed="12"/>
      <name val="MS Sans Serif"/>
      <family val="2"/>
    </font>
    <font>
      <sz val="13.5"/>
      <name val="MS Sans Serif"/>
      <family val="2"/>
    </font>
    <font>
      <b/>
      <sz val="10"/>
      <color indexed="10"/>
      <name val="Arial"/>
      <family val="2"/>
    </font>
    <font>
      <b/>
      <u/>
      <sz val="8"/>
      <name val="Arial"/>
      <family val="2"/>
    </font>
    <font>
      <sz val="10"/>
      <name val="MS Sans Serif"/>
      <family val="2"/>
    </font>
    <font>
      <b/>
      <sz val="10"/>
      <color indexed="10"/>
      <name val="Arial"/>
      <family val="2"/>
    </font>
    <font>
      <sz val="8"/>
      <color indexed="10"/>
      <name val="Arial"/>
      <family val="2"/>
    </font>
    <font>
      <sz val="7"/>
      <name val="Arial"/>
      <family val="2"/>
    </font>
    <font>
      <strike/>
      <sz val="10"/>
      <name val="Arial"/>
      <family val="2"/>
    </font>
    <font>
      <strike/>
      <sz val="10"/>
      <name val="MS Sans Serif"/>
      <family val="2"/>
    </font>
    <font>
      <vertAlign val="superscript"/>
      <sz val="10"/>
      <name val="Arial"/>
      <family val="2"/>
    </font>
    <font>
      <sz val="10"/>
      <color indexed="10"/>
      <name val="MS Sans Serif"/>
      <family val="2"/>
    </font>
    <font>
      <sz val="18"/>
      <name val="Arial"/>
      <family val="2"/>
    </font>
    <font>
      <b/>
      <u/>
      <sz val="10"/>
      <color indexed="10"/>
      <name val="Arial"/>
      <family val="2"/>
    </font>
    <font>
      <sz val="6"/>
      <name val="Arial"/>
      <family val="2"/>
    </font>
    <font>
      <sz val="10"/>
      <name val="MS Sans Serif"/>
      <family val="2"/>
    </font>
    <font>
      <b/>
      <sz val="14"/>
      <name val="MS Sans Serif"/>
      <family val="2"/>
    </font>
    <font>
      <b/>
      <u/>
      <sz val="8"/>
      <name val="MS Sans Serif"/>
      <family val="2"/>
    </font>
    <font>
      <sz val="8"/>
      <name val="MS Sans Serif"/>
    </font>
    <font>
      <b/>
      <u/>
      <sz val="10"/>
      <color indexed="12"/>
      <name val="MS Sans Serif"/>
    </font>
    <font>
      <sz val="10"/>
      <color rgb="FFFF0000"/>
      <name val="MS Sans Serif"/>
      <family val="2"/>
    </font>
    <font>
      <sz val="10"/>
      <color theme="0" tint="-0.14999847407452621"/>
      <name val="MS Sans Serif"/>
      <family val="2"/>
    </font>
    <font>
      <sz val="10"/>
      <name val="MS Sans Serif"/>
    </font>
    <font>
      <sz val="10"/>
      <color theme="0"/>
      <name val="MS Sans Serif"/>
      <family val="2"/>
    </font>
    <font>
      <b/>
      <sz val="10"/>
      <color rgb="FF0070C0"/>
      <name val="MS Sans Serif"/>
    </font>
    <font>
      <u/>
      <sz val="10"/>
      <name val="MS Sans Serif"/>
    </font>
    <font>
      <b/>
      <sz val="8"/>
      <color indexed="81"/>
      <name val="Tahoma"/>
      <family val="2"/>
    </font>
    <font>
      <sz val="8"/>
      <color rgb="FFFF0000"/>
      <name val="MS Sans Serif"/>
    </font>
    <font>
      <sz val="7"/>
      <name val="MS Sans Serif"/>
    </font>
    <font>
      <b/>
      <sz val="10"/>
      <color indexed="12"/>
      <name val="Arial"/>
      <family val="2"/>
    </font>
    <font>
      <b/>
      <sz val="18"/>
      <name val="Arial"/>
      <family val="2"/>
    </font>
    <font>
      <b/>
      <sz val="14"/>
      <name val="Arial"/>
      <family val="2"/>
    </font>
    <font>
      <sz val="9"/>
      <name val="Arial"/>
      <family val="2"/>
    </font>
    <font>
      <b/>
      <sz val="12"/>
      <color indexed="10"/>
      <name val="Arial"/>
      <family val="2"/>
    </font>
    <font>
      <u/>
      <sz val="10"/>
      <color indexed="12"/>
      <name val="Arial"/>
      <family val="2"/>
    </font>
    <font>
      <b/>
      <u/>
      <sz val="12"/>
      <color indexed="10"/>
      <name val="Arial"/>
      <family val="2"/>
    </font>
    <font>
      <sz val="10"/>
      <color indexed="9"/>
      <name val="Arial"/>
      <family val="2"/>
    </font>
    <font>
      <b/>
      <u/>
      <sz val="7.5"/>
      <color indexed="12"/>
      <name val="Arial"/>
      <family val="2"/>
    </font>
    <font>
      <sz val="10"/>
      <color theme="0" tint="-0.14999847407452621"/>
      <name val="Arial"/>
      <family val="2"/>
    </font>
    <font>
      <u/>
      <sz val="10"/>
      <color theme="0" tint="-0.14999847407452621"/>
      <name val="Arial"/>
      <family val="2"/>
    </font>
    <font>
      <sz val="6"/>
      <color indexed="14"/>
      <name val="Arial"/>
      <family val="2"/>
    </font>
    <font>
      <u/>
      <sz val="7.5"/>
      <color indexed="12"/>
      <name val="Arial"/>
      <family val="2"/>
    </font>
    <font>
      <b/>
      <u/>
      <sz val="10"/>
      <color indexed="12"/>
      <name val="Arial"/>
      <family val="2"/>
    </font>
    <font>
      <sz val="8.5"/>
      <name val="Arial"/>
      <family val="2"/>
    </font>
    <font>
      <b/>
      <sz val="8"/>
      <color rgb="FFFF0000"/>
      <name val="MS Sans Serif"/>
    </font>
    <font>
      <u/>
      <sz val="10"/>
      <color indexed="12"/>
      <name val="MS Sans Serif"/>
      <family val="2"/>
    </font>
    <font>
      <sz val="10"/>
      <color rgb="FFFF0000"/>
      <name val="MS Sans Serif"/>
    </font>
    <font>
      <b/>
      <sz val="18"/>
      <name val="MS Sans Serif"/>
    </font>
  </fonts>
  <fills count="9">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4.9989318521683403E-2"/>
        <bgColor indexed="64"/>
      </patternFill>
    </fill>
  </fills>
  <borders count="54">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14"/>
      </left>
      <right style="medium">
        <color indexed="14"/>
      </right>
      <top style="medium">
        <color indexed="14"/>
      </top>
      <bottom style="medium">
        <color indexed="14"/>
      </bottom>
      <diagonal/>
    </border>
    <border>
      <left style="thin">
        <color indexed="64"/>
      </left>
      <right/>
      <top/>
      <bottom style="thin">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hair">
        <color indexed="64"/>
      </top>
      <bottom style="hair">
        <color indexed="64"/>
      </bottom>
      <diagonal/>
    </border>
    <border>
      <left/>
      <right/>
      <top style="medium">
        <color indexed="12"/>
      </top>
      <bottom/>
      <diagonal/>
    </border>
    <border>
      <left/>
      <right/>
      <top/>
      <bottom style="medium">
        <color indexed="12"/>
      </bottom>
      <diagonal/>
    </border>
    <border>
      <left style="medium">
        <color indexed="48"/>
      </left>
      <right/>
      <top/>
      <bottom/>
      <diagonal/>
    </border>
    <border>
      <left style="medium">
        <color indexed="12"/>
      </left>
      <right/>
      <top/>
      <bottom/>
      <diagonal/>
    </border>
    <border>
      <left style="medium">
        <color indexed="48"/>
      </left>
      <right/>
      <top style="medium">
        <color indexed="48"/>
      </top>
      <bottom/>
      <diagonal/>
    </border>
    <border>
      <left/>
      <right/>
      <top style="medium">
        <color indexed="48"/>
      </top>
      <bottom/>
      <diagonal/>
    </border>
    <border>
      <left/>
      <right style="medium">
        <color indexed="48"/>
      </right>
      <top style="medium">
        <color indexed="48"/>
      </top>
      <bottom/>
      <diagonal/>
    </border>
    <border>
      <left/>
      <right style="medium">
        <color indexed="48"/>
      </right>
      <top/>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style="medium">
        <color indexed="12"/>
      </top>
      <bottom/>
      <diagonal/>
    </border>
    <border>
      <left/>
      <right style="medium">
        <color indexed="12"/>
      </right>
      <top style="medium">
        <color indexed="12"/>
      </top>
      <bottom/>
      <diagonal/>
    </border>
    <border>
      <left/>
      <right style="medium">
        <color indexed="12"/>
      </right>
      <top/>
      <bottom/>
      <diagonal/>
    </border>
    <border>
      <left style="medium">
        <color indexed="12"/>
      </left>
      <right/>
      <top/>
      <bottom style="medium">
        <color indexed="12"/>
      </bottom>
      <diagonal/>
    </border>
    <border>
      <left/>
      <right style="medium">
        <color indexed="12"/>
      </right>
      <top/>
      <bottom style="medium">
        <color indexed="12"/>
      </bottom>
      <diagonal/>
    </border>
    <border>
      <left/>
      <right/>
      <top style="thin">
        <color indexed="64"/>
      </top>
      <bottom style="thin">
        <color indexed="64"/>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7030A0"/>
      </left>
      <right style="medium">
        <color rgb="FF7030A0"/>
      </right>
      <top style="medium">
        <color rgb="FF7030A0"/>
      </top>
      <bottom style="medium">
        <color rgb="FF7030A0"/>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
      <left style="thick">
        <color rgb="FF7030A0"/>
      </left>
      <right style="thick">
        <color rgb="FF7030A0"/>
      </right>
      <top style="thick">
        <color rgb="FF7030A0"/>
      </top>
      <bottom style="thick">
        <color rgb="FF7030A0"/>
      </bottom>
      <diagonal/>
    </border>
    <border>
      <left/>
      <right/>
      <top/>
      <bottom style="double">
        <color indexed="64"/>
      </bottom>
      <diagonal/>
    </border>
    <border>
      <left style="hair">
        <color indexed="64"/>
      </left>
      <right style="hair">
        <color indexed="64"/>
      </right>
      <top style="hair">
        <color indexed="64"/>
      </top>
      <bottom style="medium">
        <color indexed="64"/>
      </bottom>
      <diagonal/>
    </border>
  </borders>
  <cellStyleXfs count="5">
    <xf numFmtId="0" fontId="0" fillId="0" borderId="0"/>
    <xf numFmtId="0" fontId="35" fillId="0" borderId="0" applyNumberFormat="0" applyFill="0" applyBorder="0" applyAlignment="0" applyProtection="0">
      <alignment vertical="top"/>
      <protection locked="0"/>
    </xf>
    <xf numFmtId="0" fontId="14" fillId="0" borderId="0"/>
    <xf numFmtId="9" fontId="2" fillId="0" borderId="0" applyFont="0" applyFill="0" applyBorder="0" applyAlignment="0" applyProtection="0"/>
    <xf numFmtId="0" fontId="2" fillId="0" borderId="0"/>
  </cellStyleXfs>
  <cellXfs count="598">
    <xf numFmtId="0" fontId="0" fillId="0" borderId="0" xfId="0"/>
    <xf numFmtId="0" fontId="38" fillId="0" borderId="0" xfId="0" applyFont="1"/>
    <xf numFmtId="0" fontId="40" fillId="2" borderId="0" xfId="0" applyFont="1" applyFill="1"/>
    <xf numFmtId="0" fontId="38" fillId="2" borderId="0" xfId="0" applyFont="1" applyFill="1"/>
    <xf numFmtId="0" fontId="14" fillId="0" borderId="0" xfId="0" applyFont="1"/>
    <xf numFmtId="0" fontId="0" fillId="3" borderId="4" xfId="0" applyFill="1" applyBorder="1" applyAlignment="1" applyProtection="1">
      <alignment horizontal="center"/>
      <protection locked="0"/>
    </xf>
    <xf numFmtId="2" fontId="0" fillId="3" borderId="4" xfId="0" applyNumberFormat="1" applyFill="1" applyBorder="1" applyAlignment="1" applyProtection="1">
      <alignment horizontal="center"/>
      <protection locked="0"/>
    </xf>
    <xf numFmtId="0" fontId="0" fillId="3" borderId="12" xfId="0" applyFill="1" applyBorder="1" applyAlignment="1" applyProtection="1">
      <alignment horizontal="center"/>
      <protection locked="0"/>
    </xf>
    <xf numFmtId="0" fontId="5" fillId="3" borderId="4" xfId="0" applyFont="1" applyFill="1" applyBorder="1" applyAlignment="1" applyProtection="1">
      <alignment horizontal="center"/>
      <protection locked="0"/>
    </xf>
    <xf numFmtId="0" fontId="0" fillId="0" borderId="0" xfId="0" applyFill="1" applyBorder="1" applyAlignment="1" applyProtection="1">
      <alignment horizontal="center"/>
    </xf>
    <xf numFmtId="0" fontId="0" fillId="0" borderId="0" xfId="0" applyFill="1" applyProtection="1"/>
    <xf numFmtId="166" fontId="16" fillId="0" borderId="0" xfId="0" applyNumberFormat="1" applyFont="1" applyFill="1" applyBorder="1" applyAlignment="1" applyProtection="1">
      <alignment horizontal="center"/>
    </xf>
    <xf numFmtId="0" fontId="29" fillId="0" borderId="0" xfId="0" applyFont="1" applyFill="1" applyBorder="1" applyAlignment="1" applyProtection="1">
      <alignment horizontal="left"/>
    </xf>
    <xf numFmtId="0" fontId="19" fillId="0" borderId="0" xfId="0" applyFont="1" applyFill="1" applyBorder="1" applyAlignment="1" applyProtection="1">
      <alignment horizontal="left"/>
    </xf>
    <xf numFmtId="0" fontId="47" fillId="0" borderId="0" xfId="0" applyFont="1" applyFill="1" applyBorder="1" applyAlignment="1" applyProtection="1">
      <alignment horizontal="left"/>
    </xf>
    <xf numFmtId="0" fontId="24" fillId="0" borderId="0" xfId="0" applyFont="1" applyFill="1" applyBorder="1" applyProtection="1"/>
    <xf numFmtId="9" fontId="3" fillId="0" borderId="0" xfId="3" applyFont="1" applyFill="1" applyBorder="1" applyAlignment="1" applyProtection="1">
      <alignment horizontal="left"/>
    </xf>
    <xf numFmtId="0" fontId="5" fillId="0" borderId="4" xfId="0" quotePrefix="1" applyFont="1" applyFill="1" applyBorder="1" applyAlignment="1" applyProtection="1">
      <alignment horizontal="center"/>
    </xf>
    <xf numFmtId="0" fontId="34" fillId="0" borderId="4" xfId="0" applyFont="1" applyFill="1" applyBorder="1" applyAlignment="1" applyProtection="1">
      <alignment horizontal="center"/>
    </xf>
    <xf numFmtId="0" fontId="34" fillId="0" borderId="4" xfId="0" quotePrefix="1" applyFont="1" applyFill="1" applyBorder="1" applyAlignment="1" applyProtection="1">
      <alignment horizontal="center"/>
    </xf>
    <xf numFmtId="0" fontId="5"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11" xfId="0" applyFill="1" applyBorder="1" applyAlignment="1" applyProtection="1">
      <alignment horizontal="center"/>
    </xf>
    <xf numFmtId="0" fontId="0" fillId="0" borderId="4" xfId="0" applyFill="1" applyBorder="1" applyAlignment="1" applyProtection="1">
      <alignment horizontal="center"/>
    </xf>
    <xf numFmtId="0" fontId="10" fillId="0" borderId="0" xfId="0" applyFont="1" applyFill="1" applyBorder="1" applyAlignment="1" applyProtection="1">
      <alignment horizontal="right"/>
    </xf>
    <xf numFmtId="0" fontId="0" fillId="0" borderId="7" xfId="0" applyFill="1" applyBorder="1" applyAlignment="1" applyProtection="1">
      <alignment horizontal="center"/>
    </xf>
    <xf numFmtId="0" fontId="16" fillId="0" borderId="0" xfId="0" applyFont="1" applyFill="1" applyBorder="1" applyAlignment="1" applyProtection="1">
      <alignment horizontal="left" vertical="center"/>
    </xf>
    <xf numFmtId="0" fontId="10" fillId="0" borderId="0" xfId="0" applyFont="1" applyFill="1" applyBorder="1" applyAlignment="1" applyProtection="1">
      <alignment horizontal="center"/>
    </xf>
    <xf numFmtId="0" fontId="0" fillId="0" borderId="0" xfId="0" applyBorder="1" applyAlignment="1" applyProtection="1">
      <alignment horizontal="left"/>
    </xf>
    <xf numFmtId="0" fontId="0" fillId="0" borderId="0" xfId="0" applyBorder="1" applyProtection="1"/>
    <xf numFmtId="0" fontId="6" fillId="0" borderId="0" xfId="0" applyFont="1" applyBorder="1" applyAlignment="1" applyProtection="1">
      <alignment horizontal="left"/>
    </xf>
    <xf numFmtId="0" fontId="4" fillId="0" borderId="0" xfId="0" applyFont="1" applyBorder="1" applyAlignment="1" applyProtection="1">
      <alignment horizontal="left"/>
    </xf>
    <xf numFmtId="0" fontId="0" fillId="0" borderId="0" xfId="0" applyBorder="1" applyAlignment="1" applyProtection="1">
      <alignment horizontal="center"/>
    </xf>
    <xf numFmtId="0" fontId="11" fillId="0" borderId="0" xfId="0" applyFont="1" applyBorder="1" applyAlignment="1" applyProtection="1">
      <alignment horizontal="left"/>
    </xf>
    <xf numFmtId="0" fontId="41" fillId="0" borderId="0" xfId="0" applyFont="1" applyBorder="1" applyAlignment="1" applyProtection="1">
      <alignment horizontal="left"/>
    </xf>
    <xf numFmtId="0" fontId="0" fillId="0" borderId="0" xfId="0" applyBorder="1" applyAlignment="1" applyProtection="1"/>
    <xf numFmtId="2" fontId="0" fillId="0" borderId="4" xfId="0" applyNumberFormat="1" applyFill="1" applyBorder="1" applyAlignment="1" applyProtection="1">
      <alignment horizontal="center"/>
    </xf>
    <xf numFmtId="0" fontId="2" fillId="3" borderId="4" xfId="0" applyFont="1" applyFill="1" applyBorder="1" applyAlignment="1" applyProtection="1">
      <alignment horizontal="center"/>
      <protection locked="0"/>
    </xf>
    <xf numFmtId="0" fontId="2" fillId="0" borderId="11" xfId="0" applyFont="1" applyFill="1" applyBorder="1" applyAlignment="1" applyProtection="1">
      <alignment horizontal="center"/>
    </xf>
    <xf numFmtId="0" fontId="63" fillId="0" borderId="14" xfId="0" applyFont="1" applyFill="1" applyBorder="1" applyAlignment="1" applyProtection="1">
      <alignment horizontal="center"/>
    </xf>
    <xf numFmtId="0" fontId="52" fillId="0" borderId="14" xfId="0" applyFont="1" applyFill="1" applyBorder="1" applyAlignment="1" applyProtection="1">
      <alignment horizontal="center"/>
    </xf>
    <xf numFmtId="0" fontId="17" fillId="0" borderId="14" xfId="0" applyFont="1" applyFill="1" applyBorder="1" applyAlignment="1" applyProtection="1">
      <alignment horizontal="center"/>
    </xf>
    <xf numFmtId="0" fontId="17" fillId="0" borderId="1" xfId="0" applyFont="1" applyFill="1" applyBorder="1" applyAlignment="1" applyProtection="1">
      <alignment horizontal="center"/>
    </xf>
    <xf numFmtId="0" fontId="29" fillId="0" borderId="0" xfId="0" applyFont="1" applyFill="1" applyBorder="1" applyProtection="1"/>
    <xf numFmtId="0" fontId="29" fillId="0" borderId="0" xfId="0" applyFont="1" applyFill="1" applyBorder="1" applyAlignment="1" applyProtection="1">
      <alignment horizontal="right"/>
    </xf>
    <xf numFmtId="0" fontId="0" fillId="0" borderId="0" xfId="0" applyFill="1" applyBorder="1" applyProtection="1"/>
    <xf numFmtId="0" fontId="46" fillId="0" borderId="0" xfId="1" applyFont="1" applyFill="1" applyBorder="1" applyAlignment="1" applyProtection="1"/>
    <xf numFmtId="0" fontId="3" fillId="0" borderId="0" xfId="0" applyFont="1" applyFill="1" applyBorder="1" applyAlignment="1" applyProtection="1">
      <alignment horizontal="center"/>
    </xf>
    <xf numFmtId="0" fontId="5" fillId="0" borderId="0" xfId="0" applyFont="1" applyFill="1" applyBorder="1" applyAlignment="1" applyProtection="1">
      <alignment horizontal="center"/>
    </xf>
    <xf numFmtId="2" fontId="0" fillId="0" borderId="0" xfId="0" applyNumberFormat="1" applyFill="1" applyBorder="1" applyAlignment="1" applyProtection="1">
      <alignment horizontal="center"/>
    </xf>
    <xf numFmtId="0" fontId="1" fillId="0" borderId="0" xfId="0" applyFont="1" applyFill="1" applyBorder="1" applyAlignment="1" applyProtection="1">
      <alignment horizontal="center"/>
    </xf>
    <xf numFmtId="2" fontId="0" fillId="0" borderId="1" xfId="0" applyNumberFormat="1" applyFill="1" applyBorder="1" applyAlignment="1" applyProtection="1">
      <alignment horizontal="center"/>
    </xf>
    <xf numFmtId="0" fontId="10" fillId="0" borderId="4" xfId="0" applyFont="1" applyFill="1" applyBorder="1" applyAlignment="1" applyProtection="1">
      <alignment horizontal="center"/>
    </xf>
    <xf numFmtId="0" fontId="11" fillId="0" borderId="0" xfId="0" applyFont="1" applyFill="1" applyBorder="1" applyAlignment="1" applyProtection="1">
      <alignment horizontal="center"/>
    </xf>
    <xf numFmtId="0" fontId="0" fillId="0" borderId="0" xfId="0" applyFill="1" applyBorder="1" applyAlignment="1" applyProtection="1">
      <alignment horizontal="right"/>
    </xf>
    <xf numFmtId="0" fontId="21" fillId="0" borderId="0" xfId="0" applyFont="1" applyFill="1" applyBorder="1" applyProtection="1"/>
    <xf numFmtId="0" fontId="9" fillId="0" borderId="0" xfId="0" applyFont="1" applyFill="1" applyBorder="1" applyProtection="1"/>
    <xf numFmtId="0" fontId="5" fillId="0" borderId="0" xfId="2" applyFont="1" applyFill="1" applyBorder="1" applyProtection="1"/>
    <xf numFmtId="0" fontId="2" fillId="0" borderId="0" xfId="0" applyFont="1" applyFill="1" applyBorder="1" applyProtection="1"/>
    <xf numFmtId="0" fontId="25" fillId="0" borderId="1" xfId="0" applyFont="1" applyBorder="1" applyAlignment="1" applyProtection="1">
      <alignment horizontal="center"/>
    </xf>
    <xf numFmtId="0" fontId="60" fillId="0" borderId="0" xfId="0" applyFont="1" applyBorder="1" applyAlignment="1" applyProtection="1"/>
    <xf numFmtId="0" fontId="0" fillId="0" borderId="0" xfId="0" applyBorder="1" applyAlignment="1" applyProtection="1">
      <alignment horizontal="right"/>
    </xf>
    <xf numFmtId="0" fontId="0" fillId="4" borderId="0" xfId="0" applyFill="1" applyProtection="1"/>
    <xf numFmtId="0" fontId="65" fillId="0" borderId="0" xfId="0" applyFont="1" applyFill="1" applyBorder="1" applyAlignment="1" applyProtection="1">
      <alignment horizontal="left"/>
    </xf>
    <xf numFmtId="0" fontId="16" fillId="0" borderId="0" xfId="0" applyFont="1" applyFill="1" applyBorder="1" applyProtection="1"/>
    <xf numFmtId="0" fontId="19" fillId="0" borderId="0" xfId="0" applyFont="1" applyFill="1" applyBorder="1" applyAlignment="1" applyProtection="1">
      <alignment horizontal="center"/>
    </xf>
    <xf numFmtId="4" fontId="9" fillId="0" borderId="4" xfId="0" applyNumberFormat="1" applyFont="1" applyFill="1" applyBorder="1" applyAlignment="1" applyProtection="1">
      <alignment horizontal="center"/>
    </xf>
    <xf numFmtId="0" fontId="29" fillId="0" borderId="0" xfId="0" applyFont="1" applyFill="1" applyBorder="1" applyAlignment="1" applyProtection="1">
      <alignment horizontal="center" vertical="top"/>
    </xf>
    <xf numFmtId="0" fontId="46" fillId="0" borderId="0" xfId="1" applyFont="1" applyFill="1" applyBorder="1" applyAlignment="1" applyProtection="1">
      <alignment horizontal="center"/>
    </xf>
    <xf numFmtId="0" fontId="44" fillId="0" borderId="0" xfId="0" applyFont="1" applyFill="1" applyBorder="1" applyAlignment="1" applyProtection="1">
      <alignment horizontal="left"/>
    </xf>
    <xf numFmtId="0" fontId="27" fillId="0" borderId="0" xfId="0" applyFont="1" applyFill="1" applyBorder="1" applyProtection="1"/>
    <xf numFmtId="0" fontId="51" fillId="0" borderId="0" xfId="0" applyFont="1" applyFill="1" applyBorder="1" applyProtection="1"/>
    <xf numFmtId="2" fontId="0" fillId="0" borderId="12" xfId="0" quotePrefix="1" applyNumberFormat="1" applyFill="1" applyBorder="1" applyAlignment="1" applyProtection="1">
      <alignment horizontal="center"/>
    </xf>
    <xf numFmtId="2" fontId="0" fillId="0" borderId="7" xfId="0" quotePrefix="1" applyNumberFormat="1" applyFill="1" applyBorder="1" applyAlignment="1" applyProtection="1">
      <alignment horizontal="center"/>
    </xf>
    <xf numFmtId="0" fontId="20" fillId="0" borderId="0" xfId="0" applyFont="1" applyFill="1" applyBorder="1" applyAlignment="1" applyProtection="1">
      <alignment horizontal="center"/>
    </xf>
    <xf numFmtId="0" fontId="0" fillId="0" borderId="32" xfId="0" applyFill="1" applyBorder="1" applyProtection="1"/>
    <xf numFmtId="0" fontId="0" fillId="0" borderId="33" xfId="0" applyFill="1" applyBorder="1" applyProtection="1"/>
    <xf numFmtId="0" fontId="0" fillId="0" borderId="34" xfId="0" applyFill="1" applyBorder="1" applyProtection="1"/>
    <xf numFmtId="0" fontId="0" fillId="0" borderId="35" xfId="0" applyFill="1" applyBorder="1" applyProtection="1"/>
    <xf numFmtId="0" fontId="0" fillId="0" borderId="36" xfId="0" applyFill="1" applyBorder="1" applyProtection="1"/>
    <xf numFmtId="0" fontId="0" fillId="0" borderId="37" xfId="0" applyFill="1" applyBorder="1" applyProtection="1"/>
    <xf numFmtId="0" fontId="0" fillId="0" borderId="38" xfId="0" applyFill="1" applyBorder="1" applyProtection="1"/>
    <xf numFmtId="165" fontId="5" fillId="0" borderId="38" xfId="0" applyNumberFormat="1" applyFont="1" applyFill="1" applyBorder="1" applyAlignment="1" applyProtection="1">
      <alignment horizontal="center"/>
    </xf>
    <xf numFmtId="0" fontId="36" fillId="0" borderId="38" xfId="0" applyFont="1" applyFill="1" applyBorder="1" applyProtection="1"/>
    <xf numFmtId="0" fontId="10" fillId="0" borderId="0" xfId="0" applyFont="1" applyFill="1" applyBorder="1" applyAlignment="1" applyProtection="1">
      <alignment horizontal="left"/>
    </xf>
    <xf numFmtId="0" fontId="10" fillId="0" borderId="0" xfId="1" applyFont="1" applyFill="1" applyBorder="1" applyAlignment="1" applyProtection="1">
      <alignment horizontal="center"/>
    </xf>
    <xf numFmtId="0" fontId="5" fillId="0" borderId="0" xfId="0" applyFont="1" applyBorder="1" applyAlignment="1" applyProtection="1">
      <alignment horizontal="left"/>
    </xf>
    <xf numFmtId="0" fontId="0" fillId="0" borderId="39" xfId="0" applyFill="1" applyBorder="1" applyProtection="1"/>
    <xf numFmtId="0" fontId="21" fillId="0" borderId="0" xfId="0" applyFont="1" applyFill="1" applyBorder="1" applyAlignment="1" applyProtection="1">
      <alignment horizontal="right"/>
    </xf>
    <xf numFmtId="0" fontId="29" fillId="0" borderId="33" xfId="0" applyFont="1" applyFill="1" applyBorder="1" applyAlignment="1" applyProtection="1">
      <alignment wrapText="1"/>
    </xf>
    <xf numFmtId="0" fontId="21" fillId="0" borderId="38" xfId="0" applyFont="1" applyFill="1" applyBorder="1" applyAlignment="1" applyProtection="1">
      <alignment horizontal="right"/>
    </xf>
    <xf numFmtId="0" fontId="18" fillId="0" borderId="0" xfId="0" applyFont="1" applyFill="1" applyBorder="1" applyAlignment="1" applyProtection="1"/>
    <xf numFmtId="0" fontId="43" fillId="0" borderId="0" xfId="0" applyFont="1" applyFill="1" applyBorder="1" applyProtection="1"/>
    <xf numFmtId="0" fontId="6" fillId="0" borderId="35" xfId="0" applyFont="1" applyFill="1" applyBorder="1" applyAlignment="1" applyProtection="1">
      <alignment textRotation="90"/>
    </xf>
    <xf numFmtId="0" fontId="18" fillId="0" borderId="0" xfId="0" applyFont="1" applyFill="1" applyBorder="1" applyAlignment="1" applyProtection="1">
      <alignment horizontal="left"/>
    </xf>
    <xf numFmtId="0" fontId="19" fillId="0" borderId="0" xfId="0" applyFont="1" applyFill="1" applyBorder="1" applyProtection="1"/>
    <xf numFmtId="0" fontId="31" fillId="0" borderId="0" xfId="0" applyFont="1" applyFill="1" applyBorder="1" applyAlignment="1" applyProtection="1">
      <alignment horizontal="center"/>
    </xf>
    <xf numFmtId="0" fontId="18" fillId="0" borderId="0" xfId="0" applyFont="1" applyFill="1" applyBorder="1" applyProtection="1"/>
    <xf numFmtId="0" fontId="0" fillId="0" borderId="35" xfId="0" applyFill="1" applyBorder="1" applyAlignment="1" applyProtection="1">
      <alignment horizontal="center"/>
    </xf>
    <xf numFmtId="9" fontId="0" fillId="0" borderId="0" xfId="0" applyNumberFormat="1" applyFill="1" applyBorder="1" applyAlignment="1" applyProtection="1">
      <alignment horizontal="left"/>
    </xf>
    <xf numFmtId="0" fontId="29" fillId="0" borderId="38" xfId="0" applyFont="1" applyFill="1" applyBorder="1" applyProtection="1"/>
    <xf numFmtId="0" fontId="44" fillId="0" borderId="38" xfId="0" applyFont="1" applyFill="1" applyBorder="1" applyAlignment="1" applyProtection="1">
      <alignment horizontal="center"/>
    </xf>
    <xf numFmtId="0" fontId="42" fillId="0" borderId="33" xfId="0" applyFont="1" applyFill="1" applyBorder="1" applyAlignment="1" applyProtection="1">
      <alignment horizontal="left"/>
    </xf>
    <xf numFmtId="0" fontId="0" fillId="0" borderId="33" xfId="0" applyFill="1" applyBorder="1" applyAlignment="1" applyProtection="1">
      <alignment horizontal="left"/>
    </xf>
    <xf numFmtId="0" fontId="48" fillId="0" borderId="0" xfId="0" applyFont="1" applyFill="1" applyBorder="1" applyAlignment="1" applyProtection="1"/>
    <xf numFmtId="0" fontId="16" fillId="0" borderId="0" xfId="0" applyFont="1" applyFill="1" applyBorder="1" applyAlignment="1" applyProtection="1">
      <alignment horizontal="left"/>
    </xf>
    <xf numFmtId="0" fontId="53" fillId="0" borderId="0" xfId="0" applyFont="1" applyFill="1" applyBorder="1" applyAlignment="1" applyProtection="1">
      <alignment horizontal="left"/>
    </xf>
    <xf numFmtId="0" fontId="9" fillId="0" borderId="0" xfId="0" applyFont="1" applyBorder="1" applyAlignment="1" applyProtection="1">
      <alignment horizontal="right"/>
    </xf>
    <xf numFmtId="0" fontId="0" fillId="0" borderId="36" xfId="0" applyBorder="1" applyAlignment="1" applyProtection="1">
      <alignment horizontal="center"/>
    </xf>
    <xf numFmtId="0" fontId="9" fillId="0" borderId="0" xfId="0" applyFont="1" applyFill="1" applyBorder="1" applyAlignment="1" applyProtection="1">
      <alignment horizontal="right"/>
    </xf>
    <xf numFmtId="0" fontId="2" fillId="0" borderId="0" xfId="0" applyFont="1" applyFill="1" applyBorder="1" applyAlignment="1" applyProtection="1">
      <alignment horizontal="left"/>
    </xf>
    <xf numFmtId="0" fontId="2" fillId="0" borderId="0" xfId="0" applyFont="1" applyFill="1" applyBorder="1" applyAlignment="1" applyProtection="1"/>
    <xf numFmtId="0" fontId="17" fillId="0" borderId="0" xfId="0" applyFont="1" applyFill="1" applyBorder="1" applyAlignment="1" applyProtection="1">
      <alignment horizontal="left"/>
    </xf>
    <xf numFmtId="0" fontId="17" fillId="0" borderId="0" xfId="0" applyFont="1" applyFill="1" applyBorder="1" applyProtection="1"/>
    <xf numFmtId="0" fontId="63" fillId="0" borderId="0" xfId="0" applyFont="1" applyFill="1" applyBorder="1" applyProtection="1"/>
    <xf numFmtId="0" fontId="52" fillId="0" borderId="0" xfId="0" applyFont="1" applyFill="1" applyBorder="1" applyProtection="1"/>
    <xf numFmtId="0" fontId="11" fillId="0" borderId="0" xfId="0" applyFont="1" applyFill="1" applyBorder="1" applyProtection="1"/>
    <xf numFmtId="0" fontId="0" fillId="0" borderId="36" xfId="0" applyBorder="1" applyAlignment="1" applyProtection="1">
      <alignment horizontal="left"/>
    </xf>
    <xf numFmtId="0" fontId="34" fillId="0" borderId="0" xfId="0" applyFont="1" applyFill="1" applyBorder="1" applyAlignment="1" applyProtection="1">
      <alignment wrapText="1"/>
    </xf>
    <xf numFmtId="0" fontId="21" fillId="0" borderId="0" xfId="0" applyFont="1" applyFill="1" applyBorder="1" applyAlignment="1" applyProtection="1">
      <alignment horizontal="center" vertical="top" wrapText="1"/>
    </xf>
    <xf numFmtId="0" fontId="41" fillId="0" borderId="0" xfId="0" applyFont="1" applyFill="1" applyBorder="1" applyProtection="1"/>
    <xf numFmtId="0" fontId="55" fillId="0" borderId="0" xfId="0" applyFont="1" applyFill="1" applyBorder="1" applyProtection="1"/>
    <xf numFmtId="0" fontId="9" fillId="0" borderId="0" xfId="0" applyFont="1" applyFill="1" applyBorder="1" applyAlignment="1" applyProtection="1">
      <alignment horizontal="left"/>
    </xf>
    <xf numFmtId="0" fontId="50" fillId="0" borderId="0" xfId="0" applyFont="1" applyFill="1" applyBorder="1" applyProtection="1"/>
    <xf numFmtId="0" fontId="56" fillId="0" borderId="0" xfId="0" applyFont="1" applyFill="1" applyBorder="1" applyProtection="1"/>
    <xf numFmtId="0" fontId="57" fillId="0" borderId="0" xfId="0" applyFont="1" applyFill="1" applyBorder="1" applyAlignment="1" applyProtection="1">
      <alignment horizontal="left"/>
    </xf>
    <xf numFmtId="0" fontId="59" fillId="0" borderId="0" xfId="0" applyFont="1" applyFill="1" applyBorder="1" applyAlignment="1" applyProtection="1">
      <alignment horizontal="left"/>
    </xf>
    <xf numFmtId="0" fontId="14" fillId="0" borderId="0" xfId="0" applyFont="1" applyFill="1" applyBorder="1" applyAlignment="1" applyProtection="1">
      <alignment horizontal="left"/>
    </xf>
    <xf numFmtId="0" fontId="11" fillId="0" borderId="0" xfId="0" applyFont="1" applyFill="1" applyBorder="1" applyAlignment="1" applyProtection="1">
      <alignment horizontal="right"/>
    </xf>
    <xf numFmtId="0" fontId="0" fillId="0" borderId="35" xfId="0" applyFill="1" applyBorder="1" applyAlignment="1" applyProtection="1">
      <alignment horizontal="left"/>
    </xf>
    <xf numFmtId="0" fontId="0" fillId="0" borderId="0" xfId="0" applyAlignment="1" applyProtection="1">
      <alignment horizontal="right"/>
    </xf>
    <xf numFmtId="2" fontId="5" fillId="5" borderId="0" xfId="0" applyNumberFormat="1" applyFont="1" applyFill="1" applyBorder="1" applyAlignment="1" applyProtection="1">
      <alignment horizontal="center"/>
    </xf>
    <xf numFmtId="1" fontId="24" fillId="5" borderId="0" xfId="0" applyNumberFormat="1" applyFont="1" applyFill="1" applyBorder="1" applyAlignment="1" applyProtection="1">
      <alignment horizontal="center"/>
    </xf>
    <xf numFmtId="1" fontId="5" fillId="5" borderId="0" xfId="0" applyNumberFormat="1" applyFont="1" applyFill="1" applyBorder="1" applyAlignment="1" applyProtection="1">
      <alignment horizontal="center"/>
    </xf>
    <xf numFmtId="1" fontId="5" fillId="5" borderId="0" xfId="0" applyNumberFormat="1" applyFont="1" applyFill="1" applyBorder="1" applyAlignment="1" applyProtection="1">
      <alignment horizontal="center" vertical="top"/>
    </xf>
    <xf numFmtId="1" fontId="11" fillId="5" borderId="0" xfId="0" applyNumberFormat="1" applyFont="1" applyFill="1" applyBorder="1" applyAlignment="1" applyProtection="1">
      <alignment horizontal="center"/>
    </xf>
    <xf numFmtId="0" fontId="36" fillId="0" borderId="33" xfId="0" applyFont="1" applyFill="1" applyBorder="1" applyProtection="1"/>
    <xf numFmtId="0" fontId="0" fillId="5" borderId="0" xfId="0" applyFill="1" applyProtection="1"/>
    <xf numFmtId="0" fontId="0" fillId="6" borderId="0" xfId="0" applyFill="1" applyBorder="1" applyProtection="1"/>
    <xf numFmtId="0" fontId="29" fillId="6" borderId="0" xfId="0" applyFont="1" applyFill="1" applyBorder="1" applyAlignment="1" applyProtection="1">
      <alignment horizontal="left"/>
    </xf>
    <xf numFmtId="0" fontId="0" fillId="6" borderId="0" xfId="0" applyFill="1" applyBorder="1" applyAlignment="1" applyProtection="1">
      <alignment horizontal="left"/>
    </xf>
    <xf numFmtId="0" fontId="0" fillId="6" borderId="0" xfId="0" applyFill="1" applyBorder="1" applyAlignment="1" applyProtection="1">
      <alignment horizontal="center"/>
    </xf>
    <xf numFmtId="0" fontId="0" fillId="6" borderId="0" xfId="0" applyFill="1" applyProtection="1"/>
    <xf numFmtId="0" fontId="52" fillId="6" borderId="0" xfId="0" applyFont="1" applyFill="1" applyProtection="1"/>
    <xf numFmtId="0" fontId="2" fillId="6" borderId="0" xfId="0" applyFont="1" applyFill="1" applyProtection="1"/>
    <xf numFmtId="0" fontId="2" fillId="6" borderId="0" xfId="0" applyFont="1" applyFill="1" applyBorder="1" applyAlignment="1" applyProtection="1">
      <alignment horizontal="left"/>
    </xf>
    <xf numFmtId="0" fontId="3" fillId="6" borderId="0" xfId="0" applyFont="1" applyFill="1" applyBorder="1" applyAlignment="1" applyProtection="1">
      <alignment horizontal="left"/>
    </xf>
    <xf numFmtId="0" fontId="17" fillId="6" borderId="0" xfId="0" applyFont="1" applyFill="1" applyProtection="1"/>
    <xf numFmtId="0" fontId="52" fillId="6" borderId="0" xfId="0" applyFont="1" applyFill="1" applyBorder="1" applyProtection="1"/>
    <xf numFmtId="0" fontId="29" fillId="6" borderId="0" xfId="0" applyFont="1" applyFill="1" applyProtection="1"/>
    <xf numFmtId="2" fontId="29" fillId="6" borderId="0" xfId="0" applyNumberFormat="1" applyFont="1" applyFill="1" applyBorder="1" applyAlignment="1" applyProtection="1">
      <alignment horizontal="left"/>
    </xf>
    <xf numFmtId="0" fontId="0" fillId="6" borderId="0" xfId="0" applyFill="1" applyAlignment="1" applyProtection="1">
      <alignment horizontal="center"/>
    </xf>
    <xf numFmtId="0" fontId="8" fillId="6" borderId="7" xfId="0" applyFont="1" applyFill="1" applyBorder="1" applyAlignment="1" applyProtection="1">
      <alignment horizontal="left"/>
    </xf>
    <xf numFmtId="0" fontId="8" fillId="6" borderId="8" xfId="0" applyFont="1" applyFill="1" applyBorder="1" applyAlignment="1" applyProtection="1">
      <alignment horizontal="left"/>
    </xf>
    <xf numFmtId="0" fontId="3" fillId="6" borderId="0" xfId="0" applyFont="1" applyFill="1" applyAlignment="1" applyProtection="1">
      <alignment horizontal="center"/>
    </xf>
    <xf numFmtId="0" fontId="0" fillId="6" borderId="0" xfId="0" applyFill="1" applyAlignment="1" applyProtection="1">
      <alignment horizontal="left"/>
    </xf>
    <xf numFmtId="0" fontId="69" fillId="6" borderId="0" xfId="0" applyFont="1" applyFill="1" applyAlignment="1" applyProtection="1">
      <alignment horizontal="center"/>
    </xf>
    <xf numFmtId="165" fontId="5" fillId="6" borderId="0" xfId="0" applyNumberFormat="1" applyFont="1" applyFill="1" applyBorder="1" applyAlignment="1" applyProtection="1">
      <alignment horizontal="center"/>
    </xf>
    <xf numFmtId="0" fontId="36" fillId="6" borderId="0" xfId="0" applyFont="1" applyFill="1" applyBorder="1" applyProtection="1"/>
    <xf numFmtId="0" fontId="21" fillId="0" borderId="0" xfId="0" applyFont="1" applyFill="1" applyBorder="1" applyAlignment="1" applyProtection="1"/>
    <xf numFmtId="0" fontId="0" fillId="6" borderId="33" xfId="0" applyFill="1" applyBorder="1" applyProtection="1"/>
    <xf numFmtId="0" fontId="29" fillId="6" borderId="33" xfId="0" applyFont="1" applyFill="1" applyBorder="1" applyProtection="1"/>
    <xf numFmtId="0" fontId="44" fillId="6" borderId="33" xfId="0" applyFont="1" applyFill="1" applyBorder="1" applyAlignment="1" applyProtection="1">
      <alignment horizontal="center"/>
    </xf>
    <xf numFmtId="0" fontId="29" fillId="6" borderId="0" xfId="0" applyFont="1" applyFill="1" applyBorder="1" applyProtection="1"/>
    <xf numFmtId="0" fontId="44" fillId="6" borderId="0" xfId="0" applyFont="1" applyFill="1" applyBorder="1" applyAlignment="1" applyProtection="1">
      <alignment horizontal="center"/>
    </xf>
    <xf numFmtId="0" fontId="19" fillId="0" borderId="0" xfId="0" applyFont="1" applyFill="1" applyBorder="1" applyAlignment="1" applyProtection="1">
      <alignment horizontal="right"/>
    </xf>
    <xf numFmtId="0" fontId="64" fillId="6" borderId="0" xfId="0" applyFont="1" applyFill="1" applyAlignment="1" applyProtection="1"/>
    <xf numFmtId="0" fontId="19" fillId="3" borderId="4" xfId="0" applyFont="1" applyFill="1" applyBorder="1" applyAlignment="1" applyProtection="1">
      <alignment horizontal="center"/>
      <protection locked="0"/>
    </xf>
    <xf numFmtId="0" fontId="10" fillId="0" borderId="0" xfId="0" applyFont="1" applyFill="1" applyBorder="1" applyAlignment="1" applyProtection="1">
      <alignment horizontal="center" vertical="top" wrapText="1"/>
    </xf>
    <xf numFmtId="0" fontId="9" fillId="0" borderId="3" xfId="0" applyFont="1" applyFill="1" applyBorder="1" applyAlignment="1" applyProtection="1">
      <alignment horizontal="center"/>
    </xf>
    <xf numFmtId="0" fontId="9" fillId="0" borderId="35" xfId="0" applyFont="1" applyFill="1" applyBorder="1" applyAlignment="1" applyProtection="1"/>
    <xf numFmtId="0" fontId="9" fillId="0" borderId="35" xfId="0" applyFont="1" applyFill="1" applyBorder="1" applyAlignment="1" applyProtection="1">
      <alignment horizontal="right"/>
    </xf>
    <xf numFmtId="0" fontId="54" fillId="0" borderId="36" xfId="0" applyFont="1" applyBorder="1" applyAlignment="1" applyProtection="1">
      <alignment horizontal="left"/>
    </xf>
    <xf numFmtId="0" fontId="62" fillId="0" borderId="36" xfId="0" applyFont="1" applyFill="1" applyBorder="1" applyAlignment="1" applyProtection="1">
      <alignment horizontal="left"/>
    </xf>
    <xf numFmtId="0" fontId="24" fillId="0" borderId="36" xfId="0" applyFont="1" applyFill="1" applyBorder="1" applyAlignment="1" applyProtection="1">
      <alignment horizontal="left"/>
    </xf>
    <xf numFmtId="0" fontId="17" fillId="0" borderId="36" xfId="0" applyFont="1" applyFill="1" applyBorder="1" applyAlignment="1" applyProtection="1">
      <alignment horizontal="left"/>
    </xf>
    <xf numFmtId="0" fontId="17" fillId="0" borderId="36" xfId="0" applyFont="1" applyFill="1" applyBorder="1" applyProtection="1"/>
    <xf numFmtId="0" fontId="2" fillId="0" borderId="35" xfId="0" applyFont="1" applyFill="1" applyBorder="1" applyAlignment="1" applyProtection="1">
      <alignment horizontal="right"/>
    </xf>
    <xf numFmtId="0" fontId="0" fillId="0" borderId="36" xfId="0" applyBorder="1" applyProtection="1"/>
    <xf numFmtId="0" fontId="6" fillId="0" borderId="35" xfId="0" applyFont="1" applyFill="1" applyBorder="1" applyAlignment="1" applyProtection="1">
      <alignment horizontal="left"/>
    </xf>
    <xf numFmtId="0" fontId="10" fillId="0" borderId="35" xfId="0" applyFont="1" applyFill="1" applyBorder="1" applyAlignment="1" applyProtection="1">
      <alignment horizontal="right"/>
    </xf>
    <xf numFmtId="0" fontId="1" fillId="0" borderId="35" xfId="0" applyFont="1" applyFill="1" applyBorder="1" applyAlignment="1" applyProtection="1">
      <alignment horizontal="right"/>
    </xf>
    <xf numFmtId="0" fontId="1" fillId="0" borderId="35" xfId="0" applyFont="1" applyFill="1" applyBorder="1" applyAlignment="1" applyProtection="1">
      <alignment horizontal="left"/>
    </xf>
    <xf numFmtId="0" fontId="1" fillId="0" borderId="35" xfId="0" applyFont="1" applyFill="1" applyBorder="1" applyProtection="1"/>
    <xf numFmtId="0" fontId="2" fillId="0" borderId="33" xfId="0" applyFont="1" applyFill="1" applyBorder="1" applyProtection="1"/>
    <xf numFmtId="0" fontId="52" fillId="0" borderId="38" xfId="0" applyFont="1" applyFill="1" applyBorder="1" applyProtection="1"/>
    <xf numFmtId="0" fontId="44" fillId="0" borderId="0" xfId="0" applyFont="1" applyFill="1" applyBorder="1" applyAlignment="1" applyProtection="1">
      <alignment horizontal="center"/>
    </xf>
    <xf numFmtId="9" fontId="70" fillId="0" borderId="0" xfId="3" applyFont="1" applyFill="1" applyBorder="1" applyAlignment="1" applyProtection="1">
      <alignment horizontal="left"/>
    </xf>
    <xf numFmtId="0" fontId="32" fillId="0" borderId="0" xfId="0" applyFont="1" applyFill="1" applyBorder="1" applyAlignment="1" applyProtection="1">
      <alignment horizontal="center"/>
    </xf>
    <xf numFmtId="0" fontId="0" fillId="7" borderId="4" xfId="0" applyFill="1" applyBorder="1" applyAlignment="1" applyProtection="1">
      <alignment horizontal="center"/>
      <protection locked="0"/>
    </xf>
    <xf numFmtId="9" fontId="71" fillId="0" borderId="3" xfId="3" applyFont="1" applyFill="1" applyBorder="1" applyAlignment="1" applyProtection="1">
      <alignment horizontal="center"/>
    </xf>
    <xf numFmtId="9" fontId="71" fillId="0" borderId="0" xfId="3" applyFont="1" applyFill="1" applyBorder="1" applyAlignment="1" applyProtection="1">
      <alignment horizontal="center"/>
    </xf>
    <xf numFmtId="0" fontId="0" fillId="6" borderId="3" xfId="0" applyFill="1" applyBorder="1" applyAlignment="1" applyProtection="1">
      <alignment horizontal="center"/>
    </xf>
    <xf numFmtId="0" fontId="0" fillId="6" borderId="1" xfId="0" applyFill="1" applyBorder="1" applyAlignment="1" applyProtection="1">
      <alignment horizontal="center"/>
    </xf>
    <xf numFmtId="0" fontId="2" fillId="6" borderId="3" xfId="0" applyFont="1" applyFill="1" applyBorder="1" applyAlignment="1" applyProtection="1">
      <alignment horizontal="left"/>
    </xf>
    <xf numFmtId="0" fontId="0" fillId="6" borderId="0" xfId="0" applyFont="1" applyFill="1" applyBorder="1" applyAlignment="1" applyProtection="1">
      <alignment horizontal="left"/>
    </xf>
    <xf numFmtId="0" fontId="3" fillId="6" borderId="7" xfId="0" applyFont="1" applyFill="1" applyBorder="1" applyAlignment="1" applyProtection="1">
      <alignment horizontal="left"/>
    </xf>
    <xf numFmtId="0" fontId="0" fillId="6" borderId="6" xfId="0" applyFill="1" applyBorder="1" applyProtection="1"/>
    <xf numFmtId="0" fontId="0" fillId="6" borderId="7" xfId="0" applyFill="1" applyBorder="1" applyProtection="1"/>
    <xf numFmtId="0" fontId="0" fillId="6" borderId="3" xfId="0" applyFill="1" applyBorder="1" applyProtection="1"/>
    <xf numFmtId="0" fontId="0" fillId="6" borderId="3" xfId="0" applyFill="1" applyBorder="1" applyAlignment="1" applyProtection="1"/>
    <xf numFmtId="0" fontId="73" fillId="6" borderId="0" xfId="0" applyFont="1" applyFill="1" applyBorder="1" applyAlignment="1" applyProtection="1">
      <alignment horizontal="left"/>
    </xf>
    <xf numFmtId="0" fontId="3" fillId="6" borderId="3" xfId="0" applyFont="1" applyFill="1" applyBorder="1" applyAlignment="1" applyProtection="1">
      <alignment horizontal="left"/>
    </xf>
    <xf numFmtId="0" fontId="73" fillId="0" borderId="35" xfId="0" applyFont="1" applyFill="1" applyBorder="1" applyAlignment="1" applyProtection="1">
      <alignment horizontal="center"/>
    </xf>
    <xf numFmtId="166" fontId="16" fillId="6" borderId="0" xfId="0" applyNumberFormat="1" applyFont="1" applyFill="1" applyAlignment="1" applyProtection="1">
      <alignment horizontal="center"/>
    </xf>
    <xf numFmtId="166" fontId="16" fillId="6" borderId="0" xfId="0" applyNumberFormat="1" applyFont="1" applyFill="1" applyBorder="1" applyAlignment="1" applyProtection="1">
      <alignment horizontal="center"/>
    </xf>
    <xf numFmtId="0" fontId="1" fillId="0" borderId="0" xfId="0" applyFont="1" applyFill="1" applyBorder="1" applyAlignment="1" applyProtection="1">
      <alignment horizontal="right"/>
    </xf>
    <xf numFmtId="0" fontId="1" fillId="0" borderId="0" xfId="0" applyFont="1" applyFill="1" applyBorder="1" applyProtection="1"/>
    <xf numFmtId="0" fontId="71" fillId="0" borderId="0" xfId="0" applyFont="1" applyFill="1" applyBorder="1" applyProtection="1"/>
    <xf numFmtId="0" fontId="71" fillId="0" borderId="0" xfId="0" quotePrefix="1" applyFont="1" applyFill="1" applyBorder="1" applyProtection="1"/>
    <xf numFmtId="0" fontId="29" fillId="0" borderId="0" xfId="0" applyFont="1" applyFill="1" applyBorder="1" applyAlignment="1" applyProtection="1">
      <alignment horizontal="center"/>
    </xf>
    <xf numFmtId="2" fontId="5" fillId="0" borderId="0" xfId="0" applyNumberFormat="1" applyFont="1" applyFill="1" applyBorder="1" applyAlignment="1" applyProtection="1">
      <alignment horizontal="center"/>
    </xf>
    <xf numFmtId="0" fontId="0" fillId="5" borderId="32" xfId="0" applyFill="1" applyBorder="1" applyProtection="1"/>
    <xf numFmtId="0" fontId="0" fillId="5" borderId="33" xfId="0" applyFill="1" applyBorder="1" applyAlignment="1" applyProtection="1">
      <alignment horizontal="center"/>
    </xf>
    <xf numFmtId="0" fontId="0" fillId="5" borderId="33" xfId="0" applyFill="1" applyBorder="1" applyProtection="1"/>
    <xf numFmtId="165" fontId="5" fillId="5" borderId="33" xfId="0" applyNumberFormat="1" applyFont="1" applyFill="1" applyBorder="1" applyAlignment="1" applyProtection="1">
      <alignment horizontal="center"/>
    </xf>
    <xf numFmtId="0" fontId="36" fillId="5" borderId="33" xfId="0" applyFont="1" applyFill="1" applyBorder="1" applyProtection="1"/>
    <xf numFmtId="0" fontId="0" fillId="5" borderId="34" xfId="0" applyFill="1" applyBorder="1" applyProtection="1"/>
    <xf numFmtId="1" fontId="5" fillId="0" borderId="0" xfId="0" applyNumberFormat="1" applyFont="1" applyFill="1" applyBorder="1" applyAlignment="1" applyProtection="1">
      <alignment horizontal="center"/>
    </xf>
    <xf numFmtId="2" fontId="5" fillId="0" borderId="1" xfId="0" applyNumberFormat="1" applyFont="1" applyFill="1" applyBorder="1" applyAlignment="1" applyProtection="1">
      <alignment horizontal="center"/>
    </xf>
    <xf numFmtId="0" fontId="67" fillId="0" borderId="0" xfId="1" applyFont="1" applyFill="1" applyBorder="1" applyAlignment="1" applyProtection="1">
      <alignment horizontal="left"/>
    </xf>
    <xf numFmtId="0" fontId="0" fillId="6" borderId="2" xfId="0" applyFill="1" applyBorder="1" applyAlignment="1" applyProtection="1">
      <alignment horizontal="right"/>
    </xf>
    <xf numFmtId="0" fontId="0" fillId="6" borderId="0" xfId="0" applyFill="1" applyBorder="1" applyAlignment="1" applyProtection="1">
      <alignment horizontal="right"/>
    </xf>
    <xf numFmtId="0" fontId="18" fillId="0" borderId="0" xfId="0" applyFont="1" applyFill="1" applyBorder="1" applyAlignment="1" applyProtection="1">
      <alignment horizontal="center"/>
    </xf>
    <xf numFmtId="0" fontId="46" fillId="0" borderId="0" xfId="1" applyFont="1" applyFill="1" applyBorder="1" applyAlignment="1" applyProtection="1">
      <alignment horizontal="left"/>
    </xf>
    <xf numFmtId="0" fontId="0" fillId="0" borderId="1" xfId="0" applyFill="1" applyBorder="1" applyAlignment="1" applyProtection="1">
      <alignment horizontal="center"/>
    </xf>
    <xf numFmtId="0" fontId="9" fillId="0" borderId="0" xfId="0" applyFont="1" applyFill="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Alignment="1" applyProtection="1">
      <alignment horizontal="center"/>
    </xf>
    <xf numFmtId="1" fontId="0" fillId="0" borderId="35" xfId="0" applyNumberFormat="1" applyFill="1" applyBorder="1" applyAlignment="1" applyProtection="1">
      <alignment horizontal="center"/>
    </xf>
    <xf numFmtId="0" fontId="0" fillId="0" borderId="35" xfId="0" applyBorder="1" applyProtection="1"/>
    <xf numFmtId="0" fontId="0" fillId="0" borderId="0" xfId="0" applyProtection="1"/>
    <xf numFmtId="0" fontId="1" fillId="0" borderId="0" xfId="0" applyFont="1" applyProtection="1"/>
    <xf numFmtId="0" fontId="67" fillId="0" borderId="0" xfId="1" applyFont="1" applyFill="1" applyBorder="1" applyAlignment="1" applyProtection="1"/>
    <xf numFmtId="0" fontId="0" fillId="0" borderId="0" xfId="0" quotePrefix="1" applyFill="1" applyProtection="1"/>
    <xf numFmtId="2" fontId="0" fillId="0" borderId="42" xfId="0" applyNumberFormat="1" applyBorder="1" applyAlignment="1" applyProtection="1">
      <alignment horizontal="center"/>
    </xf>
    <xf numFmtId="0" fontId="43" fillId="0" borderId="0" xfId="0" applyFont="1" applyFill="1" applyProtection="1"/>
    <xf numFmtId="0" fontId="2" fillId="0" borderId="0" xfId="0" applyFont="1" applyFill="1" applyAlignment="1" applyProtection="1">
      <alignment horizontal="right"/>
    </xf>
    <xf numFmtId="0" fontId="2" fillId="0" borderId="0" xfId="0" applyFont="1" applyFill="1" applyAlignment="1" applyProtection="1">
      <alignment horizontal="left"/>
    </xf>
    <xf numFmtId="0" fontId="0" fillId="0" borderId="0" xfId="0" applyAlignment="1" applyProtection="1">
      <alignment horizontal="left"/>
    </xf>
    <xf numFmtId="2" fontId="9" fillId="0" borderId="51" xfId="0" applyNumberFormat="1" applyFont="1" applyBorder="1" applyAlignment="1" applyProtection="1">
      <alignment horizontal="center"/>
    </xf>
    <xf numFmtId="0" fontId="46" fillId="6" borderId="0" xfId="0" applyFont="1" applyFill="1" applyAlignment="1" applyProtection="1">
      <alignment horizontal="left"/>
    </xf>
    <xf numFmtId="0" fontId="21" fillId="6" borderId="0" xfId="0" applyFont="1" applyFill="1" applyAlignment="1" applyProtection="1">
      <alignment horizontal="center"/>
    </xf>
    <xf numFmtId="0" fontId="8" fillId="6" borderId="43" xfId="0" applyFont="1" applyFill="1" applyBorder="1" applyAlignment="1" applyProtection="1">
      <alignment horizontal="left"/>
    </xf>
    <xf numFmtId="0" fontId="8" fillId="6" borderId="44" xfId="0" applyFont="1" applyFill="1" applyBorder="1" applyAlignment="1" applyProtection="1">
      <alignment horizontal="left"/>
    </xf>
    <xf numFmtId="0" fontId="0" fillId="6" borderId="45" xfId="0" applyFill="1" applyBorder="1" applyProtection="1"/>
    <xf numFmtId="0" fontId="0" fillId="6" borderId="0" xfId="0" applyFill="1" applyAlignment="1" applyProtection="1">
      <alignment horizontal="right"/>
    </xf>
    <xf numFmtId="0" fontId="0" fillId="6" borderId="4" xfId="0" applyFill="1" applyBorder="1" applyAlignment="1" applyProtection="1">
      <alignment horizontal="center"/>
    </xf>
    <xf numFmtId="0" fontId="0" fillId="6" borderId="46" xfId="0" applyFill="1" applyBorder="1" applyAlignment="1" applyProtection="1">
      <alignment horizontal="left"/>
    </xf>
    <xf numFmtId="0" fontId="0" fillId="6" borderId="47" xfId="0" applyFill="1" applyBorder="1" applyProtection="1"/>
    <xf numFmtId="0" fontId="30" fillId="6" borderId="0" xfId="0" applyFont="1" applyFill="1" applyAlignment="1" applyProtection="1">
      <alignment horizontal="left"/>
    </xf>
    <xf numFmtId="0" fontId="19" fillId="6" borderId="46" xfId="0" applyFont="1" applyFill="1" applyBorder="1" applyAlignment="1" applyProtection="1">
      <alignment horizontal="left"/>
    </xf>
    <xf numFmtId="0" fontId="19" fillId="6" borderId="0" xfId="0" applyFont="1" applyFill="1" applyBorder="1" applyAlignment="1" applyProtection="1">
      <alignment horizontal="left"/>
    </xf>
    <xf numFmtId="0" fontId="5" fillId="6" borderId="0" xfId="0" applyFont="1" applyFill="1" applyAlignment="1" applyProtection="1">
      <alignment horizontal="center"/>
    </xf>
    <xf numFmtId="0" fontId="31" fillId="6" borderId="46" xfId="0" applyFont="1" applyFill="1" applyBorder="1" applyAlignment="1" applyProtection="1"/>
    <xf numFmtId="0" fontId="31" fillId="6" borderId="0" xfId="0" applyFont="1" applyFill="1" applyBorder="1" applyAlignment="1" applyProtection="1"/>
    <xf numFmtId="0" fontId="0" fillId="6" borderId="46" xfId="0" applyFill="1" applyBorder="1" applyAlignment="1" applyProtection="1">
      <alignment horizontal="center"/>
    </xf>
    <xf numFmtId="0" fontId="19" fillId="6" borderId="46" xfId="0" applyFont="1" applyFill="1" applyBorder="1" applyAlignment="1" applyProtection="1">
      <alignment horizontal="center"/>
    </xf>
    <xf numFmtId="0" fontId="19" fillId="6" borderId="0" xfId="0" applyFont="1" applyFill="1" applyBorder="1" applyAlignment="1" applyProtection="1">
      <alignment horizontal="center"/>
    </xf>
    <xf numFmtId="0" fontId="19" fillId="6" borderId="48" xfId="0" applyFont="1" applyFill="1" applyBorder="1" applyAlignment="1" applyProtection="1">
      <alignment horizontal="center"/>
    </xf>
    <xf numFmtId="0" fontId="19" fillId="6" borderId="49" xfId="0" applyFont="1" applyFill="1" applyBorder="1" applyAlignment="1" applyProtection="1">
      <alignment horizontal="center"/>
    </xf>
    <xf numFmtId="0" fontId="0" fillId="6" borderId="50" xfId="0" applyFill="1" applyBorder="1" applyProtection="1"/>
    <xf numFmtId="0" fontId="19" fillId="6" borderId="0" xfId="0" applyFont="1" applyFill="1" applyAlignment="1" applyProtection="1">
      <alignment horizontal="center"/>
    </xf>
    <xf numFmtId="0" fontId="8" fillId="6" borderId="0" xfId="0" applyFont="1" applyFill="1" applyAlignment="1" applyProtection="1">
      <alignment horizontal="center"/>
    </xf>
    <xf numFmtId="0" fontId="9" fillId="6" borderId="0" xfId="0" applyFont="1" applyFill="1" applyAlignment="1" applyProtection="1">
      <alignment horizontal="center"/>
    </xf>
    <xf numFmtId="0" fontId="12" fillId="6" borderId="0" xfId="0" applyFont="1" applyFill="1" applyAlignment="1" applyProtection="1">
      <alignment horizontal="left"/>
    </xf>
    <xf numFmtId="0" fontId="12" fillId="6" borderId="0" xfId="0" applyFont="1" applyFill="1" applyAlignment="1" applyProtection="1">
      <alignment horizontal="right"/>
    </xf>
    <xf numFmtId="0" fontId="5" fillId="6" borderId="4" xfId="0" applyFont="1" applyFill="1" applyBorder="1" applyAlignment="1" applyProtection="1">
      <alignment horizontal="center"/>
    </xf>
    <xf numFmtId="0" fontId="0" fillId="6" borderId="0" xfId="0" applyFill="1" applyAlignment="1" applyProtection="1">
      <alignment wrapText="1"/>
    </xf>
    <xf numFmtId="0" fontId="3" fillId="6" borderId="0" xfId="0" applyFont="1" applyFill="1" applyAlignment="1" applyProtection="1">
      <alignment horizontal="left"/>
    </xf>
    <xf numFmtId="0" fontId="0" fillId="6" borderId="11" xfId="0" applyFill="1" applyBorder="1" applyAlignment="1" applyProtection="1">
      <alignment horizontal="center"/>
    </xf>
    <xf numFmtId="0" fontId="9" fillId="6" borderId="0" xfId="0" applyFont="1" applyFill="1" applyProtection="1"/>
    <xf numFmtId="0" fontId="13" fillId="6" borderId="0" xfId="0" applyFont="1" applyFill="1" applyAlignment="1" applyProtection="1">
      <alignment horizontal="left"/>
    </xf>
    <xf numFmtId="0" fontId="0" fillId="5" borderId="38" xfId="0" applyFill="1" applyBorder="1" applyAlignment="1" applyProtection="1">
      <alignment horizontal="center"/>
    </xf>
    <xf numFmtId="0" fontId="77" fillId="8" borderId="0" xfId="0" applyFont="1" applyFill="1" applyAlignment="1" applyProtection="1">
      <alignment horizontal="left"/>
    </xf>
    <xf numFmtId="0" fontId="7" fillId="8" borderId="0" xfId="0" applyFont="1" applyFill="1" applyAlignment="1" applyProtection="1">
      <alignment horizontal="left"/>
    </xf>
    <xf numFmtId="0" fontId="5" fillId="8" borderId="0" xfId="0" applyFont="1" applyFill="1" applyAlignment="1" applyProtection="1">
      <alignment horizontal="left"/>
    </xf>
    <xf numFmtId="0" fontId="5" fillId="8" borderId="0" xfId="0" applyFont="1" applyFill="1" applyProtection="1"/>
    <xf numFmtId="0" fontId="5" fillId="6" borderId="0" xfId="0" applyFont="1" applyFill="1" applyProtection="1"/>
    <xf numFmtId="0" fontId="5" fillId="8" borderId="0" xfId="0" applyFont="1" applyFill="1" applyAlignment="1" applyProtection="1">
      <alignment horizontal="center"/>
    </xf>
    <xf numFmtId="0" fontId="5" fillId="8" borderId="0" xfId="0" applyFont="1" applyFill="1" applyAlignment="1" applyProtection="1"/>
    <xf numFmtId="0" fontId="5" fillId="8" borderId="19" xfId="0" applyFont="1" applyFill="1" applyBorder="1" applyAlignment="1" applyProtection="1">
      <alignment horizontal="left"/>
    </xf>
    <xf numFmtId="0" fontId="5" fillId="8" borderId="20" xfId="0" applyFont="1" applyFill="1" applyBorder="1" applyProtection="1"/>
    <xf numFmtId="0" fontId="5" fillId="8" borderId="20" xfId="0" applyFont="1" applyFill="1" applyBorder="1" applyAlignment="1" applyProtection="1">
      <alignment horizontal="left"/>
    </xf>
    <xf numFmtId="0" fontId="5" fillId="8" borderId="20" xfId="0" applyFont="1" applyFill="1" applyBorder="1" applyAlignment="1" applyProtection="1">
      <alignment horizontal="center"/>
    </xf>
    <xf numFmtId="0" fontId="5" fillId="8" borderId="21" xfId="0" applyFont="1" applyFill="1" applyBorder="1" applyAlignment="1" applyProtection="1">
      <alignment horizontal="left"/>
    </xf>
    <xf numFmtId="0" fontId="5" fillId="8" borderId="17" xfId="0" applyFont="1" applyFill="1" applyBorder="1" applyAlignment="1" applyProtection="1">
      <alignment horizontal="left"/>
    </xf>
    <xf numFmtId="0" fontId="5" fillId="8" borderId="0" xfId="0" applyFont="1" applyFill="1" applyBorder="1" applyProtection="1"/>
    <xf numFmtId="0" fontId="5" fillId="8" borderId="0" xfId="0" applyFont="1" applyFill="1" applyBorder="1" applyAlignment="1" applyProtection="1">
      <alignment horizontal="left"/>
    </xf>
    <xf numFmtId="0" fontId="5" fillId="8" borderId="0" xfId="0" applyFont="1" applyFill="1" applyBorder="1" applyAlignment="1" applyProtection="1"/>
    <xf numFmtId="0" fontId="5" fillId="8" borderId="0" xfId="0" applyFont="1" applyFill="1" applyBorder="1" applyAlignment="1" applyProtection="1">
      <alignment horizontal="center"/>
    </xf>
    <xf numFmtId="0" fontId="4" fillId="8" borderId="0" xfId="0" applyFont="1" applyFill="1" applyBorder="1" applyAlignment="1" applyProtection="1">
      <alignment horizontal="left"/>
    </xf>
    <xf numFmtId="0" fontId="5" fillId="8" borderId="22" xfId="0" applyFont="1" applyFill="1" applyBorder="1" applyAlignment="1" applyProtection="1">
      <alignment horizontal="left"/>
    </xf>
    <xf numFmtId="0" fontId="5" fillId="8" borderId="0" xfId="0" applyFont="1" applyFill="1" applyBorder="1" applyAlignment="1" applyProtection="1">
      <alignment horizontal="right"/>
    </xf>
    <xf numFmtId="0" fontId="5" fillId="8" borderId="4" xfId="0" applyFont="1" applyFill="1" applyBorder="1" applyAlignment="1" applyProtection="1">
      <alignment horizontal="left"/>
    </xf>
    <xf numFmtId="0" fontId="5" fillId="8" borderId="12" xfId="0" applyFont="1" applyFill="1" applyBorder="1" applyAlignment="1" applyProtection="1">
      <alignment horizontal="left"/>
    </xf>
    <xf numFmtId="0" fontId="24" fillId="8" borderId="17" xfId="0" applyFont="1" applyFill="1" applyBorder="1" applyAlignment="1" applyProtection="1">
      <alignment horizontal="left"/>
    </xf>
    <xf numFmtId="0" fontId="5" fillId="8" borderId="1" xfId="0" applyFont="1" applyFill="1" applyBorder="1" applyAlignment="1" applyProtection="1">
      <alignment horizontal="center"/>
    </xf>
    <xf numFmtId="0" fontId="11" fillId="8" borderId="0" xfId="0" applyFont="1" applyFill="1" applyBorder="1" applyProtection="1"/>
    <xf numFmtId="3" fontId="11" fillId="8" borderId="11" xfId="0" applyNumberFormat="1" applyFont="1" applyFill="1" applyBorder="1" applyAlignment="1" applyProtection="1">
      <alignment horizontal="center"/>
    </xf>
    <xf numFmtId="0" fontId="5" fillId="8" borderId="23" xfId="0" applyFont="1" applyFill="1" applyBorder="1" applyAlignment="1" applyProtection="1">
      <alignment horizontal="left"/>
    </xf>
    <xf numFmtId="0" fontId="5" fillId="8" borderId="24" xfId="0" applyFont="1" applyFill="1" applyBorder="1" applyProtection="1"/>
    <xf numFmtId="0" fontId="5" fillId="8" borderId="24" xfId="0" applyFont="1" applyFill="1" applyBorder="1" applyAlignment="1" applyProtection="1">
      <alignment horizontal="left"/>
    </xf>
    <xf numFmtId="0" fontId="5" fillId="8" borderId="24" xfId="0" applyFont="1" applyFill="1" applyBorder="1" applyAlignment="1" applyProtection="1">
      <alignment horizontal="right"/>
    </xf>
    <xf numFmtId="0" fontId="11" fillId="8" borderId="24" xfId="0" applyFont="1" applyFill="1" applyBorder="1" applyProtection="1"/>
    <xf numFmtId="0" fontId="11" fillId="8" borderId="24" xfId="0" applyFont="1" applyFill="1" applyBorder="1" applyAlignment="1" applyProtection="1">
      <alignment horizontal="center"/>
    </xf>
    <xf numFmtId="0" fontId="5" fillId="8" borderId="25" xfId="0" applyFont="1" applyFill="1" applyBorder="1" applyAlignment="1" applyProtection="1">
      <alignment horizontal="left"/>
    </xf>
    <xf numFmtId="0" fontId="5" fillId="8" borderId="0" xfId="0" applyFont="1" applyFill="1" applyAlignment="1" applyProtection="1">
      <alignment horizontal="right"/>
    </xf>
    <xf numFmtId="0" fontId="11" fillId="8" borderId="0" xfId="0" applyFont="1" applyFill="1" applyAlignment="1" applyProtection="1">
      <alignment horizontal="center"/>
    </xf>
    <xf numFmtId="0" fontId="11" fillId="8" borderId="0" xfId="0" applyFont="1" applyFill="1" applyBorder="1" applyAlignment="1" applyProtection="1">
      <alignment horizontal="left"/>
    </xf>
    <xf numFmtId="0" fontId="5" fillId="8" borderId="26" xfId="0" applyFont="1" applyFill="1" applyBorder="1" applyAlignment="1" applyProtection="1">
      <alignment horizontal="left"/>
    </xf>
    <xf numFmtId="0" fontId="5" fillId="8" borderId="15" xfId="0" applyFont="1" applyFill="1" applyBorder="1" applyProtection="1"/>
    <xf numFmtId="0" fontId="5" fillId="8" borderId="15" xfId="0" applyFont="1" applyFill="1" applyBorder="1" applyAlignment="1" applyProtection="1">
      <alignment horizontal="left"/>
    </xf>
    <xf numFmtId="0" fontId="5" fillId="8" borderId="15" xfId="0" applyFont="1" applyFill="1" applyBorder="1" applyAlignment="1" applyProtection="1">
      <alignment horizontal="center"/>
    </xf>
    <xf numFmtId="0" fontId="5" fillId="8" borderId="27" xfId="0" applyFont="1" applyFill="1" applyBorder="1" applyAlignment="1" applyProtection="1">
      <alignment horizontal="left"/>
    </xf>
    <xf numFmtId="0" fontId="5" fillId="8" borderId="18" xfId="0" applyFont="1" applyFill="1" applyBorder="1" applyAlignment="1" applyProtection="1">
      <alignment horizontal="left"/>
    </xf>
    <xf numFmtId="0" fontId="5" fillId="8" borderId="28" xfId="0" applyFont="1" applyFill="1" applyBorder="1" applyAlignment="1" applyProtection="1">
      <alignment horizontal="left"/>
    </xf>
    <xf numFmtId="0" fontId="5" fillId="8" borderId="18" xfId="0" applyFont="1" applyFill="1" applyBorder="1" applyProtection="1"/>
    <xf numFmtId="0" fontId="5" fillId="8" borderId="29" xfId="0" applyFont="1" applyFill="1" applyBorder="1" applyAlignment="1" applyProtection="1">
      <alignment horizontal="left"/>
    </xf>
    <xf numFmtId="0" fontId="5" fillId="8" borderId="16" xfId="0" applyFont="1" applyFill="1" applyBorder="1" applyProtection="1"/>
    <xf numFmtId="0" fontId="5" fillId="8" borderId="16" xfId="0" applyFont="1" applyFill="1" applyBorder="1" applyAlignment="1" applyProtection="1">
      <alignment horizontal="left"/>
    </xf>
    <xf numFmtId="0" fontId="5" fillId="8" borderId="16" xfId="0" applyFont="1" applyFill="1" applyBorder="1" applyAlignment="1" applyProtection="1">
      <alignment horizontal="right"/>
    </xf>
    <xf numFmtId="0" fontId="5" fillId="8" borderId="16" xfId="0" applyFont="1" applyFill="1" applyBorder="1" applyAlignment="1" applyProtection="1">
      <alignment horizontal="center"/>
    </xf>
    <xf numFmtId="0" fontId="5" fillId="8" borderId="30" xfId="0" applyFont="1" applyFill="1" applyBorder="1" applyAlignment="1" applyProtection="1">
      <alignment horizontal="left"/>
    </xf>
    <xf numFmtId="4" fontId="5" fillId="8" borderId="9" xfId="0" applyNumberFormat="1" applyFont="1" applyFill="1" applyBorder="1" applyAlignment="1" applyProtection="1">
      <alignment horizontal="center"/>
    </xf>
    <xf numFmtId="0" fontId="0" fillId="8" borderId="0" xfId="0" applyFill="1" applyProtection="1"/>
    <xf numFmtId="0" fontId="0" fillId="8" borderId="0" xfId="0" applyFill="1" applyAlignment="1" applyProtection="1">
      <alignment horizontal="left"/>
    </xf>
    <xf numFmtId="0" fontId="0" fillId="8" borderId="0" xfId="0" applyFill="1" applyAlignment="1" applyProtection="1">
      <alignment horizontal="center"/>
    </xf>
    <xf numFmtId="0" fontId="70" fillId="0" borderId="1" xfId="1" applyFont="1" applyFill="1" applyBorder="1" applyAlignment="1" applyProtection="1"/>
    <xf numFmtId="0" fontId="45" fillId="0" borderId="0" xfId="1" applyFont="1" applyFill="1" applyBorder="1" applyAlignment="1" applyProtection="1"/>
    <xf numFmtId="0" fontId="45" fillId="0" borderId="0" xfId="1" applyFont="1" applyFill="1" applyBorder="1" applyAlignment="1" applyProtection="1">
      <alignment horizontal="center"/>
    </xf>
    <xf numFmtId="0" fontId="5" fillId="6" borderId="0" xfId="0" applyFont="1" applyFill="1" applyAlignment="1" applyProtection="1">
      <alignment horizontal="left"/>
    </xf>
    <xf numFmtId="0" fontId="46" fillId="6" borderId="0" xfId="0" applyFont="1" applyFill="1" applyBorder="1" applyAlignment="1" applyProtection="1">
      <alignment horizontal="left"/>
    </xf>
    <xf numFmtId="0" fontId="5" fillId="6" borderId="6" xfId="0" applyFont="1" applyFill="1" applyBorder="1" applyProtection="1"/>
    <xf numFmtId="0" fontId="5" fillId="6" borderId="7" xfId="0" applyFont="1" applyFill="1" applyBorder="1" applyProtection="1"/>
    <xf numFmtId="0" fontId="5" fillId="6" borderId="2" xfId="0" applyFont="1" applyFill="1" applyBorder="1" applyProtection="1"/>
    <xf numFmtId="0" fontId="7" fillId="6" borderId="0" xfId="0" applyFont="1" applyFill="1" applyBorder="1" applyAlignment="1" applyProtection="1">
      <alignment horizontal="left"/>
    </xf>
    <xf numFmtId="0" fontId="23" fillId="6" borderId="0" xfId="0" applyFont="1" applyFill="1" applyBorder="1" applyAlignment="1" applyProtection="1">
      <alignment horizontal="center"/>
    </xf>
    <xf numFmtId="0" fontId="5" fillId="6" borderId="0" xfId="0" applyFont="1" applyFill="1" applyBorder="1" applyProtection="1"/>
    <xf numFmtId="0" fontId="8" fillId="6" borderId="0" xfId="0" applyFont="1" applyFill="1" applyBorder="1" applyAlignment="1" applyProtection="1">
      <alignment horizontal="left"/>
    </xf>
    <xf numFmtId="0" fontId="5" fillId="6" borderId="0" xfId="0" applyFont="1" applyFill="1" applyBorder="1" applyAlignment="1" applyProtection="1">
      <alignment horizontal="left"/>
    </xf>
    <xf numFmtId="0" fontId="22" fillId="6" borderId="0" xfId="0" applyFont="1" applyFill="1" applyBorder="1" applyAlignment="1" applyProtection="1">
      <alignment horizontal="left"/>
    </xf>
    <xf numFmtId="0" fontId="5" fillId="6" borderId="2" xfId="0" applyFont="1" applyFill="1" applyBorder="1" applyAlignment="1" applyProtection="1">
      <alignment horizontal="center"/>
    </xf>
    <xf numFmtId="0" fontId="4" fillId="6" borderId="0" xfId="0" applyFont="1" applyFill="1" applyBorder="1" applyAlignment="1" applyProtection="1">
      <alignment horizontal="left"/>
    </xf>
    <xf numFmtId="0" fontId="0" fillId="6" borderId="2" xfId="0" applyFill="1" applyBorder="1" applyAlignment="1" applyProtection="1">
      <alignment horizontal="left"/>
    </xf>
    <xf numFmtId="0" fontId="5" fillId="6" borderId="4" xfId="0" applyFont="1" applyFill="1" applyBorder="1" applyProtection="1"/>
    <xf numFmtId="0" fontId="22" fillId="6" borderId="0" xfId="0" applyFont="1" applyFill="1" applyBorder="1" applyAlignment="1" applyProtection="1">
      <alignment horizontal="center"/>
    </xf>
    <xf numFmtId="0" fontId="4" fillId="6" borderId="0" xfId="0" applyFont="1" applyFill="1" applyProtection="1"/>
    <xf numFmtId="0" fontId="4" fillId="6" borderId="0" xfId="0" applyFont="1" applyFill="1" applyAlignment="1" applyProtection="1">
      <alignment horizontal="left"/>
    </xf>
    <xf numFmtId="0" fontId="72" fillId="6" borderId="4" xfId="0" applyFont="1" applyFill="1" applyBorder="1" applyAlignment="1" applyProtection="1">
      <alignment horizontal="center"/>
    </xf>
    <xf numFmtId="0" fontId="3" fillId="6" borderId="0" xfId="0" applyFont="1" applyFill="1" applyBorder="1" applyAlignment="1" applyProtection="1">
      <alignment horizontal="center"/>
    </xf>
    <xf numFmtId="0" fontId="22" fillId="6" borderId="0" xfId="0" applyFont="1" applyFill="1" applyAlignment="1" applyProtection="1">
      <alignment horizontal="center"/>
    </xf>
    <xf numFmtId="0" fontId="0" fillId="6" borderId="0" xfId="0" applyFill="1" applyBorder="1" applyAlignment="1" applyProtection="1">
      <alignment wrapText="1"/>
    </xf>
    <xf numFmtId="0" fontId="24" fillId="6" borderId="2" xfId="0" applyFont="1" applyFill="1" applyBorder="1" applyProtection="1"/>
    <xf numFmtId="0" fontId="24" fillId="6" borderId="0" xfId="0" applyFont="1" applyFill="1" applyBorder="1" applyProtection="1"/>
    <xf numFmtId="0" fontId="25" fillId="6" borderId="2" xfId="0" applyFont="1" applyFill="1" applyBorder="1" applyAlignment="1" applyProtection="1">
      <alignment horizontal="left"/>
    </xf>
    <xf numFmtId="0" fontId="25" fillId="6" borderId="0" xfId="0" applyFont="1" applyFill="1" applyBorder="1" applyProtection="1"/>
    <xf numFmtId="0" fontId="22" fillId="6" borderId="1" xfId="0" applyFont="1" applyFill="1" applyBorder="1" applyAlignment="1" applyProtection="1">
      <alignment horizontal="center"/>
    </xf>
    <xf numFmtId="0" fontId="0" fillId="6" borderId="2" xfId="0" applyFill="1" applyBorder="1" applyAlignment="1" applyProtection="1">
      <alignment horizontal="center"/>
    </xf>
    <xf numFmtId="164" fontId="5" fillId="6" borderId="0" xfId="0" applyNumberFormat="1" applyFont="1" applyFill="1" applyBorder="1" applyAlignment="1" applyProtection="1">
      <alignment horizontal="center"/>
    </xf>
    <xf numFmtId="0" fontId="5" fillId="6" borderId="0" xfId="0" applyFont="1" applyFill="1" applyBorder="1" applyAlignment="1" applyProtection="1">
      <alignment horizontal="center"/>
    </xf>
    <xf numFmtId="0" fontId="8" fillId="6" borderId="0" xfId="0" applyFont="1" applyFill="1" applyAlignment="1" applyProtection="1">
      <alignment horizontal="left"/>
    </xf>
    <xf numFmtId="0" fontId="8" fillId="6" borderId="0" xfId="0" applyFont="1" applyFill="1" applyAlignment="1" applyProtection="1">
      <alignment horizontal="centerContinuous"/>
    </xf>
    <xf numFmtId="0" fontId="0" fillId="6" borderId="0" xfId="0" applyFill="1" applyAlignment="1" applyProtection="1">
      <alignment horizontal="centerContinuous"/>
    </xf>
    <xf numFmtId="0" fontId="12" fillId="6" borderId="0" xfId="0" applyFont="1" applyFill="1" applyBorder="1" applyAlignment="1" applyProtection="1">
      <alignment horizontal="left"/>
    </xf>
    <xf numFmtId="1" fontId="5" fillId="6" borderId="40" xfId="0" applyNumberFormat="1" applyFont="1" applyFill="1" applyBorder="1" applyAlignment="1" applyProtection="1">
      <alignment horizontal="center"/>
    </xf>
    <xf numFmtId="1" fontId="5" fillId="6" borderId="0" xfId="0" applyNumberFormat="1" applyFont="1" applyFill="1" applyBorder="1" applyAlignment="1" applyProtection="1">
      <alignment horizontal="center"/>
    </xf>
    <xf numFmtId="0" fontId="1" fillId="6" borderId="40" xfId="0" applyFont="1" applyFill="1" applyBorder="1" applyAlignment="1" applyProtection="1">
      <alignment horizontal="center"/>
    </xf>
    <xf numFmtId="1" fontId="5" fillId="6" borderId="0" xfId="0" applyNumberFormat="1" applyFont="1" applyFill="1" applyBorder="1" applyProtection="1"/>
    <xf numFmtId="0" fontId="27" fillId="6" borderId="0" xfId="0" applyFont="1" applyFill="1" applyBorder="1" applyAlignment="1" applyProtection="1">
      <alignment horizontal="left"/>
    </xf>
    <xf numFmtId="164" fontId="0" fillId="6" borderId="42" xfId="0" quotePrefix="1" applyNumberFormat="1" applyFill="1" applyBorder="1" applyAlignment="1" applyProtection="1">
      <alignment horizontal="center"/>
    </xf>
    <xf numFmtId="164" fontId="0" fillId="6" borderId="4" xfId="0" applyNumberFormat="1" applyFill="1" applyBorder="1" applyAlignment="1" applyProtection="1">
      <alignment horizontal="center"/>
    </xf>
    <xf numFmtId="164" fontId="0" fillId="6" borderId="0" xfId="0" quotePrefix="1" applyNumberFormat="1" applyFill="1" applyBorder="1" applyAlignment="1" applyProtection="1">
      <alignment horizontal="center"/>
    </xf>
    <xf numFmtId="164" fontId="0" fillId="6" borderId="0" xfId="0" applyNumberFormat="1" applyFill="1" applyBorder="1" applyAlignment="1" applyProtection="1">
      <alignment horizontal="center"/>
    </xf>
    <xf numFmtId="0" fontId="5" fillId="6" borderId="10" xfId="0" applyFont="1" applyFill="1" applyBorder="1" applyProtection="1"/>
    <xf numFmtId="0" fontId="5" fillId="6" borderId="1" xfId="0" applyFont="1" applyFill="1" applyBorder="1" applyProtection="1"/>
    <xf numFmtId="0" fontId="0" fillId="6" borderId="1" xfId="0" applyFill="1" applyBorder="1" applyProtection="1"/>
    <xf numFmtId="0" fontId="0" fillId="6" borderId="4" xfId="0" quotePrefix="1" applyFill="1" applyBorder="1" applyAlignment="1" applyProtection="1">
      <alignment horizontal="center"/>
    </xf>
    <xf numFmtId="0" fontId="4" fillId="6" borderId="0" xfId="0" applyFont="1" applyFill="1" applyAlignment="1" applyProtection="1">
      <alignment horizontal="center"/>
    </xf>
    <xf numFmtId="0" fontId="46" fillId="6" borderId="0" xfId="0" applyFont="1" applyFill="1" applyBorder="1" applyAlignment="1" applyProtection="1"/>
    <xf numFmtId="0" fontId="33" fillId="6" borderId="0" xfId="0" applyFont="1" applyFill="1" applyBorder="1" applyAlignment="1" applyProtection="1">
      <alignment horizontal="center"/>
    </xf>
    <xf numFmtId="0" fontId="3" fillId="6" borderId="0" xfId="0" applyFont="1" applyFill="1" applyProtection="1"/>
    <xf numFmtId="0" fontId="0" fillId="6" borderId="4" xfId="0" applyFill="1" applyBorder="1" applyProtection="1"/>
    <xf numFmtId="0" fontId="24" fillId="6" borderId="0" xfId="0" applyFont="1" applyFill="1" applyAlignment="1" applyProtection="1">
      <alignment horizontal="center"/>
    </xf>
    <xf numFmtId="0" fontId="28" fillId="6" borderId="0" xfId="0" applyFont="1" applyFill="1" applyAlignment="1" applyProtection="1">
      <alignment horizontal="center"/>
    </xf>
    <xf numFmtId="0" fontId="0" fillId="6" borderId="0" xfId="0" quotePrefix="1" applyFill="1" applyAlignment="1" applyProtection="1">
      <alignment horizontal="left"/>
    </xf>
    <xf numFmtId="0" fontId="11" fillId="6" borderId="0" xfId="0" applyFont="1" applyFill="1" applyBorder="1" applyAlignment="1" applyProtection="1">
      <alignment horizontal="center"/>
    </xf>
    <xf numFmtId="0" fontId="29" fillId="6" borderId="0" xfId="0" applyFont="1" applyFill="1" applyBorder="1" applyAlignment="1" applyProtection="1">
      <alignment horizontal="center"/>
    </xf>
    <xf numFmtId="0" fontId="68" fillId="6" borderId="0" xfId="0" applyFont="1" applyFill="1" applyProtection="1"/>
    <xf numFmtId="0" fontId="68" fillId="6" borderId="0" xfId="0" applyFont="1" applyFill="1" applyAlignment="1" applyProtection="1">
      <alignment horizontal="center"/>
    </xf>
    <xf numFmtId="0" fontId="2" fillId="6" borderId="0" xfId="0" applyFont="1" applyFill="1" applyAlignment="1" applyProtection="1">
      <alignment horizontal="center"/>
    </xf>
    <xf numFmtId="0" fontId="2" fillId="6" borderId="0" xfId="0" applyFont="1" applyFill="1" applyBorder="1" applyAlignment="1" applyProtection="1">
      <alignment horizontal="center"/>
    </xf>
    <xf numFmtId="0" fontId="28" fillId="6" borderId="0" xfId="0" applyFont="1" applyFill="1" applyBorder="1" applyAlignment="1" applyProtection="1">
      <alignment horizontal="center"/>
    </xf>
    <xf numFmtId="0" fontId="0" fillId="6" borderId="0" xfId="0" quotePrefix="1" applyFill="1" applyBorder="1" applyAlignment="1" applyProtection="1">
      <alignment horizontal="center"/>
    </xf>
    <xf numFmtId="0" fontId="68" fillId="6" borderId="4" xfId="0" applyFont="1" applyFill="1" applyBorder="1" applyAlignment="1" applyProtection="1">
      <alignment horizontal="center"/>
    </xf>
    <xf numFmtId="0" fontId="66" fillId="6" borderId="4" xfId="0" applyFont="1" applyFill="1" applyBorder="1" applyAlignment="1" applyProtection="1">
      <alignment horizontal="center"/>
    </xf>
    <xf numFmtId="0" fontId="5" fillId="6" borderId="4" xfId="0" applyFont="1" applyFill="1" applyBorder="1" applyAlignment="1" applyProtection="1">
      <alignment horizontal="center" vertical="top"/>
    </xf>
    <xf numFmtId="0" fontId="75" fillId="6" borderId="4" xfId="0" applyFont="1" applyFill="1" applyBorder="1" applyAlignment="1" applyProtection="1">
      <alignment horizontal="center"/>
    </xf>
    <xf numFmtId="0" fontId="5" fillId="6" borderId="0" xfId="0" applyFont="1" applyFill="1" applyAlignment="1" applyProtection="1">
      <alignment horizontal="center" vertical="top"/>
    </xf>
    <xf numFmtId="167" fontId="66" fillId="6" borderId="4" xfId="3" applyNumberFormat="1" applyFont="1" applyFill="1" applyBorder="1" applyAlignment="1" applyProtection="1">
      <alignment horizontal="center"/>
    </xf>
    <xf numFmtId="0" fontId="49" fillId="6" borderId="0" xfId="0" applyFont="1" applyFill="1" applyAlignment="1" applyProtection="1">
      <alignment horizontal="center"/>
    </xf>
    <xf numFmtId="2" fontId="0" fillId="6" borderId="0" xfId="0" applyNumberFormat="1" applyFill="1" applyBorder="1" applyAlignment="1" applyProtection="1">
      <alignment horizontal="left"/>
    </xf>
    <xf numFmtId="0" fontId="9" fillId="6" borderId="0" xfId="0" applyFont="1" applyFill="1" applyBorder="1" applyAlignment="1" applyProtection="1">
      <alignment horizontal="center"/>
    </xf>
    <xf numFmtId="0" fontId="9" fillId="6" borderId="0" xfId="0" applyFont="1" applyFill="1" applyAlignment="1" applyProtection="1"/>
    <xf numFmtId="0" fontId="0" fillId="6" borderId="0" xfId="0" quotePrefix="1" applyFill="1" applyAlignment="1" applyProtection="1">
      <alignment horizontal="center"/>
    </xf>
    <xf numFmtId="0" fontId="69" fillId="6" borderId="0" xfId="0" applyFont="1" applyFill="1" applyBorder="1" applyAlignment="1" applyProtection="1">
      <alignment horizontal="center"/>
    </xf>
    <xf numFmtId="0" fontId="6" fillId="6" borderId="0" xfId="0" applyFont="1" applyFill="1" applyAlignment="1" applyProtection="1">
      <alignment horizontal="center"/>
    </xf>
    <xf numFmtId="0" fontId="76" fillId="6" borderId="0" xfId="0" applyFont="1" applyFill="1" applyAlignment="1" applyProtection="1">
      <alignment horizontal="right"/>
    </xf>
    <xf numFmtId="0" fontId="76" fillId="6" borderId="0" xfId="0" applyFont="1" applyFill="1" applyAlignment="1" applyProtection="1">
      <alignment horizontal="left"/>
    </xf>
    <xf numFmtId="0" fontId="76" fillId="6" borderId="0" xfId="0" applyFont="1" applyFill="1" applyAlignment="1" applyProtection="1">
      <alignment horizontal="center"/>
    </xf>
    <xf numFmtId="0" fontId="76" fillId="6" borderId="0" xfId="0" applyFont="1" applyFill="1" applyAlignment="1" applyProtection="1"/>
    <xf numFmtId="0" fontId="76" fillId="6" borderId="1" xfId="0" applyFont="1" applyFill="1" applyBorder="1" applyAlignment="1" applyProtection="1">
      <alignment horizontal="center"/>
    </xf>
    <xf numFmtId="0" fontId="66" fillId="6" borderId="0" xfId="0" applyFont="1" applyFill="1" applyAlignment="1" applyProtection="1">
      <alignment horizontal="right"/>
    </xf>
    <xf numFmtId="0" fontId="66" fillId="6" borderId="0" xfId="0" applyFont="1" applyFill="1" applyAlignment="1" applyProtection="1">
      <alignment horizontal="left"/>
    </xf>
    <xf numFmtId="0" fontId="66" fillId="6" borderId="0" xfId="0" applyFont="1" applyFill="1" applyAlignment="1" applyProtection="1">
      <alignment horizontal="center"/>
    </xf>
    <xf numFmtId="0" fontId="66" fillId="6" borderId="0" xfId="0" applyFont="1" applyFill="1" applyAlignment="1" applyProtection="1"/>
    <xf numFmtId="0" fontId="66" fillId="6" borderId="1" xfId="0" applyFont="1" applyFill="1" applyBorder="1" applyAlignment="1" applyProtection="1">
      <alignment horizontal="center"/>
    </xf>
    <xf numFmtId="0" fontId="0" fillId="0" borderId="32" xfId="0" applyBorder="1" applyProtection="1"/>
    <xf numFmtId="0" fontId="0" fillId="0" borderId="39" xfId="0" applyBorder="1" applyProtection="1"/>
    <xf numFmtId="1" fontId="5" fillId="0" borderId="1" xfId="0" applyNumberFormat="1" applyFont="1" applyFill="1" applyBorder="1" applyAlignment="1" applyProtection="1">
      <alignment horizontal="center"/>
    </xf>
    <xf numFmtId="2" fontId="11" fillId="0" borderId="0" xfId="0" applyNumberFormat="1" applyFont="1" applyFill="1" applyBorder="1" applyAlignment="1" applyProtection="1">
      <alignment horizontal="center"/>
    </xf>
    <xf numFmtId="2" fontId="5" fillId="0" borderId="12" xfId="0" applyNumberFormat="1" applyFont="1" applyFill="1" applyBorder="1" applyAlignment="1" applyProtection="1">
      <alignment horizontal="center"/>
    </xf>
    <xf numFmtId="2" fontId="0" fillId="0" borderId="53" xfId="0" applyNumberFormat="1" applyBorder="1" applyAlignment="1" applyProtection="1">
      <alignment horizontal="center"/>
    </xf>
    <xf numFmtId="0" fontId="5" fillId="6" borderId="7" xfId="0" applyFont="1" applyFill="1" applyBorder="1" applyAlignment="1" applyProtection="1">
      <alignment horizontal="left"/>
    </xf>
    <xf numFmtId="0" fontId="0" fillId="6" borderId="8" xfId="0" applyFill="1" applyBorder="1" applyProtection="1"/>
    <xf numFmtId="0" fontId="5" fillId="6" borderId="0" xfId="0" applyFont="1" applyFill="1" applyBorder="1" applyAlignment="1" applyProtection="1">
      <alignment horizontal="right"/>
    </xf>
    <xf numFmtId="0" fontId="0" fillId="6" borderId="5" xfId="0" applyFill="1" applyBorder="1" applyProtection="1"/>
    <xf numFmtId="0" fontId="79" fillId="6" borderId="0" xfId="0" applyFont="1" applyFill="1" applyBorder="1" applyAlignment="1" applyProtection="1"/>
    <xf numFmtId="0" fontId="5" fillId="0" borderId="0" xfId="0" applyFont="1" applyFill="1" applyProtection="1"/>
    <xf numFmtId="0" fontId="79" fillId="0" borderId="0" xfId="0" applyFont="1" applyFill="1" applyBorder="1" applyAlignment="1" applyProtection="1">
      <alignment horizontal="center"/>
    </xf>
    <xf numFmtId="0" fontId="79" fillId="5" borderId="0" xfId="0" applyFont="1" applyFill="1" applyBorder="1" applyAlignment="1" applyProtection="1"/>
    <xf numFmtId="0" fontId="5" fillId="0" borderId="0" xfId="0" applyFont="1" applyFill="1" applyAlignment="1" applyProtection="1">
      <alignment horizontal="left"/>
    </xf>
    <xf numFmtId="0" fontId="5" fillId="0" borderId="0" xfId="0" applyFont="1" applyFill="1" applyAlignment="1" applyProtection="1">
      <alignment horizontal="center"/>
    </xf>
    <xf numFmtId="49" fontId="5" fillId="0" borderId="0" xfId="0" applyNumberFormat="1" applyFont="1" applyFill="1" applyAlignment="1" applyProtection="1">
      <alignment horizontal="center"/>
    </xf>
    <xf numFmtId="49" fontId="5" fillId="0" borderId="0" xfId="0" applyNumberFormat="1" applyFont="1" applyFill="1" applyAlignment="1" applyProtection="1">
      <alignment horizontal="left"/>
    </xf>
    <xf numFmtId="49" fontId="5" fillId="0" borderId="0" xfId="0" applyNumberFormat="1" applyFont="1" applyFill="1" applyProtection="1"/>
    <xf numFmtId="0" fontId="80" fillId="0" borderId="0" xfId="0" applyFont="1" applyFill="1" applyAlignment="1" applyProtection="1">
      <alignment horizontal="left"/>
    </xf>
    <xf numFmtId="0" fontId="5" fillId="0" borderId="0" xfId="0" applyFont="1" applyFill="1" applyBorder="1" applyProtection="1"/>
    <xf numFmtId="0" fontId="5" fillId="5" borderId="0" xfId="0" applyFont="1" applyFill="1" applyProtection="1"/>
    <xf numFmtId="0" fontId="5" fillId="0" borderId="7" xfId="0" applyFont="1" applyFill="1" applyBorder="1" applyAlignment="1" applyProtection="1">
      <alignment horizontal="left"/>
    </xf>
    <xf numFmtId="0" fontId="5" fillId="0" borderId="7" xfId="0" applyFont="1" applyFill="1" applyBorder="1" applyAlignment="1" applyProtection="1"/>
    <xf numFmtId="0" fontId="5" fillId="0" borderId="0" xfId="0" applyFont="1" applyFill="1" applyBorder="1" applyAlignment="1" applyProtection="1"/>
    <xf numFmtId="0" fontId="24" fillId="0" borderId="0" xfId="0" applyFont="1" applyFill="1" applyBorder="1" applyAlignment="1" applyProtection="1">
      <alignment horizontal="right"/>
    </xf>
    <xf numFmtId="2" fontId="5" fillId="3" borderId="4" xfId="0" applyNumberFormat="1" applyFont="1" applyFill="1" applyBorder="1" applyAlignment="1" applyProtection="1">
      <alignment horizontal="center"/>
      <protection locked="0"/>
    </xf>
    <xf numFmtId="49" fontId="5" fillId="0" borderId="0" xfId="0" applyNumberFormat="1" applyFont="1" applyFill="1" applyBorder="1" applyAlignment="1" applyProtection="1"/>
    <xf numFmtId="0" fontId="24" fillId="0" borderId="0" xfId="0" applyFont="1" applyFill="1" applyBorder="1" applyAlignment="1" applyProtection="1">
      <alignment horizontal="left"/>
    </xf>
    <xf numFmtId="165" fontId="5" fillId="3" borderId="4" xfId="0" applyNumberFormat="1" applyFont="1" applyFill="1" applyBorder="1" applyAlignment="1" applyProtection="1">
      <alignment horizontal="center"/>
      <protection locked="0"/>
    </xf>
    <xf numFmtId="0" fontId="5" fillId="5" borderId="32" xfId="0" applyFont="1" applyFill="1" applyBorder="1" applyProtection="1"/>
    <xf numFmtId="0" fontId="5" fillId="0" borderId="33" xfId="0" applyFont="1" applyFill="1" applyBorder="1" applyAlignment="1" applyProtection="1">
      <alignment horizontal="left"/>
    </xf>
    <xf numFmtId="0" fontId="5" fillId="0" borderId="33" xfId="0" applyFont="1" applyFill="1" applyBorder="1" applyProtection="1"/>
    <xf numFmtId="0" fontId="5" fillId="0" borderId="33" xfId="0" applyFont="1" applyFill="1" applyBorder="1" applyAlignment="1" applyProtection="1">
      <alignment horizontal="center"/>
    </xf>
    <xf numFmtId="0" fontId="5" fillId="0" borderId="34" xfId="0" applyFont="1" applyFill="1" applyBorder="1" applyAlignment="1" applyProtection="1">
      <alignment horizontal="left"/>
    </xf>
    <xf numFmtId="0" fontId="5" fillId="5" borderId="35" xfId="0" applyFont="1" applyFill="1" applyBorder="1" applyProtection="1"/>
    <xf numFmtId="0" fontId="5" fillId="0" borderId="36" xfId="0" applyFont="1" applyFill="1" applyBorder="1" applyAlignment="1" applyProtection="1">
      <alignment horizontal="left"/>
    </xf>
    <xf numFmtId="0" fontId="5" fillId="0" borderId="1" xfId="0" applyFont="1" applyFill="1" applyBorder="1" applyAlignment="1" applyProtection="1">
      <alignment horizontal="left"/>
    </xf>
    <xf numFmtId="0" fontId="5" fillId="0" borderId="1" xfId="0" applyFont="1" applyFill="1" applyBorder="1" applyAlignment="1" applyProtection="1"/>
    <xf numFmtId="0" fontId="5" fillId="0" borderId="1" xfId="0" applyFont="1" applyFill="1" applyBorder="1" applyProtection="1"/>
    <xf numFmtId="0" fontId="5" fillId="5" borderId="1" xfId="0" applyFont="1" applyFill="1" applyBorder="1" applyProtection="1"/>
    <xf numFmtId="0" fontId="51" fillId="5" borderId="36" xfId="0" applyFont="1" applyFill="1" applyBorder="1" applyAlignment="1" applyProtection="1">
      <alignment horizontal="center"/>
    </xf>
    <xf numFmtId="0" fontId="38" fillId="0" borderId="36" xfId="0" applyFont="1" applyFill="1" applyBorder="1" applyAlignment="1" applyProtection="1">
      <alignment horizontal="center"/>
    </xf>
    <xf numFmtId="0" fontId="5" fillId="0" borderId="0" xfId="0" applyFont="1" applyFill="1" applyBorder="1" applyAlignment="1" applyProtection="1">
      <alignment horizontal="right"/>
    </xf>
    <xf numFmtId="0" fontId="5" fillId="0" borderId="36" xfId="0" applyFont="1" applyFill="1" applyBorder="1" applyAlignment="1" applyProtection="1">
      <alignment horizontal="center"/>
    </xf>
    <xf numFmtId="0" fontId="4" fillId="0" borderId="0" xfId="0" applyFont="1" applyFill="1" applyBorder="1" applyAlignment="1" applyProtection="1">
      <alignment horizontal="left"/>
    </xf>
    <xf numFmtId="0" fontId="50" fillId="0" borderId="0" xfId="0" applyFont="1" applyFill="1" applyBorder="1" applyAlignment="1" applyProtection="1">
      <alignment horizontal="center"/>
    </xf>
    <xf numFmtId="0" fontId="4" fillId="0" borderId="0" xfId="0" applyFont="1" applyFill="1" applyBorder="1" applyAlignment="1" applyProtection="1">
      <alignment horizontal="right"/>
    </xf>
    <xf numFmtId="0" fontId="4" fillId="0" borderId="0" xfId="0" applyFont="1" applyFill="1" applyBorder="1" applyAlignment="1" applyProtection="1">
      <alignment horizontal="center"/>
    </xf>
    <xf numFmtId="0" fontId="50" fillId="0" borderId="36" xfId="0" applyFont="1" applyFill="1" applyBorder="1" applyAlignment="1" applyProtection="1">
      <alignment horizontal="center"/>
    </xf>
    <xf numFmtId="0" fontId="11" fillId="0" borderId="0" xfId="0" applyFont="1" applyBorder="1" applyProtection="1"/>
    <xf numFmtId="2" fontId="84" fillId="0" borderId="0" xfId="0" applyNumberFormat="1" applyFont="1" applyFill="1" applyBorder="1" applyProtection="1"/>
    <xf numFmtId="0" fontId="5" fillId="5" borderId="0" xfId="0" applyFont="1" applyFill="1" applyBorder="1" applyAlignment="1" applyProtection="1">
      <alignment horizontal="center"/>
    </xf>
    <xf numFmtId="0" fontId="5" fillId="0" borderId="35" xfId="0" applyFont="1" applyBorder="1" applyProtection="1"/>
    <xf numFmtId="0" fontId="85" fillId="5" borderId="0" xfId="1" applyFont="1" applyFill="1" applyBorder="1" applyAlignment="1" applyProtection="1">
      <alignment horizontal="left"/>
    </xf>
    <xf numFmtId="0" fontId="5" fillId="5" borderId="0" xfId="0" applyFont="1" applyFill="1" applyBorder="1" applyProtection="1"/>
    <xf numFmtId="0" fontId="62" fillId="0" borderId="36" xfId="0" quotePrefix="1" applyFont="1" applyFill="1" applyBorder="1" applyAlignment="1" applyProtection="1">
      <alignment horizontal="center" vertical="center"/>
    </xf>
    <xf numFmtId="0" fontId="5" fillId="5" borderId="0" xfId="0" applyFont="1" applyFill="1" applyBorder="1" applyAlignment="1" applyProtection="1">
      <alignment horizontal="left"/>
    </xf>
    <xf numFmtId="0" fontId="50" fillId="0" borderId="0" xfId="0" applyFont="1" applyFill="1" applyBorder="1" applyAlignment="1" applyProtection="1"/>
    <xf numFmtId="0" fontId="5" fillId="5" borderId="36" xfId="0" applyFont="1" applyFill="1" applyBorder="1" applyProtection="1"/>
    <xf numFmtId="0" fontId="5" fillId="0" borderId="1" xfId="0" applyFont="1" applyFill="1" applyBorder="1" applyAlignment="1" applyProtection="1">
      <alignment horizontal="center"/>
    </xf>
    <xf numFmtId="0" fontId="24" fillId="5" borderId="0" xfId="0" applyFont="1" applyFill="1" applyBorder="1" applyAlignment="1" applyProtection="1"/>
    <xf numFmtId="0" fontId="62" fillId="0" borderId="0" xfId="0" quotePrefix="1" applyFont="1" applyFill="1" applyBorder="1" applyAlignment="1" applyProtection="1">
      <alignment horizontal="center" vertical="top"/>
    </xf>
    <xf numFmtId="0" fontId="86" fillId="6" borderId="0" xfId="0" applyFont="1" applyFill="1" applyProtection="1"/>
    <xf numFmtId="0" fontId="86" fillId="6" borderId="0" xfId="0" applyFont="1" applyFill="1" applyAlignment="1" applyProtection="1">
      <alignment horizontal="center"/>
    </xf>
    <xf numFmtId="0" fontId="11" fillId="0" borderId="0" xfId="0" applyFont="1" applyFill="1" applyBorder="1" applyAlignment="1" applyProtection="1"/>
    <xf numFmtId="0" fontId="87" fillId="6" borderId="0" xfId="0" applyFont="1" applyFill="1" applyAlignment="1" applyProtection="1">
      <alignment horizontal="center"/>
    </xf>
    <xf numFmtId="0" fontId="5" fillId="0" borderId="52" xfId="0" applyFont="1" applyBorder="1" applyAlignment="1" applyProtection="1">
      <alignment horizontal="left"/>
    </xf>
    <xf numFmtId="0" fontId="24" fillId="0" borderId="52" xfId="0" applyFont="1" applyBorder="1" applyAlignment="1" applyProtection="1">
      <alignment horizontal="right"/>
    </xf>
    <xf numFmtId="0" fontId="11" fillId="0" borderId="52" xfId="0" applyFont="1" applyBorder="1" applyAlignment="1" applyProtection="1">
      <alignment horizontal="right"/>
    </xf>
    <xf numFmtId="0" fontId="11" fillId="0" borderId="52" xfId="0" applyFont="1" applyBorder="1" applyAlignment="1" applyProtection="1">
      <alignment horizontal="center"/>
    </xf>
    <xf numFmtId="0" fontId="5" fillId="0" borderId="52" xfId="0" applyFont="1" applyBorder="1" applyAlignment="1" applyProtection="1">
      <alignment horizontal="center"/>
    </xf>
    <xf numFmtId="2" fontId="50" fillId="0" borderId="52" xfId="0" applyNumberFormat="1" applyFont="1" applyBorder="1" applyAlignment="1" applyProtection="1">
      <alignment horizontal="center"/>
    </xf>
    <xf numFmtId="0" fontId="5" fillId="0" borderId="36" xfId="0" applyFont="1" applyBorder="1" applyAlignment="1" applyProtection="1">
      <alignment horizontal="left"/>
    </xf>
    <xf numFmtId="2" fontId="86" fillId="6" borderId="0" xfId="0" applyNumberFormat="1" applyFont="1" applyFill="1" applyProtection="1"/>
    <xf numFmtId="0" fontId="24" fillId="0" borderId="0" xfId="0" applyFont="1" applyBorder="1" applyAlignment="1" applyProtection="1">
      <alignment horizontal="right"/>
    </xf>
    <xf numFmtId="0" fontId="11" fillId="0" borderId="0" xfId="0" applyFont="1" applyBorder="1" applyAlignment="1" applyProtection="1">
      <alignment horizontal="right"/>
    </xf>
    <xf numFmtId="0" fontId="11" fillId="0" borderId="0" xfId="0" applyFont="1" applyBorder="1" applyAlignment="1" applyProtection="1">
      <alignment horizontal="center"/>
    </xf>
    <xf numFmtId="0" fontId="5" fillId="0" borderId="0" xfId="0" applyFont="1" applyBorder="1" applyAlignment="1" applyProtection="1">
      <alignment horizontal="center"/>
    </xf>
    <xf numFmtId="2" fontId="50" fillId="0" borderId="0" xfId="0" applyNumberFormat="1" applyFont="1" applyBorder="1" applyAlignment="1" applyProtection="1">
      <alignment horizontal="center"/>
    </xf>
    <xf numFmtId="0" fontId="11" fillId="0" borderId="0" xfId="0" applyFont="1" applyFill="1" applyBorder="1" applyAlignment="1" applyProtection="1">
      <alignment horizontal="left"/>
    </xf>
    <xf numFmtId="0" fontId="5" fillId="0" borderId="35" xfId="0" applyFont="1" applyFill="1" applyBorder="1" applyAlignment="1" applyProtection="1">
      <alignment horizontal="left"/>
    </xf>
    <xf numFmtId="0" fontId="5" fillId="0" borderId="0" xfId="0" applyFont="1" applyBorder="1" applyProtection="1"/>
    <xf numFmtId="2" fontId="5" fillId="6" borderId="0" xfId="0" applyNumberFormat="1" applyFont="1" applyFill="1" applyProtection="1"/>
    <xf numFmtId="0" fontId="88" fillId="5" borderId="0" xfId="0" applyFont="1" applyFill="1" applyBorder="1" applyAlignment="1" applyProtection="1">
      <alignment horizontal="right"/>
    </xf>
    <xf numFmtId="2" fontId="5" fillId="6" borderId="0" xfId="0" applyNumberFormat="1" applyFont="1" applyFill="1" applyAlignment="1" applyProtection="1">
      <alignment horizontal="right"/>
    </xf>
    <xf numFmtId="0" fontId="24" fillId="5" borderId="0" xfId="0" applyFont="1" applyFill="1" applyBorder="1" applyAlignment="1" applyProtection="1">
      <alignment horizontal="left"/>
    </xf>
    <xf numFmtId="0" fontId="89" fillId="5" borderId="0" xfId="1" applyFont="1" applyFill="1" applyBorder="1" applyAlignment="1" applyProtection="1">
      <alignment horizontal="right"/>
    </xf>
    <xf numFmtId="0" fontId="5" fillId="5" borderId="0" xfId="0" applyFont="1" applyFill="1" applyBorder="1" applyAlignment="1" applyProtection="1">
      <alignment textRotation="90"/>
    </xf>
    <xf numFmtId="1" fontId="5" fillId="5" borderId="0" xfId="0" applyNumberFormat="1" applyFont="1" applyFill="1" applyBorder="1" applyProtection="1"/>
    <xf numFmtId="1" fontId="11" fillId="0" borderId="0" xfId="0" applyNumberFormat="1" applyFont="1" applyFill="1" applyBorder="1" applyAlignment="1" applyProtection="1">
      <alignment horizontal="center"/>
    </xf>
    <xf numFmtId="0" fontId="24" fillId="0" borderId="35" xfId="0" applyFont="1" applyFill="1" applyBorder="1" applyAlignment="1" applyProtection="1">
      <alignment horizontal="left"/>
    </xf>
    <xf numFmtId="0" fontId="91" fillId="0" borderId="0" xfId="0" applyFont="1" applyFill="1" applyBorder="1" applyAlignment="1" applyProtection="1">
      <alignment horizontal="left"/>
    </xf>
    <xf numFmtId="0" fontId="24" fillId="0" borderId="0" xfId="0" applyFont="1" applyFill="1" applyBorder="1" applyAlignment="1" applyProtection="1">
      <alignment horizontal="center"/>
    </xf>
    <xf numFmtId="0" fontId="24" fillId="0" borderId="0" xfId="0" applyFont="1" applyFill="1" applyBorder="1" applyAlignment="1" applyProtection="1"/>
    <xf numFmtId="0" fontId="5" fillId="5" borderId="37" xfId="0" applyFont="1" applyFill="1" applyBorder="1" applyProtection="1"/>
    <xf numFmtId="0" fontId="5" fillId="0" borderId="38" xfId="0" applyFont="1" applyFill="1" applyBorder="1" applyAlignment="1" applyProtection="1">
      <alignment horizontal="left"/>
    </xf>
    <xf numFmtId="0" fontId="5" fillId="0" borderId="38" xfId="0" applyFont="1" applyFill="1" applyBorder="1" applyAlignment="1" applyProtection="1">
      <alignment horizontal="center"/>
    </xf>
    <xf numFmtId="1" fontId="5" fillId="0" borderId="38" xfId="0" applyNumberFormat="1" applyFont="1" applyFill="1" applyBorder="1" applyAlignment="1" applyProtection="1">
      <alignment horizontal="left"/>
    </xf>
    <xf numFmtId="0" fontId="5" fillId="0" borderId="39" xfId="0" applyFont="1" applyFill="1" applyBorder="1" applyAlignment="1" applyProtection="1">
      <alignment horizontal="left"/>
    </xf>
    <xf numFmtId="0" fontId="11" fillId="0" borderId="0" xfId="0" applyFont="1" applyFill="1" applyAlignment="1" applyProtection="1">
      <alignment horizontal="left"/>
    </xf>
    <xf numFmtId="0" fontId="82" fillId="0" borderId="0" xfId="1" applyFont="1" applyFill="1" applyBorder="1" applyAlignment="1" applyProtection="1">
      <alignment horizontal="left"/>
    </xf>
    <xf numFmtId="0" fontId="89" fillId="5" borderId="0" xfId="1" applyFont="1" applyFill="1" applyBorder="1" applyAlignment="1" applyProtection="1"/>
    <xf numFmtId="0" fontId="2" fillId="6" borderId="0" xfId="4" applyFill="1" applyBorder="1" applyAlignment="1">
      <alignment horizontal="left"/>
    </xf>
    <xf numFmtId="0" fontId="2" fillId="6" borderId="3" xfId="4" applyFill="1" applyBorder="1" applyAlignment="1">
      <alignment horizontal="left"/>
    </xf>
    <xf numFmtId="0" fontId="2" fillId="6" borderId="1" xfId="4" applyFill="1" applyBorder="1" applyAlignment="1">
      <alignment horizontal="left"/>
    </xf>
    <xf numFmtId="0" fontId="2" fillId="6" borderId="5" xfId="4" applyFill="1" applyBorder="1" applyAlignment="1">
      <alignment horizontal="left"/>
    </xf>
    <xf numFmtId="0" fontId="94" fillId="0" borderId="0" xfId="0" applyFont="1" applyFill="1" applyBorder="1" applyProtection="1"/>
    <xf numFmtId="9" fontId="2" fillId="0" borderId="0" xfId="3" applyFont="1" applyFill="1" applyBorder="1" applyAlignment="1" applyProtection="1">
      <alignment horizontal="left"/>
    </xf>
    <xf numFmtId="9" fontId="43" fillId="0" borderId="36" xfId="3" applyFont="1" applyFill="1" applyBorder="1" applyAlignment="1" applyProtection="1">
      <alignment horizontal="center"/>
    </xf>
    <xf numFmtId="0" fontId="82" fillId="0" borderId="0" xfId="1" applyFont="1" applyFill="1" applyBorder="1" applyAlignment="1" applyProtection="1">
      <alignment horizontal="left"/>
      <protection locked="0"/>
    </xf>
    <xf numFmtId="0" fontId="85" fillId="0" borderId="0" xfId="1" applyFont="1" applyFill="1" applyBorder="1" applyAlignment="1" applyProtection="1">
      <alignment horizontal="left"/>
    </xf>
    <xf numFmtId="0" fontId="90" fillId="0" borderId="0" xfId="1" applyFont="1" applyFill="1" applyBorder="1" applyAlignment="1" applyProtection="1">
      <alignment horizontal="left"/>
      <protection locked="0"/>
    </xf>
    <xf numFmtId="0" fontId="82" fillId="5" borderId="0" xfId="1" applyFont="1" applyFill="1" applyBorder="1" applyAlignment="1" applyProtection="1">
      <alignment horizontal="left"/>
      <protection locked="0"/>
    </xf>
    <xf numFmtId="0" fontId="93" fillId="5" borderId="0" xfId="1" applyFont="1" applyFill="1" applyBorder="1" applyAlignment="1" applyProtection="1">
      <alignment horizontal="left"/>
      <protection locked="0"/>
    </xf>
    <xf numFmtId="49" fontId="5" fillId="3" borderId="1" xfId="0" applyNumberFormat="1" applyFont="1" applyFill="1" applyBorder="1" applyAlignment="1" applyProtection="1">
      <alignment horizontal="left"/>
      <protection locked="0"/>
    </xf>
    <xf numFmtId="0" fontId="82" fillId="0" borderId="0" xfId="1" applyFont="1" applyBorder="1" applyAlignment="1" applyProtection="1">
      <alignment horizontal="center"/>
    </xf>
    <xf numFmtId="0" fontId="78" fillId="5" borderId="0" xfId="0" applyFont="1" applyFill="1" applyAlignment="1" applyProtection="1">
      <alignment horizontal="center" vertical="center" wrapText="1"/>
    </xf>
    <xf numFmtId="0" fontId="11" fillId="5" borderId="0" xfId="0" applyFont="1" applyFill="1" applyBorder="1" applyAlignment="1" applyProtection="1">
      <alignment horizontal="center"/>
    </xf>
    <xf numFmtId="0" fontId="11" fillId="5" borderId="36" xfId="0" applyFont="1" applyFill="1" applyBorder="1" applyAlignment="1" applyProtection="1">
      <alignment horizontal="center"/>
    </xf>
    <xf numFmtId="0" fontId="7" fillId="5" borderId="1" xfId="0" applyFont="1" applyFill="1" applyBorder="1" applyAlignment="1" applyProtection="1">
      <alignment horizontal="center"/>
    </xf>
    <xf numFmtId="0" fontId="83" fillId="0" borderId="1" xfId="0" applyFont="1" applyFill="1" applyBorder="1" applyAlignment="1" applyProtection="1">
      <alignment horizontal="center"/>
    </xf>
    <xf numFmtId="2" fontId="81" fillId="0" borderId="6" xfId="0" applyNumberFormat="1" applyFont="1" applyFill="1" applyBorder="1" applyAlignment="1" applyProtection="1">
      <alignment horizontal="center" vertical="center"/>
    </xf>
    <xf numFmtId="2" fontId="81" fillId="0" borderId="8" xfId="0" applyNumberFormat="1" applyFont="1" applyFill="1" applyBorder="1" applyAlignment="1" applyProtection="1">
      <alignment horizontal="center" vertical="center"/>
    </xf>
    <xf numFmtId="2" fontId="81" fillId="0" borderId="10" xfId="0" applyNumberFormat="1" applyFont="1" applyFill="1" applyBorder="1" applyAlignment="1" applyProtection="1">
      <alignment horizontal="center" vertical="center"/>
    </xf>
    <xf numFmtId="2" fontId="81" fillId="0" borderId="5" xfId="0" applyNumberFormat="1" applyFont="1" applyFill="1" applyBorder="1" applyAlignment="1" applyProtection="1">
      <alignment horizontal="center" vertical="center"/>
    </xf>
    <xf numFmtId="0" fontId="5"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xf>
    <xf numFmtId="49" fontId="5" fillId="3" borderId="1" xfId="0" applyNumberFormat="1" applyFont="1" applyFill="1" applyBorder="1" applyAlignment="1" applyProtection="1">
      <alignment horizontal="center"/>
      <protection locked="0"/>
    </xf>
    <xf numFmtId="0" fontId="0" fillId="6" borderId="0" xfId="0" applyFill="1" applyAlignment="1" applyProtection="1">
      <alignment horizontal="center" wrapText="1"/>
    </xf>
    <xf numFmtId="0" fontId="1" fillId="0" borderId="0" xfId="0" applyFont="1" applyProtection="1"/>
    <xf numFmtId="0" fontId="92" fillId="0" borderId="0" xfId="0" applyFont="1" applyBorder="1" applyAlignment="1" applyProtection="1">
      <alignment horizontal="center" wrapText="1"/>
    </xf>
    <xf numFmtId="0" fontId="68" fillId="0" borderId="0" xfId="1" applyFont="1" applyFill="1" applyBorder="1" applyAlignment="1" applyProtection="1">
      <alignment horizontal="left" wrapText="1"/>
    </xf>
    <xf numFmtId="0" fontId="67" fillId="0" borderId="0" xfId="1" applyFont="1" applyFill="1" applyBorder="1" applyAlignment="1" applyProtection="1">
      <alignment horizontal="left"/>
    </xf>
    <xf numFmtId="0" fontId="95" fillId="0" borderId="33" xfId="0" applyFont="1" applyFill="1" applyBorder="1" applyAlignment="1" applyProtection="1">
      <alignment horizontal="center" vertical="center" wrapText="1"/>
    </xf>
    <xf numFmtId="0" fontId="95" fillId="0" borderId="34" xfId="0" applyFont="1" applyFill="1" applyBorder="1" applyAlignment="1" applyProtection="1">
      <alignment horizontal="center" vertical="center" wrapText="1"/>
    </xf>
    <xf numFmtId="0" fontId="95" fillId="0" borderId="0" xfId="0" applyFont="1" applyFill="1" applyBorder="1" applyAlignment="1" applyProtection="1">
      <alignment horizontal="center" vertical="center" wrapText="1"/>
    </xf>
    <xf numFmtId="0" fontId="95" fillId="0" borderId="36" xfId="0" applyFont="1" applyFill="1" applyBorder="1" applyAlignment="1" applyProtection="1">
      <alignment horizontal="center" vertical="center" wrapText="1"/>
    </xf>
    <xf numFmtId="0" fontId="95" fillId="0" borderId="38" xfId="0" applyFont="1" applyFill="1" applyBorder="1" applyAlignment="1" applyProtection="1">
      <alignment horizontal="center" vertical="center" wrapText="1"/>
    </xf>
    <xf numFmtId="0" fontId="95" fillId="0" borderId="39" xfId="0" applyFont="1" applyFill="1" applyBorder="1" applyAlignment="1" applyProtection="1">
      <alignment horizontal="center" vertical="center" wrapText="1"/>
    </xf>
    <xf numFmtId="0" fontId="0" fillId="6" borderId="0" xfId="0" applyFill="1" applyAlignment="1" applyProtection="1">
      <alignment horizontal="center"/>
      <protection locked="0"/>
    </xf>
    <xf numFmtId="0" fontId="0" fillId="6" borderId="0" xfId="0" applyFill="1" applyAlignment="1" applyProtection="1">
      <alignment horizontal="center"/>
    </xf>
    <xf numFmtId="0" fontId="9" fillId="0" borderId="0" xfId="0" applyFont="1" applyFill="1" applyBorder="1" applyAlignment="1" applyProtection="1">
      <alignment horizontal="center" textRotation="90"/>
    </xf>
    <xf numFmtId="0" fontId="35" fillId="0" borderId="0" xfId="1" applyFill="1" applyBorder="1" applyAlignment="1" applyProtection="1">
      <alignment horizontal="left"/>
      <protection locked="0"/>
    </xf>
    <xf numFmtId="0" fontId="0" fillId="6" borderId="2" xfId="0" applyFill="1" applyBorder="1" applyAlignment="1" applyProtection="1">
      <alignment horizontal="right"/>
    </xf>
    <xf numFmtId="0" fontId="0" fillId="6" borderId="0" xfId="0" applyFill="1" applyBorder="1" applyAlignment="1" applyProtection="1">
      <alignment horizontal="right"/>
    </xf>
    <xf numFmtId="0" fontId="0" fillId="6" borderId="10" xfId="0" applyFill="1" applyBorder="1" applyAlignment="1" applyProtection="1">
      <alignment horizontal="right"/>
    </xf>
    <xf numFmtId="0" fontId="0" fillId="6" borderId="1" xfId="0" applyFill="1" applyBorder="1" applyAlignment="1" applyProtection="1">
      <alignment horizontal="right"/>
    </xf>
    <xf numFmtId="0" fontId="46" fillId="0" borderId="0" xfId="1" applyFont="1" applyFill="1" applyBorder="1" applyAlignment="1" applyProtection="1">
      <alignment horizontal="left"/>
    </xf>
    <xf numFmtId="0" fontId="0" fillId="0" borderId="1" xfId="0" applyFill="1" applyBorder="1" applyAlignment="1" applyProtection="1">
      <alignment horizontal="center"/>
    </xf>
    <xf numFmtId="2" fontId="0" fillId="0" borderId="13" xfId="0" applyNumberFormat="1" applyFill="1" applyBorder="1" applyAlignment="1" applyProtection="1">
      <alignment horizontal="center"/>
    </xf>
    <xf numFmtId="2" fontId="0" fillId="0" borderId="41" xfId="0" applyNumberFormat="1" applyFill="1" applyBorder="1" applyAlignment="1" applyProtection="1">
      <alignment horizontal="center"/>
    </xf>
    <xf numFmtId="0" fontId="18" fillId="6" borderId="2" xfId="0" applyFont="1" applyFill="1" applyBorder="1" applyAlignment="1" applyProtection="1">
      <alignment horizontal="center" textRotation="90"/>
    </xf>
    <xf numFmtId="0" fontId="35" fillId="0" borderId="7" xfId="1" applyFill="1" applyBorder="1" applyAlignment="1" applyProtection="1">
      <alignment horizontal="center"/>
      <protection locked="0"/>
    </xf>
    <xf numFmtId="0" fontId="35" fillId="0" borderId="2" xfId="1" applyFill="1" applyBorder="1" applyAlignment="1" applyProtection="1">
      <alignment horizontal="left"/>
    </xf>
    <xf numFmtId="0" fontId="35" fillId="0" borderId="0" xfId="1" applyFill="1" applyBorder="1" applyAlignment="1" applyProtection="1">
      <alignment horizontal="left"/>
    </xf>
    <xf numFmtId="0" fontId="9" fillId="6" borderId="0" xfId="0" applyFont="1" applyFill="1" applyBorder="1" applyAlignment="1" applyProtection="1">
      <alignment horizontal="center"/>
    </xf>
    <xf numFmtId="0" fontId="0" fillId="6" borderId="0" xfId="0" applyFill="1" applyAlignment="1" applyProtection="1"/>
    <xf numFmtId="0" fontId="18" fillId="0" borderId="0" xfId="0" applyFont="1" applyFill="1" applyBorder="1" applyAlignment="1" applyProtection="1">
      <alignment horizontal="center"/>
    </xf>
    <xf numFmtId="0" fontId="6" fillId="6" borderId="0" xfId="0" applyFont="1" applyFill="1" applyAlignment="1" applyProtection="1">
      <alignment horizontal="center"/>
    </xf>
    <xf numFmtId="0" fontId="66" fillId="6" borderId="0" xfId="0" applyFont="1" applyFill="1" applyBorder="1" applyAlignment="1" applyProtection="1">
      <alignment horizontal="center" wrapText="1"/>
    </xf>
    <xf numFmtId="0" fontId="66" fillId="6" borderId="1" xfId="0" applyFont="1" applyFill="1" applyBorder="1" applyAlignment="1" applyProtection="1">
      <alignment horizontal="center" wrapText="1"/>
    </xf>
    <xf numFmtId="0" fontId="0" fillId="6" borderId="0" xfId="0" applyFill="1" applyBorder="1" applyAlignment="1" applyProtection="1">
      <alignment horizontal="center" wrapText="1"/>
    </xf>
    <xf numFmtId="0" fontId="0" fillId="6" borderId="1" xfId="0" applyFill="1" applyBorder="1" applyAlignment="1" applyProtection="1">
      <alignment horizontal="center" wrapText="1"/>
    </xf>
    <xf numFmtId="0" fontId="76" fillId="6" borderId="0" xfId="0" applyFont="1" applyFill="1" applyBorder="1" applyAlignment="1" applyProtection="1">
      <alignment horizontal="center" wrapText="1"/>
    </xf>
    <xf numFmtId="0" fontId="76" fillId="6" borderId="1" xfId="0" applyFont="1" applyFill="1" applyBorder="1" applyAlignment="1" applyProtection="1">
      <alignment horizontal="center" wrapText="1"/>
    </xf>
    <xf numFmtId="0" fontId="44" fillId="0" borderId="0" xfId="0" applyFont="1" applyFill="1" applyBorder="1" applyAlignment="1" applyProtection="1">
      <alignment horizontal="center" vertical="center"/>
    </xf>
    <xf numFmtId="0" fontId="9" fillId="0" borderId="0" xfId="0" applyFont="1" applyFill="1" applyBorder="1" applyAlignment="1" applyProtection="1">
      <alignment horizontal="center"/>
    </xf>
    <xf numFmtId="0" fontId="0" fillId="0" borderId="0" xfId="0" applyBorder="1" applyAlignment="1" applyProtection="1">
      <alignment horizontal="left" vertical="top" wrapText="1"/>
    </xf>
    <xf numFmtId="0" fontId="60" fillId="0" borderId="0" xfId="0" applyFont="1" applyBorder="1" applyAlignment="1" applyProtection="1">
      <alignment horizontal="center"/>
    </xf>
    <xf numFmtId="0" fontId="6" fillId="0" borderId="0" xfId="0" applyFont="1" applyBorder="1" applyAlignment="1" applyProtection="1">
      <alignment horizontal="center"/>
    </xf>
    <xf numFmtId="0" fontId="9" fillId="0" borderId="0" xfId="0" applyFont="1" applyBorder="1" applyAlignment="1" applyProtection="1">
      <alignment horizontal="center"/>
    </xf>
    <xf numFmtId="0" fontId="16" fillId="0" borderId="0" xfId="0" applyFont="1" applyFill="1" applyBorder="1" applyAlignment="1" applyProtection="1">
      <alignment horizontal="left" vertical="center" wrapText="1"/>
    </xf>
    <xf numFmtId="0" fontId="37" fillId="0" borderId="0" xfId="0" applyFont="1" applyAlignment="1">
      <alignment horizontal="center"/>
    </xf>
    <xf numFmtId="0" fontId="39" fillId="0" borderId="0" xfId="0" applyFont="1" applyAlignment="1">
      <alignment horizontal="center"/>
    </xf>
    <xf numFmtId="0" fontId="38" fillId="3" borderId="1" xfId="0" applyFont="1" applyFill="1" applyBorder="1" applyAlignment="1" applyProtection="1">
      <alignment horizontal="left"/>
      <protection locked="0"/>
    </xf>
    <xf numFmtId="0" fontId="38" fillId="0" borderId="7" xfId="0" applyFont="1" applyBorder="1" applyAlignment="1">
      <alignment horizontal="center"/>
    </xf>
    <xf numFmtId="0" fontId="38" fillId="0" borderId="0" xfId="0" applyFont="1" applyAlignment="1">
      <alignment horizontal="center"/>
    </xf>
    <xf numFmtId="0" fontId="38" fillId="3" borderId="31" xfId="0" applyFont="1" applyFill="1" applyBorder="1" applyAlignment="1" applyProtection="1">
      <alignment horizontal="center"/>
      <protection locked="0"/>
    </xf>
    <xf numFmtId="0" fontId="38" fillId="3" borderId="1" xfId="0" applyFont="1" applyFill="1" applyBorder="1" applyAlignment="1" applyProtection="1">
      <alignment horizontal="center"/>
      <protection locked="0"/>
    </xf>
    <xf numFmtId="0" fontId="38" fillId="3" borderId="1" xfId="0" applyFont="1" applyFill="1" applyBorder="1" applyAlignment="1" applyProtection="1">
      <protection locked="0"/>
    </xf>
  </cellXfs>
  <cellStyles count="5">
    <cellStyle name="Hyperlink" xfId="1" builtinId="8"/>
    <cellStyle name="Normal" xfId="0" builtinId="0"/>
    <cellStyle name="Normal_Sheet1 (2)" xfId="2" xr:uid="{00000000-0005-0000-0000-000002000000}"/>
    <cellStyle name="Normal_SWRWKSHT" xfId="4" xr:uid="{00000000-0005-0000-0000-000003000000}"/>
    <cellStyle name="Percent" xfId="3" builtinId="5"/>
  </cellStyles>
  <dxfs count="10">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font>
    </dxf>
    <dxf>
      <font>
        <color theme="0"/>
      </font>
    </dxf>
    <dxf>
      <font>
        <color theme="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457199</xdr:colOff>
      <xdr:row>52</xdr:row>
      <xdr:rowOff>66674</xdr:rowOff>
    </xdr:from>
    <xdr:to>
      <xdr:col>11</xdr:col>
      <xdr:colOff>171450</xdr:colOff>
      <xdr:row>58</xdr:row>
      <xdr:rowOff>123823</xdr:rowOff>
    </xdr:to>
    <xdr:sp macro="" textlink="">
      <xdr:nvSpPr>
        <xdr:cNvPr id="3" name="Line 5">
          <a:extLst>
            <a:ext uri="{FF2B5EF4-FFF2-40B4-BE49-F238E27FC236}">
              <a16:creationId xmlns:a16="http://schemas.microsoft.com/office/drawing/2014/main" id="{00000000-0008-0000-0100-000003000000}"/>
            </a:ext>
          </a:extLst>
        </xdr:cNvPr>
        <xdr:cNvSpPr>
          <a:spLocks noChangeShapeType="1"/>
        </xdr:cNvSpPr>
      </xdr:nvSpPr>
      <xdr:spPr bwMode="auto">
        <a:xfrm flipV="1">
          <a:off x="4667249" y="8096249"/>
          <a:ext cx="1257301" cy="1028699"/>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192767</xdr:colOff>
      <xdr:row>27</xdr:row>
      <xdr:rowOff>68036</xdr:rowOff>
    </xdr:from>
    <xdr:to>
      <xdr:col>2</xdr:col>
      <xdr:colOff>328839</xdr:colOff>
      <xdr:row>28</xdr:row>
      <xdr:rowOff>113394</xdr:rowOff>
    </xdr:to>
    <xdr:sp macro="" textlink="">
      <xdr:nvSpPr>
        <xdr:cNvPr id="15385" name="Line 38">
          <a:extLst>
            <a:ext uri="{FF2B5EF4-FFF2-40B4-BE49-F238E27FC236}">
              <a16:creationId xmlns:a16="http://schemas.microsoft.com/office/drawing/2014/main" id="{00000000-0008-0000-0400-0000193C0000}"/>
            </a:ext>
          </a:extLst>
        </xdr:cNvPr>
        <xdr:cNvSpPr>
          <a:spLocks noChangeShapeType="1"/>
        </xdr:cNvSpPr>
      </xdr:nvSpPr>
      <xdr:spPr bwMode="auto">
        <a:xfrm flipH="1">
          <a:off x="1065892" y="4637768"/>
          <a:ext cx="136072" cy="204108"/>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351518</xdr:colOff>
      <xdr:row>27</xdr:row>
      <xdr:rowOff>45357</xdr:rowOff>
    </xdr:from>
    <xdr:to>
      <xdr:col>3</xdr:col>
      <xdr:colOff>340179</xdr:colOff>
      <xdr:row>27</xdr:row>
      <xdr:rowOff>56697</xdr:rowOff>
    </xdr:to>
    <xdr:sp macro="" textlink="">
      <xdr:nvSpPr>
        <xdr:cNvPr id="15386" name="Line 39">
          <a:extLst>
            <a:ext uri="{FF2B5EF4-FFF2-40B4-BE49-F238E27FC236}">
              <a16:creationId xmlns:a16="http://schemas.microsoft.com/office/drawing/2014/main" id="{00000000-0008-0000-0400-00001A3C0000}"/>
            </a:ext>
          </a:extLst>
        </xdr:cNvPr>
        <xdr:cNvSpPr>
          <a:spLocks noChangeShapeType="1"/>
        </xdr:cNvSpPr>
      </xdr:nvSpPr>
      <xdr:spPr bwMode="auto">
        <a:xfrm>
          <a:off x="1224643" y="4615089"/>
          <a:ext cx="600982" cy="113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306161</xdr:colOff>
      <xdr:row>27</xdr:row>
      <xdr:rowOff>79374</xdr:rowOff>
    </xdr:from>
    <xdr:to>
      <xdr:col>3</xdr:col>
      <xdr:colOff>408215</xdr:colOff>
      <xdr:row>28</xdr:row>
      <xdr:rowOff>136071</xdr:rowOff>
    </xdr:to>
    <xdr:sp macro="" textlink="">
      <xdr:nvSpPr>
        <xdr:cNvPr id="15387" name="Line 40">
          <a:extLst>
            <a:ext uri="{FF2B5EF4-FFF2-40B4-BE49-F238E27FC236}">
              <a16:creationId xmlns:a16="http://schemas.microsoft.com/office/drawing/2014/main" id="{00000000-0008-0000-0400-00001B3C0000}"/>
            </a:ext>
          </a:extLst>
        </xdr:cNvPr>
        <xdr:cNvSpPr>
          <a:spLocks noChangeShapeType="1"/>
        </xdr:cNvSpPr>
      </xdr:nvSpPr>
      <xdr:spPr bwMode="auto">
        <a:xfrm>
          <a:off x="1791607" y="4649106"/>
          <a:ext cx="102054" cy="215447"/>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192768</xdr:colOff>
      <xdr:row>27</xdr:row>
      <xdr:rowOff>39914</xdr:rowOff>
    </xdr:from>
    <xdr:to>
      <xdr:col>2</xdr:col>
      <xdr:colOff>336096</xdr:colOff>
      <xdr:row>28</xdr:row>
      <xdr:rowOff>113393</xdr:rowOff>
    </xdr:to>
    <xdr:sp macro="" textlink="">
      <xdr:nvSpPr>
        <xdr:cNvPr id="15388" name="Line 41">
          <a:extLst>
            <a:ext uri="{FF2B5EF4-FFF2-40B4-BE49-F238E27FC236}">
              <a16:creationId xmlns:a16="http://schemas.microsoft.com/office/drawing/2014/main" id="{00000000-0008-0000-0400-00001C3C0000}"/>
            </a:ext>
          </a:extLst>
        </xdr:cNvPr>
        <xdr:cNvSpPr>
          <a:spLocks noChangeShapeType="1"/>
        </xdr:cNvSpPr>
      </xdr:nvSpPr>
      <xdr:spPr bwMode="auto">
        <a:xfrm flipH="1">
          <a:off x="805089" y="4609646"/>
          <a:ext cx="404132" cy="23222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340179</xdr:colOff>
      <xdr:row>27</xdr:row>
      <xdr:rowOff>56697</xdr:rowOff>
    </xdr:from>
    <xdr:to>
      <xdr:col>4</xdr:col>
      <xdr:colOff>161925</xdr:colOff>
      <xdr:row>28</xdr:row>
      <xdr:rowOff>104775</xdr:rowOff>
    </xdr:to>
    <xdr:sp macro="" textlink="">
      <xdr:nvSpPr>
        <xdr:cNvPr id="15389" name="Line 42">
          <a:extLst>
            <a:ext uri="{FF2B5EF4-FFF2-40B4-BE49-F238E27FC236}">
              <a16:creationId xmlns:a16="http://schemas.microsoft.com/office/drawing/2014/main" id="{00000000-0008-0000-0400-00001D3C0000}"/>
            </a:ext>
          </a:extLst>
        </xdr:cNvPr>
        <xdr:cNvSpPr>
          <a:spLocks noChangeShapeType="1"/>
        </xdr:cNvSpPr>
      </xdr:nvSpPr>
      <xdr:spPr bwMode="auto">
        <a:xfrm>
          <a:off x="1825625" y="4626429"/>
          <a:ext cx="434068" cy="2068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161925</xdr:colOff>
      <xdr:row>28</xdr:row>
      <xdr:rowOff>114300</xdr:rowOff>
    </xdr:from>
    <xdr:to>
      <xdr:col>4</xdr:col>
      <xdr:colOff>161925</xdr:colOff>
      <xdr:row>28</xdr:row>
      <xdr:rowOff>114300</xdr:rowOff>
    </xdr:to>
    <xdr:sp macro="" textlink="">
      <xdr:nvSpPr>
        <xdr:cNvPr id="15390" name="Line 43">
          <a:extLst>
            <a:ext uri="{FF2B5EF4-FFF2-40B4-BE49-F238E27FC236}">
              <a16:creationId xmlns:a16="http://schemas.microsoft.com/office/drawing/2014/main" id="{00000000-0008-0000-0400-00001E3C0000}"/>
            </a:ext>
          </a:extLst>
        </xdr:cNvPr>
        <xdr:cNvSpPr>
          <a:spLocks noChangeShapeType="1"/>
        </xdr:cNvSpPr>
      </xdr:nvSpPr>
      <xdr:spPr bwMode="auto">
        <a:xfrm>
          <a:off x="771525" y="4924425"/>
          <a:ext cx="14763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85725</xdr:colOff>
      <xdr:row>15</xdr:row>
      <xdr:rowOff>104775</xdr:rowOff>
    </xdr:from>
    <xdr:to>
      <xdr:col>8</xdr:col>
      <xdr:colOff>295275</xdr:colOff>
      <xdr:row>15</xdr:row>
      <xdr:rowOff>104775</xdr:rowOff>
    </xdr:to>
    <xdr:sp macro="" textlink="">
      <xdr:nvSpPr>
        <xdr:cNvPr id="15391" name="Line 44">
          <a:extLst>
            <a:ext uri="{FF2B5EF4-FFF2-40B4-BE49-F238E27FC236}">
              <a16:creationId xmlns:a16="http://schemas.microsoft.com/office/drawing/2014/main" id="{00000000-0008-0000-0400-00001F3C0000}"/>
            </a:ext>
          </a:extLst>
        </xdr:cNvPr>
        <xdr:cNvSpPr>
          <a:spLocks noChangeShapeType="1"/>
        </xdr:cNvSpPr>
      </xdr:nvSpPr>
      <xdr:spPr bwMode="auto">
        <a:xfrm flipH="1" flipV="1">
          <a:off x="4610100" y="2809875"/>
          <a:ext cx="209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85725</xdr:colOff>
      <xdr:row>12</xdr:row>
      <xdr:rowOff>104775</xdr:rowOff>
    </xdr:from>
    <xdr:to>
      <xdr:col>8</xdr:col>
      <xdr:colOff>276225</xdr:colOff>
      <xdr:row>12</xdr:row>
      <xdr:rowOff>104775</xdr:rowOff>
    </xdr:to>
    <xdr:sp macro="" textlink="">
      <xdr:nvSpPr>
        <xdr:cNvPr id="15392" name="Line 45">
          <a:extLst>
            <a:ext uri="{FF2B5EF4-FFF2-40B4-BE49-F238E27FC236}">
              <a16:creationId xmlns:a16="http://schemas.microsoft.com/office/drawing/2014/main" id="{00000000-0008-0000-0400-0000203C0000}"/>
            </a:ext>
          </a:extLst>
        </xdr:cNvPr>
        <xdr:cNvSpPr>
          <a:spLocks noChangeShapeType="1"/>
        </xdr:cNvSpPr>
      </xdr:nvSpPr>
      <xdr:spPr bwMode="auto">
        <a:xfrm flipH="1">
          <a:off x="4610100" y="2324100"/>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35"/>
  </sheetPr>
  <dimension ref="B1:V60"/>
  <sheetViews>
    <sheetView showGridLines="0" tabSelected="1" zoomScale="91" zoomScaleNormal="91" workbookViewId="0">
      <selection activeCell="D34" sqref="D34:G34"/>
    </sheetView>
  </sheetViews>
  <sheetFormatPr defaultColWidth="7.7109375" defaultRowHeight="12.75" customHeight="1" x14ac:dyDescent="0.2"/>
  <cols>
    <col min="1" max="2" width="7.7109375" style="278"/>
    <col min="3" max="3" width="7.7109375" style="278" customWidth="1"/>
    <col min="4" max="5" width="7.7109375" style="278"/>
    <col min="6" max="6" width="7.7109375" style="278" customWidth="1"/>
    <col min="7" max="7" width="7.7109375" style="278"/>
    <col min="8" max="9" width="7.7109375" style="278" customWidth="1"/>
    <col min="10" max="11" width="7.7109375" style="278"/>
    <col min="12" max="13" width="7.7109375" style="278" customWidth="1"/>
    <col min="14" max="14" width="7.7109375" style="278"/>
    <col min="15" max="15" width="7.7109375" style="278" customWidth="1"/>
    <col min="16" max="17" width="7.7109375" style="278"/>
    <col min="18" max="18" width="7.7109375" style="278" customWidth="1"/>
    <col min="19" max="16384" width="7.7109375" style="278"/>
  </cols>
  <sheetData>
    <row r="1" spans="2:14" ht="12.75" customHeight="1" x14ac:dyDescent="0.25">
      <c r="D1" s="427"/>
      <c r="E1" s="427"/>
      <c r="F1" s="427"/>
      <c r="G1" s="427"/>
      <c r="H1" s="427"/>
      <c r="I1" s="427"/>
      <c r="J1" s="427"/>
    </row>
    <row r="2" spans="2:14" ht="12.75" customHeight="1" x14ac:dyDescent="0.25">
      <c r="D2" s="427"/>
      <c r="E2" s="427"/>
      <c r="F2" s="427"/>
      <c r="G2" s="427"/>
      <c r="H2" s="427"/>
      <c r="I2" s="427"/>
      <c r="J2" s="427"/>
    </row>
    <row r="3" spans="2:14" ht="12.75" customHeight="1" x14ac:dyDescent="0.25">
      <c r="B3" s="428"/>
      <c r="C3" s="428"/>
      <c r="D3" s="429"/>
      <c r="E3" s="430"/>
      <c r="F3" s="430"/>
      <c r="G3" s="430"/>
      <c r="H3" s="430"/>
      <c r="I3" s="430"/>
      <c r="J3" s="430"/>
      <c r="K3" s="430"/>
      <c r="L3" s="428"/>
      <c r="M3" s="428"/>
      <c r="N3" s="428"/>
    </row>
    <row r="4" spans="2:14" ht="12.75" customHeight="1" x14ac:dyDescent="0.2">
      <c r="B4" s="431"/>
      <c r="C4" s="431"/>
      <c r="D4" s="431"/>
      <c r="E4" s="432"/>
      <c r="F4" s="432"/>
      <c r="G4" s="432"/>
      <c r="H4" s="431"/>
      <c r="I4" s="431"/>
      <c r="J4" s="432"/>
      <c r="K4" s="534" t="s">
        <v>406</v>
      </c>
      <c r="L4" s="534"/>
      <c r="M4" s="534"/>
      <c r="N4" s="534"/>
    </row>
    <row r="5" spans="2:14" ht="12.75" customHeight="1" x14ac:dyDescent="0.2">
      <c r="B5" s="431" t="s">
        <v>0</v>
      </c>
      <c r="C5" s="428"/>
      <c r="D5" s="532"/>
      <c r="E5" s="532"/>
      <c r="F5" s="532"/>
      <c r="G5" s="433"/>
      <c r="H5" s="428"/>
      <c r="I5" s="434"/>
      <c r="J5" s="433"/>
      <c r="K5" s="534"/>
      <c r="L5" s="534"/>
      <c r="M5" s="534"/>
      <c r="N5" s="534"/>
    </row>
    <row r="6" spans="2:14" ht="12.75" customHeight="1" x14ac:dyDescent="0.2">
      <c r="B6" s="431"/>
      <c r="C6" s="428"/>
      <c r="D6" s="434"/>
      <c r="E6" s="433"/>
      <c r="F6" s="433"/>
      <c r="G6" s="433"/>
      <c r="H6" s="434"/>
      <c r="I6" s="434"/>
      <c r="J6" s="433"/>
      <c r="K6" s="534"/>
      <c r="L6" s="534"/>
      <c r="M6" s="534"/>
      <c r="N6" s="534"/>
    </row>
    <row r="7" spans="2:14" ht="12.75" customHeight="1" x14ac:dyDescent="0.2">
      <c r="B7" s="431" t="s">
        <v>1</v>
      </c>
      <c r="C7" s="428"/>
      <c r="D7" s="545"/>
      <c r="E7" s="545"/>
      <c r="F7" s="545"/>
      <c r="G7" s="545"/>
      <c r="H7" s="545"/>
      <c r="I7" s="545"/>
      <c r="J7" s="545"/>
      <c r="K7" s="534" t="s">
        <v>362</v>
      </c>
      <c r="L7" s="534"/>
      <c r="M7" s="534"/>
      <c r="N7" s="534"/>
    </row>
    <row r="8" spans="2:14" ht="12.75" customHeight="1" x14ac:dyDescent="0.2">
      <c r="B8" s="431"/>
      <c r="C8" s="428"/>
      <c r="D8" s="434"/>
      <c r="E8" s="435"/>
      <c r="F8" s="435"/>
      <c r="G8" s="435"/>
      <c r="H8" s="434"/>
      <c r="I8" s="435"/>
      <c r="J8" s="435"/>
      <c r="K8" s="534"/>
      <c r="L8" s="534"/>
      <c r="M8" s="534"/>
      <c r="N8" s="534"/>
    </row>
    <row r="9" spans="2:14" ht="12.75" customHeight="1" x14ac:dyDescent="0.2">
      <c r="B9" s="436" t="s">
        <v>401</v>
      </c>
      <c r="C9" s="428"/>
      <c r="D9" s="532"/>
      <c r="E9" s="532"/>
      <c r="F9" s="532"/>
      <c r="G9" s="20" t="s">
        <v>2</v>
      </c>
      <c r="H9" s="437"/>
      <c r="I9" s="435"/>
      <c r="J9" s="435"/>
      <c r="K9" s="428"/>
      <c r="L9" s="432"/>
      <c r="M9" s="431"/>
      <c r="N9" s="431"/>
    </row>
    <row r="10" spans="2:14" ht="12.75" customHeight="1" x14ac:dyDescent="0.2">
      <c r="B10" s="438"/>
      <c r="C10" s="431"/>
      <c r="D10" s="439"/>
      <c r="E10" s="440"/>
      <c r="F10" s="428"/>
      <c r="G10" s="428"/>
      <c r="H10" s="428"/>
      <c r="I10" s="441"/>
      <c r="J10" s="428"/>
      <c r="K10" s="543" t="s">
        <v>394</v>
      </c>
      <c r="L10" s="544"/>
      <c r="M10" s="539">
        <f>SUM(M29,M41,M44,M51)</f>
        <v>0</v>
      </c>
      <c r="N10" s="540"/>
    </row>
    <row r="11" spans="2:14" ht="12.75" customHeight="1" x14ac:dyDescent="0.2">
      <c r="B11" s="438" t="s">
        <v>359</v>
      </c>
      <c r="C11" s="442"/>
      <c r="D11" s="443"/>
      <c r="E11" s="437" t="s">
        <v>364</v>
      </c>
      <c r="F11" s="444"/>
      <c r="G11" s="444"/>
      <c r="H11" s="428"/>
      <c r="I11" s="428"/>
      <c r="J11" s="428"/>
      <c r="K11" s="543"/>
      <c r="L11" s="544"/>
      <c r="M11" s="541"/>
      <c r="N11" s="542"/>
    </row>
    <row r="12" spans="2:14" ht="12.75" customHeight="1" x14ac:dyDescent="0.2">
      <c r="B12" s="438"/>
      <c r="C12" s="428"/>
      <c r="D12" s="428"/>
      <c r="E12" s="428"/>
      <c r="F12" s="428"/>
      <c r="G12" s="428"/>
      <c r="H12" s="428"/>
      <c r="I12" s="428"/>
      <c r="J12" s="428"/>
      <c r="K12" s="428"/>
      <c r="L12" s="428"/>
      <c r="M12" s="428"/>
      <c r="N12" s="428"/>
    </row>
    <row r="13" spans="2:14" ht="12.75" customHeight="1" x14ac:dyDescent="0.2">
      <c r="B13" s="445" t="s">
        <v>360</v>
      </c>
      <c r="C13" s="428"/>
      <c r="D13" s="446"/>
      <c r="E13" s="428"/>
      <c r="F13" s="428"/>
      <c r="G13" s="428"/>
      <c r="H13" s="428"/>
      <c r="I13" s="428"/>
      <c r="J13" s="428"/>
      <c r="K13" s="428"/>
      <c r="L13" s="428"/>
      <c r="M13" s="428"/>
      <c r="N13" s="428"/>
    </row>
    <row r="14" spans="2:14" ht="12.75" customHeight="1" x14ac:dyDescent="0.2">
      <c r="B14" s="428"/>
      <c r="C14" s="428"/>
      <c r="D14" s="428"/>
      <c r="E14" s="428"/>
      <c r="F14" s="428"/>
      <c r="G14" s="428"/>
      <c r="H14" s="428"/>
      <c r="I14" s="428"/>
      <c r="J14" s="428"/>
      <c r="K14" s="428"/>
      <c r="L14" s="428"/>
      <c r="M14" s="428"/>
      <c r="N14" s="428"/>
    </row>
    <row r="15" spans="2:14" ht="12.75" customHeight="1" x14ac:dyDescent="0.2">
      <c r="B15" s="428"/>
      <c r="C15" s="428"/>
      <c r="D15" s="428"/>
      <c r="E15" s="428"/>
      <c r="F15" s="428"/>
      <c r="G15" s="428"/>
      <c r="H15" s="428"/>
      <c r="I15" s="428"/>
      <c r="J15" s="428"/>
      <c r="K15" s="428"/>
      <c r="L15" s="428"/>
      <c r="M15" s="428"/>
      <c r="N15" s="428"/>
    </row>
    <row r="16" spans="2:14" ht="12.75" customHeight="1" thickBot="1" x14ac:dyDescent="0.25">
      <c r="B16" s="428"/>
      <c r="C16" s="428"/>
      <c r="D16" s="428"/>
      <c r="E16" s="428"/>
      <c r="F16" s="428"/>
      <c r="G16" s="428"/>
      <c r="H16" s="428"/>
      <c r="I16" s="428"/>
      <c r="J16" s="428"/>
      <c r="K16" s="428"/>
      <c r="L16" s="428"/>
      <c r="M16" s="428"/>
      <c r="N16" s="428"/>
    </row>
    <row r="17" spans="2:17" ht="12.75" customHeight="1" x14ac:dyDescent="0.2">
      <c r="B17" s="447"/>
      <c r="C17" s="448"/>
      <c r="D17" s="449"/>
      <c r="E17" s="448"/>
      <c r="F17" s="448"/>
      <c r="G17" s="448"/>
      <c r="H17" s="448"/>
      <c r="I17" s="448"/>
      <c r="J17" s="450"/>
      <c r="K17" s="450"/>
      <c r="L17" s="448"/>
      <c r="M17" s="448"/>
      <c r="N17" s="451"/>
    </row>
    <row r="18" spans="2:17" ht="12.75" customHeight="1" x14ac:dyDescent="0.2">
      <c r="B18" s="452"/>
      <c r="C18" s="20"/>
      <c r="D18" s="535" t="s">
        <v>397</v>
      </c>
      <c r="E18" s="535"/>
      <c r="F18" s="535"/>
      <c r="G18" s="535"/>
      <c r="H18" s="535"/>
      <c r="I18" s="535"/>
      <c r="J18" s="535"/>
      <c r="K18" s="535"/>
      <c r="L18" s="535"/>
      <c r="M18" s="535"/>
      <c r="N18" s="536"/>
    </row>
    <row r="19" spans="2:17" ht="12.75" customHeight="1" x14ac:dyDescent="0.2">
      <c r="B19" s="452"/>
      <c r="C19" s="20"/>
      <c r="D19" s="20"/>
      <c r="E19" s="533" t="s">
        <v>398</v>
      </c>
      <c r="F19" s="533"/>
      <c r="G19" s="533"/>
      <c r="H19" s="533"/>
      <c r="I19" s="533"/>
      <c r="J19" s="533"/>
      <c r="K19" s="533"/>
      <c r="L19" s="533"/>
      <c r="M19" s="20"/>
      <c r="N19" s="453"/>
    </row>
    <row r="20" spans="2:17" ht="12.75" customHeight="1" x14ac:dyDescent="0.25">
      <c r="B20" s="452"/>
      <c r="C20" s="454"/>
      <c r="D20" s="454"/>
      <c r="E20" s="454"/>
      <c r="F20" s="454"/>
      <c r="G20" s="455"/>
      <c r="H20" s="538"/>
      <c r="I20" s="538"/>
      <c r="J20" s="456"/>
      <c r="K20" s="537"/>
      <c r="L20" s="537"/>
      <c r="M20" s="457"/>
      <c r="N20" s="458"/>
    </row>
    <row r="21" spans="2:17" ht="12.75" customHeight="1" x14ac:dyDescent="0.2">
      <c r="B21" s="452"/>
      <c r="C21" s="20"/>
      <c r="D21" s="20"/>
      <c r="E21" s="20"/>
      <c r="F21" s="20"/>
      <c r="G21" s="48"/>
      <c r="H21" s="437"/>
      <c r="I21" s="437"/>
      <c r="J21" s="437"/>
      <c r="K21" s="437"/>
      <c r="L21" s="437"/>
      <c r="M21" s="437"/>
      <c r="N21" s="459"/>
    </row>
    <row r="22" spans="2:17" ht="12.75" customHeight="1" x14ac:dyDescent="0.2">
      <c r="B22" s="452"/>
      <c r="C22" s="20"/>
      <c r="D22" s="20"/>
      <c r="E22" s="20"/>
      <c r="F22" s="20"/>
      <c r="G22" s="48"/>
      <c r="H22" s="437"/>
      <c r="I22" s="437"/>
      <c r="J22" s="460" t="s">
        <v>3</v>
      </c>
      <c r="K22" s="460"/>
      <c r="L22" s="437"/>
      <c r="M22" s="48" t="s">
        <v>148</v>
      </c>
      <c r="N22" s="461"/>
    </row>
    <row r="23" spans="2:17" ht="12.75" customHeight="1" x14ac:dyDescent="0.2">
      <c r="B23" s="452"/>
      <c r="C23" s="462"/>
      <c r="D23" s="441"/>
      <c r="E23" s="441"/>
      <c r="F23" s="20"/>
      <c r="G23" s="463"/>
      <c r="H23" s="437"/>
      <c r="I23" s="437"/>
      <c r="J23" s="464" t="s">
        <v>4</v>
      </c>
      <c r="K23" s="464"/>
      <c r="L23" s="437"/>
      <c r="M23" s="465" t="s">
        <v>5</v>
      </c>
      <c r="N23" s="466"/>
    </row>
    <row r="24" spans="2:17" ht="12.75" customHeight="1" x14ac:dyDescent="0.2">
      <c r="B24" s="452"/>
      <c r="C24" s="467" t="s">
        <v>6</v>
      </c>
      <c r="D24" s="468"/>
      <c r="E24" s="441"/>
      <c r="F24" s="20"/>
      <c r="G24" s="48"/>
      <c r="H24" s="437"/>
      <c r="I24" s="437"/>
      <c r="J24" s="20"/>
      <c r="K24" s="48"/>
      <c r="L24" s="437"/>
      <c r="M24" s="469"/>
      <c r="N24" s="461"/>
    </row>
    <row r="25" spans="2:17" ht="12.75" customHeight="1" x14ac:dyDescent="0.2">
      <c r="B25" s="470"/>
      <c r="C25" s="471"/>
      <c r="D25" s="471"/>
      <c r="E25" s="472"/>
      <c r="F25" s="20"/>
      <c r="G25" s="48"/>
      <c r="H25" s="437"/>
      <c r="I25" s="437"/>
      <c r="J25" s="20"/>
      <c r="K25" s="48"/>
      <c r="L25" s="437"/>
      <c r="M25" s="469"/>
      <c r="N25" s="473"/>
    </row>
    <row r="26" spans="2:17" ht="12.75" customHeight="1" x14ac:dyDescent="0.2">
      <c r="B26" s="452"/>
      <c r="C26" s="474"/>
      <c r="D26" s="527" t="s">
        <v>7</v>
      </c>
      <c r="E26" s="527"/>
      <c r="F26" s="527"/>
      <c r="G26" s="527"/>
      <c r="H26" s="437"/>
      <c r="I26" s="437"/>
      <c r="J26" s="48">
        <v>15</v>
      </c>
      <c r="K26" s="475"/>
      <c r="L26" s="132"/>
      <c r="M26" s="211">
        <f>('Traffic &amp; Accidents'!K64*J26)/20</f>
        <v>0</v>
      </c>
      <c r="N26" s="476"/>
    </row>
    <row r="27" spans="2:17" ht="12.75" customHeight="1" x14ac:dyDescent="0.2">
      <c r="B27" s="452"/>
      <c r="C27" s="474"/>
      <c r="D27" s="527" t="s">
        <v>8</v>
      </c>
      <c r="E27" s="527"/>
      <c r="F27" s="527"/>
      <c r="G27" s="527"/>
      <c r="H27" s="437"/>
      <c r="I27" s="437"/>
      <c r="J27" s="477">
        <v>15</v>
      </c>
      <c r="K27" s="475"/>
      <c r="L27" s="132"/>
      <c r="M27" s="219">
        <f>('Traffic &amp; Accidents'!K90*J27)/25</f>
        <v>0</v>
      </c>
      <c r="N27" s="476"/>
    </row>
    <row r="28" spans="2:17" ht="12.75" customHeight="1" x14ac:dyDescent="0.2">
      <c r="B28" s="452"/>
      <c r="C28" s="472"/>
      <c r="D28" s="478"/>
      <c r="E28" s="478"/>
      <c r="F28" s="445"/>
      <c r="G28" s="211"/>
      <c r="H28" s="437"/>
      <c r="I28" s="437"/>
      <c r="J28" s="48"/>
      <c r="K28" s="437"/>
      <c r="L28" s="133"/>
      <c r="M28" s="479"/>
      <c r="N28" s="476"/>
      <c r="O28" s="480"/>
      <c r="P28" s="481" t="s">
        <v>234</v>
      </c>
      <c r="Q28" s="480"/>
    </row>
    <row r="29" spans="2:17" ht="12.75" customHeight="1" x14ac:dyDescent="0.2">
      <c r="B29" s="452"/>
      <c r="C29" s="472"/>
      <c r="D29" s="478"/>
      <c r="E29" s="478"/>
      <c r="F29" s="437"/>
      <c r="G29" s="211"/>
      <c r="H29" s="428"/>
      <c r="I29" s="445" t="s">
        <v>9</v>
      </c>
      <c r="J29" s="48">
        <f>SUM(J26:J28)</f>
        <v>30</v>
      </c>
      <c r="K29" s="482"/>
      <c r="L29" s="133"/>
      <c r="M29" s="420">
        <f>ROUND(SUM(M26:M27),2)</f>
        <v>0</v>
      </c>
      <c r="N29" s="476"/>
      <c r="O29" s="480"/>
      <c r="P29" s="483" t="s">
        <v>208</v>
      </c>
      <c r="Q29" s="480"/>
    </row>
    <row r="30" spans="2:17" ht="12.75" customHeight="1" thickBot="1" x14ac:dyDescent="0.25">
      <c r="B30" s="452"/>
      <c r="C30" s="484"/>
      <c r="D30" s="484"/>
      <c r="E30" s="484"/>
      <c r="F30" s="484"/>
      <c r="G30" s="485"/>
      <c r="H30" s="486"/>
      <c r="I30" s="487"/>
      <c r="J30" s="488"/>
      <c r="K30" s="489"/>
      <c r="L30" s="484"/>
      <c r="M30" s="484"/>
      <c r="N30" s="490"/>
      <c r="O30" s="491">
        <f>IF(AND(Geometry!E35&lt;Geometry!F35,Geometry!F35&lt;Geometry!G35),P30,Geometry!L169)</f>
        <v>0</v>
      </c>
      <c r="P30" s="491">
        <f>IF(Geometry!E35&gt;=Geometry!G35,0,Geometry!L169*((Geometry!F35-Geometry!E35)/(Geometry!G35-Geometry!E35)))</f>
        <v>0</v>
      </c>
      <c r="Q30" s="480"/>
    </row>
    <row r="31" spans="2:17" ht="12.75" customHeight="1" thickTop="1" x14ac:dyDescent="0.2">
      <c r="B31" s="452"/>
      <c r="C31" s="86"/>
      <c r="D31" s="86"/>
      <c r="E31" s="86"/>
      <c r="F31" s="86"/>
      <c r="G31" s="492"/>
      <c r="H31" s="493"/>
      <c r="I31" s="494"/>
      <c r="J31" s="495"/>
      <c r="K31" s="496"/>
      <c r="L31" s="86"/>
      <c r="M31" s="86"/>
      <c r="N31" s="490"/>
      <c r="O31" s="491"/>
      <c r="P31" s="491"/>
      <c r="Q31" s="480"/>
    </row>
    <row r="32" spans="2:17" ht="12.75" customHeight="1" x14ac:dyDescent="0.2">
      <c r="B32" s="452"/>
      <c r="C32" s="497" t="s">
        <v>10</v>
      </c>
      <c r="D32" s="474"/>
      <c r="E32" s="474"/>
      <c r="F32" s="20"/>
      <c r="G32" s="211"/>
      <c r="H32" s="437"/>
      <c r="I32" s="437"/>
      <c r="J32" s="48"/>
      <c r="K32" s="437"/>
      <c r="L32" s="133"/>
      <c r="M32" s="211"/>
      <c r="N32" s="476"/>
    </row>
    <row r="33" spans="2:22" ht="12.75" customHeight="1" x14ac:dyDescent="0.2">
      <c r="B33" s="498"/>
      <c r="C33" s="472"/>
      <c r="D33" s="474"/>
      <c r="E33" s="472"/>
      <c r="F33" s="20"/>
      <c r="G33" s="211"/>
      <c r="H33" s="437"/>
      <c r="I33" s="437"/>
      <c r="J33" s="48"/>
      <c r="K33" s="437"/>
      <c r="L33" s="133"/>
      <c r="M33" s="211"/>
      <c r="N33" s="476"/>
    </row>
    <row r="34" spans="2:22" ht="12.75" customHeight="1" x14ac:dyDescent="0.2">
      <c r="B34" s="452"/>
      <c r="C34" s="474"/>
      <c r="D34" s="527" t="s">
        <v>76</v>
      </c>
      <c r="E34" s="527"/>
      <c r="F34" s="527"/>
      <c r="G34" s="527"/>
      <c r="H34" s="472"/>
      <c r="I34" s="437"/>
      <c r="J34" s="48">
        <v>10</v>
      </c>
      <c r="K34" s="475"/>
      <c r="L34" s="132"/>
      <c r="M34" s="211">
        <f>IF(Structure!F6&gt;10,10,Structure!F6)</f>
        <v>0</v>
      </c>
      <c r="N34" s="476"/>
    </row>
    <row r="35" spans="2:22" ht="12.75" customHeight="1" x14ac:dyDescent="0.2">
      <c r="B35" s="452"/>
      <c r="C35" s="474"/>
      <c r="D35" s="518"/>
      <c r="E35" s="518"/>
      <c r="F35" s="518"/>
      <c r="G35" s="518"/>
      <c r="H35" s="472"/>
      <c r="I35" s="437"/>
      <c r="J35" s="48"/>
      <c r="K35" s="475"/>
      <c r="L35" s="132"/>
      <c r="M35" s="211"/>
      <c r="N35" s="476"/>
    </row>
    <row r="36" spans="2:22" ht="12.75" customHeight="1" x14ac:dyDescent="0.2">
      <c r="B36" s="452"/>
      <c r="C36" s="499"/>
      <c r="D36" s="467" t="s">
        <v>225</v>
      </c>
      <c r="E36" s="472"/>
      <c r="F36" s="131"/>
      <c r="G36" s="472"/>
      <c r="H36" s="472"/>
      <c r="I36" s="437"/>
      <c r="J36" s="48"/>
      <c r="K36" s="437"/>
      <c r="L36" s="133"/>
      <c r="M36" s="211"/>
      <c r="N36" s="476"/>
      <c r="P36" s="253"/>
      <c r="S36" s="253"/>
    </row>
    <row r="37" spans="2:22" ht="12.75" customHeight="1" x14ac:dyDescent="0.2">
      <c r="B37" s="452"/>
      <c r="C37" s="474"/>
      <c r="D37" s="527" t="s">
        <v>77</v>
      </c>
      <c r="E37" s="527"/>
      <c r="F37" s="527"/>
      <c r="G37" s="527"/>
      <c r="H37" s="472"/>
      <c r="I37" s="437"/>
      <c r="J37" s="48">
        <v>3</v>
      </c>
      <c r="K37" s="475"/>
      <c r="L37" s="132"/>
      <c r="M37" s="211">
        <f>Geometry!D14</f>
        <v>0</v>
      </c>
      <c r="N37" s="476"/>
      <c r="P37" s="378"/>
      <c r="S37" s="378"/>
      <c r="V37" s="378"/>
    </row>
    <row r="38" spans="2:22" ht="12.75" customHeight="1" x14ac:dyDescent="0.2">
      <c r="B38" s="452"/>
      <c r="C38" s="474"/>
      <c r="D38" s="527" t="s">
        <v>393</v>
      </c>
      <c r="E38" s="527"/>
      <c r="F38" s="527"/>
      <c r="G38" s="527"/>
      <c r="H38" s="472"/>
      <c r="I38" s="437"/>
      <c r="J38" s="48">
        <v>2</v>
      </c>
      <c r="K38" s="475"/>
      <c r="L38" s="132"/>
      <c r="M38" s="211" t="str">
        <f>IF(OR(Geometry!I29&lt;&gt;0,Geometry!N29&lt;&gt;0),Geometry!K14,"")</f>
        <v/>
      </c>
      <c r="N38" s="476"/>
      <c r="O38" s="500"/>
      <c r="P38" s="500"/>
      <c r="R38" s="500"/>
      <c r="S38" s="500"/>
      <c r="U38" s="500"/>
      <c r="V38" s="500"/>
    </row>
    <row r="39" spans="2:22" ht="12.75" customHeight="1" x14ac:dyDescent="0.2">
      <c r="B39" s="452"/>
      <c r="C39" s="474"/>
      <c r="D39" s="527" t="s">
        <v>78</v>
      </c>
      <c r="E39" s="527"/>
      <c r="F39" s="527"/>
      <c r="G39" s="527"/>
      <c r="H39" s="472"/>
      <c r="I39" s="437"/>
      <c r="J39" s="477">
        <v>15</v>
      </c>
      <c r="K39" s="475"/>
      <c r="L39" s="501"/>
      <c r="M39" s="219">
        <f>Geometry!K35</f>
        <v>0</v>
      </c>
      <c r="N39" s="476"/>
      <c r="O39" s="502"/>
      <c r="P39" s="502"/>
      <c r="R39" s="500"/>
      <c r="S39" s="502"/>
      <c r="U39" s="500"/>
      <c r="V39" s="502"/>
    </row>
    <row r="40" spans="2:22" ht="12.75" customHeight="1" x14ac:dyDescent="0.2">
      <c r="B40" s="452"/>
      <c r="C40" s="474"/>
      <c r="D40" s="503"/>
      <c r="E40" s="472"/>
      <c r="F40" s="504"/>
      <c r="G40" s="131"/>
      <c r="H40" s="472"/>
      <c r="I40" s="437"/>
      <c r="J40" s="48"/>
      <c r="K40" s="437"/>
      <c r="L40" s="505"/>
      <c r="M40" s="211"/>
      <c r="N40" s="476"/>
    </row>
    <row r="41" spans="2:22" ht="12.75" customHeight="1" x14ac:dyDescent="0.2">
      <c r="B41" s="452"/>
      <c r="C41" s="20"/>
      <c r="D41" s="20"/>
      <c r="E41" s="20"/>
      <c r="F41" s="437"/>
      <c r="G41" s="211"/>
      <c r="H41" s="445"/>
      <c r="I41" s="445" t="s">
        <v>9</v>
      </c>
      <c r="J41" s="48">
        <f>SUM(J34:J39)</f>
        <v>30</v>
      </c>
      <c r="K41" s="475"/>
      <c r="L41" s="505"/>
      <c r="M41" s="420">
        <f>ROUND(SUM(M34,M37:M39),2)</f>
        <v>0</v>
      </c>
      <c r="N41" s="476"/>
    </row>
    <row r="42" spans="2:22" ht="12.75" customHeight="1" thickBot="1" x14ac:dyDescent="0.25">
      <c r="B42" s="452"/>
      <c r="C42" s="484"/>
      <c r="D42" s="484"/>
      <c r="E42" s="484"/>
      <c r="F42" s="484"/>
      <c r="G42" s="485"/>
      <c r="H42" s="486"/>
      <c r="I42" s="487"/>
      <c r="J42" s="488"/>
      <c r="K42" s="489"/>
      <c r="L42" s="484"/>
      <c r="M42" s="484"/>
      <c r="N42" s="490"/>
    </row>
    <row r="43" spans="2:22" ht="12.75" customHeight="1" thickTop="1" x14ac:dyDescent="0.2">
      <c r="B43" s="452"/>
      <c r="C43" s="528"/>
      <c r="D43" s="528"/>
      <c r="E43" s="528"/>
      <c r="F43" s="20"/>
      <c r="G43" s="211"/>
      <c r="H43" s="437"/>
      <c r="I43" s="437"/>
      <c r="J43" s="48"/>
      <c r="K43" s="437"/>
      <c r="L43" s="505"/>
      <c r="M43" s="211"/>
      <c r="N43" s="476"/>
    </row>
    <row r="44" spans="2:22" ht="12.75" customHeight="1" x14ac:dyDescent="0.2">
      <c r="B44" s="452"/>
      <c r="C44" s="529" t="s">
        <v>399</v>
      </c>
      <c r="D44" s="529"/>
      <c r="E44" s="529"/>
      <c r="F44" s="529"/>
      <c r="G44" s="211"/>
      <c r="H44" s="437"/>
      <c r="I44" s="445" t="s">
        <v>9</v>
      </c>
      <c r="J44" s="48">
        <v>10</v>
      </c>
      <c r="K44" s="475"/>
      <c r="L44" s="132"/>
      <c r="M44" s="420">
        <f>'Traffic &amp; Accidents'!J36</f>
        <v>0</v>
      </c>
      <c r="N44" s="476"/>
    </row>
    <row r="45" spans="2:22" ht="12.75" customHeight="1" x14ac:dyDescent="0.2">
      <c r="B45" s="452"/>
      <c r="C45" s="474"/>
      <c r="D45" s="503"/>
      <c r="E45" s="472"/>
      <c r="F45" s="474"/>
      <c r="G45" s="211"/>
      <c r="H45" s="442"/>
      <c r="I45" s="437"/>
      <c r="J45" s="48"/>
      <c r="K45" s="437"/>
      <c r="L45" s="134"/>
      <c r="M45" s="211"/>
      <c r="N45" s="476"/>
    </row>
    <row r="46" spans="2:22" ht="12.75" customHeight="1" thickBot="1" x14ac:dyDescent="0.25">
      <c r="B46" s="452"/>
      <c r="C46" s="484"/>
      <c r="D46" s="484"/>
      <c r="E46" s="484"/>
      <c r="F46" s="484"/>
      <c r="G46" s="485"/>
      <c r="H46" s="486"/>
      <c r="I46" s="487"/>
      <c r="J46" s="488"/>
      <c r="K46" s="489"/>
      <c r="L46" s="484"/>
      <c r="M46" s="484"/>
      <c r="N46" s="490"/>
    </row>
    <row r="47" spans="2:22" ht="12.75" customHeight="1" thickTop="1" x14ac:dyDescent="0.2">
      <c r="B47" s="452"/>
      <c r="C47" s="474"/>
      <c r="D47" s="474"/>
      <c r="E47" s="474"/>
      <c r="F47" s="474"/>
      <c r="G47" s="53"/>
      <c r="H47" s="437"/>
      <c r="I47" s="437"/>
      <c r="J47" s="48"/>
      <c r="K47" s="437"/>
      <c r="L47" s="135"/>
      <c r="M47" s="53"/>
      <c r="N47" s="476"/>
    </row>
    <row r="48" spans="2:22" ht="12.75" customHeight="1" x14ac:dyDescent="0.2">
      <c r="B48" s="452"/>
      <c r="C48" s="531" t="s">
        <v>246</v>
      </c>
      <c r="D48" s="531"/>
      <c r="E48" s="531"/>
      <c r="F48" s="474"/>
      <c r="G48" s="437"/>
      <c r="H48" s="437"/>
      <c r="I48" s="437"/>
      <c r="J48" s="48">
        <v>10</v>
      </c>
      <c r="K48" s="475"/>
      <c r="L48" s="506"/>
      <c r="M48" s="218">
        <f>'IS and Roadside'!H18</f>
        <v>0</v>
      </c>
      <c r="N48" s="476"/>
    </row>
    <row r="49" spans="2:14" ht="12.75" customHeight="1" x14ac:dyDescent="0.2">
      <c r="B49" s="452"/>
      <c r="C49" s="530" t="s">
        <v>226</v>
      </c>
      <c r="D49" s="530"/>
      <c r="E49" s="530"/>
      <c r="F49" s="519"/>
      <c r="G49" s="48"/>
      <c r="H49" s="437"/>
      <c r="I49" s="437"/>
      <c r="J49" s="477">
        <v>20</v>
      </c>
      <c r="K49" s="475"/>
      <c r="L49" s="133"/>
      <c r="M49" s="419">
        <f>'IS and Roadside'!H52</f>
        <v>0</v>
      </c>
      <c r="N49" s="476"/>
    </row>
    <row r="50" spans="2:14" ht="12.75" customHeight="1" x14ac:dyDescent="0.2">
      <c r="B50" s="452"/>
      <c r="C50" s="519"/>
      <c r="D50" s="437"/>
      <c r="E50" s="519"/>
      <c r="F50" s="519"/>
      <c r="G50" s="48"/>
      <c r="H50" s="437"/>
      <c r="I50" s="437"/>
      <c r="J50" s="48"/>
      <c r="K50" s="475"/>
      <c r="L50" s="133"/>
      <c r="M50" s="218"/>
      <c r="N50" s="476"/>
    </row>
    <row r="51" spans="2:14" ht="12.75" customHeight="1" x14ac:dyDescent="0.2">
      <c r="B51" s="452"/>
      <c r="C51" s="474"/>
      <c r="D51" s="474"/>
      <c r="E51" s="474"/>
      <c r="F51" s="472"/>
      <c r="G51" s="437"/>
      <c r="H51" s="445"/>
      <c r="I51" s="445" t="s">
        <v>9</v>
      </c>
      <c r="J51" s="48">
        <f>SUM(J48:J49)</f>
        <v>30</v>
      </c>
      <c r="K51" s="482"/>
      <c r="L51" s="506"/>
      <c r="M51" s="507">
        <f>SUM(M48:M49)</f>
        <v>0</v>
      </c>
      <c r="N51" s="476"/>
    </row>
    <row r="52" spans="2:14" ht="12.75" customHeight="1" thickBot="1" x14ac:dyDescent="0.25">
      <c r="B52" s="452"/>
      <c r="C52" s="484"/>
      <c r="D52" s="484"/>
      <c r="E52" s="484"/>
      <c r="F52" s="484"/>
      <c r="G52" s="485"/>
      <c r="H52" s="486"/>
      <c r="I52" s="487"/>
      <c r="J52" s="488"/>
      <c r="K52" s="489"/>
      <c r="L52" s="484"/>
      <c r="M52" s="484"/>
      <c r="N52" s="490"/>
    </row>
    <row r="53" spans="2:14" ht="12.75" customHeight="1" thickTop="1" x14ac:dyDescent="0.2">
      <c r="B53" s="452"/>
      <c r="C53" s="86"/>
      <c r="D53" s="86"/>
      <c r="E53" s="86"/>
      <c r="F53" s="86"/>
      <c r="G53" s="492"/>
      <c r="H53" s="493"/>
      <c r="I53" s="494"/>
      <c r="J53" s="495"/>
      <c r="K53" s="496"/>
      <c r="L53" s="86"/>
      <c r="M53" s="86"/>
      <c r="N53" s="490"/>
    </row>
    <row r="54" spans="2:14" ht="12.75" customHeight="1" x14ac:dyDescent="0.2">
      <c r="B54" s="508"/>
      <c r="C54" s="472"/>
      <c r="D54" s="472"/>
      <c r="E54" s="474"/>
      <c r="F54" s="474"/>
      <c r="G54" s="211"/>
      <c r="H54" s="437"/>
      <c r="I54" s="128" t="s">
        <v>357</v>
      </c>
      <c r="J54" s="48">
        <f>SUM(J29,J41,J44,J51)</f>
        <v>100</v>
      </c>
      <c r="K54" s="482"/>
      <c r="L54" s="133"/>
      <c r="M54" s="420">
        <f>SUM(M29,M41,M44,M51)</f>
        <v>0</v>
      </c>
      <c r="N54" s="476"/>
    </row>
    <row r="55" spans="2:14" ht="12.75" customHeight="1" x14ac:dyDescent="0.2">
      <c r="B55" s="452"/>
      <c r="C55" s="474"/>
      <c r="D55" s="474"/>
      <c r="E55" s="474"/>
      <c r="F55" s="474"/>
      <c r="G55" s="509"/>
      <c r="H55" s="437"/>
      <c r="I55" s="437"/>
      <c r="J55" s="510" t="s">
        <v>11</v>
      </c>
      <c r="K55" s="510"/>
      <c r="L55" s="132"/>
      <c r="M55" s="511" t="s">
        <v>400</v>
      </c>
      <c r="N55" s="476"/>
    </row>
    <row r="56" spans="2:14" ht="12.75" customHeight="1" thickBot="1" x14ac:dyDescent="0.25">
      <c r="B56" s="512"/>
      <c r="C56" s="513"/>
      <c r="D56" s="513"/>
      <c r="E56" s="513"/>
      <c r="F56" s="513"/>
      <c r="G56" s="513"/>
      <c r="H56" s="513"/>
      <c r="I56" s="513"/>
      <c r="J56" s="514"/>
      <c r="K56" s="513"/>
      <c r="L56" s="513"/>
      <c r="M56" s="515"/>
      <c r="N56" s="516"/>
    </row>
    <row r="57" spans="2:14" ht="12.75" customHeight="1" x14ac:dyDescent="0.2">
      <c r="B57" s="449"/>
      <c r="C57" s="428"/>
      <c r="D57" s="428"/>
      <c r="E57" s="428"/>
      <c r="F57" s="428"/>
      <c r="G57" s="428"/>
      <c r="H57" s="428"/>
      <c r="I57" s="428"/>
      <c r="J57" s="428"/>
      <c r="K57" s="428"/>
      <c r="L57" s="428"/>
      <c r="M57" s="428"/>
      <c r="N57" s="428"/>
    </row>
    <row r="58" spans="2:14" ht="12.75" customHeight="1" x14ac:dyDescent="0.2">
      <c r="B58" s="437"/>
      <c r="C58" s="517"/>
      <c r="D58" s="428"/>
      <c r="E58" s="428"/>
      <c r="F58" s="428"/>
      <c r="G58" s="428"/>
      <c r="H58" s="428"/>
      <c r="I58" s="428"/>
      <c r="J58" s="428"/>
      <c r="K58" s="428"/>
      <c r="L58" s="428"/>
      <c r="M58" s="428"/>
      <c r="N58" s="428"/>
    </row>
    <row r="59" spans="2:14" ht="12.75" customHeight="1" x14ac:dyDescent="0.2">
      <c r="B59" s="437"/>
      <c r="C59" s="431" t="s">
        <v>12</v>
      </c>
      <c r="D59" s="428"/>
      <c r="E59" s="428"/>
      <c r="F59" s="428"/>
      <c r="G59" s="428"/>
      <c r="H59" s="428"/>
      <c r="I59" s="428"/>
      <c r="J59" s="428"/>
      <c r="K59" s="428"/>
      <c r="L59" s="428"/>
      <c r="M59" s="428"/>
      <c r="N59" s="428"/>
    </row>
    <row r="60" spans="2:14" ht="12.75" customHeight="1" x14ac:dyDescent="0.2">
      <c r="B60" s="437"/>
      <c r="C60" s="431"/>
      <c r="D60" s="428"/>
      <c r="E60" s="428"/>
      <c r="F60" s="428"/>
      <c r="G60" s="428"/>
      <c r="H60" s="428"/>
      <c r="I60" s="428"/>
      <c r="J60" s="428"/>
      <c r="K60" s="428"/>
      <c r="L60" s="428"/>
      <c r="M60" s="428"/>
      <c r="N60" s="428"/>
    </row>
  </sheetData>
  <sheetProtection algorithmName="SHA-512" hashValue="LcrMHHwcGKMLhuesN48ZqxWigbT2mYwWjjo+eIiNf2i4B7XZI0qFgGxJGiSajlNtBW3Nc4OGYqbfbSD9I5LwLQ==" saltValue="JDyoymDZIiItGHBbkXTBQw==" spinCount="100000" sheet="1" selectLockedCells="1"/>
  <mergeCells count="21">
    <mergeCell ref="C49:E49"/>
    <mergeCell ref="C48:E48"/>
    <mergeCell ref="D5:F5"/>
    <mergeCell ref="D9:F9"/>
    <mergeCell ref="E19:L19"/>
    <mergeCell ref="K4:N6"/>
    <mergeCell ref="D39:G39"/>
    <mergeCell ref="D18:N18"/>
    <mergeCell ref="K20:L20"/>
    <mergeCell ref="H20:I20"/>
    <mergeCell ref="D34:G34"/>
    <mergeCell ref="D37:G37"/>
    <mergeCell ref="M10:N11"/>
    <mergeCell ref="K10:L11"/>
    <mergeCell ref="D7:J7"/>
    <mergeCell ref="K7:N8"/>
    <mergeCell ref="D38:G38"/>
    <mergeCell ref="D26:G26"/>
    <mergeCell ref="D27:G27"/>
    <mergeCell ref="C43:E43"/>
    <mergeCell ref="C44:F44"/>
  </mergeCells>
  <phoneticPr fontId="0" type="noConversion"/>
  <conditionalFormatting sqref="S38">
    <cfRule type="expression" priority="12" stopIfTrue="1">
      <formula>ISERROR(S38)</formula>
    </cfRule>
  </conditionalFormatting>
  <conditionalFormatting sqref="M38 M10">
    <cfRule type="containsErrors" dxfId="9" priority="4">
      <formula>ISERROR(M10)</formula>
    </cfRule>
  </conditionalFormatting>
  <conditionalFormatting sqref="M41">
    <cfRule type="containsErrors" dxfId="8" priority="3">
      <formula>ISERROR(M41)</formula>
    </cfRule>
  </conditionalFormatting>
  <conditionalFormatting sqref="M54">
    <cfRule type="containsErrors" dxfId="7" priority="2">
      <formula>ISERROR(M54)</formula>
    </cfRule>
  </conditionalFormatting>
  <hyperlinks>
    <hyperlink ref="D34" location="Structure!A1" display="Structural Condition" xr:uid="{00000000-0004-0000-0000-000000000000}"/>
    <hyperlink ref="C48" location="Sheet1!A1" display="3R I/S OPERATION" xr:uid="{00000000-0004-0000-0000-000001000000}"/>
    <hyperlink ref="C49" location="Sheet1!A1" display="3R ROADSIDE HAZARDS" xr:uid="{00000000-0004-0000-0000-000002000000}"/>
    <hyperlink ref="C44:D44" location="'Traffic &amp; Accidents'!A1" display="Local Significance" xr:uid="{00000000-0004-0000-0000-000003000000}"/>
    <hyperlink ref="D37:G37" location="Geometry!D19" display="Horizontal Alignment" xr:uid="{00000000-0004-0000-0000-000004000000}"/>
    <hyperlink ref="D38:G38" location="Geometry!H19" display="Vertical Alignment" xr:uid="{00000000-0004-0000-0000-000005000000}"/>
    <hyperlink ref="D39:G39" location="Geometry!E33" display="Roadway Width" xr:uid="{00000000-0004-0000-0000-000006000000}"/>
    <hyperlink ref="D26:G26" location="'Traffic &amp; Accidents'!D8" display="Traffic Volume" xr:uid="{00000000-0004-0000-0000-000007000000}"/>
    <hyperlink ref="D27:G27" location="'Traffic &amp; Accidents'!I7" display="Accident History" xr:uid="{00000000-0004-0000-0000-000008000000}"/>
    <hyperlink ref="C48:E48" location="'IS and Roadside'!G11" display="3R I/S OPERATION" xr:uid="{00000000-0004-0000-0000-000009000000}"/>
    <hyperlink ref="C49:E49" location="'IS and Roadside'!I27" display="3R ROADSIDE HAZARDS" xr:uid="{00000000-0004-0000-0000-00000A000000}"/>
  </hyperlinks>
  <pageMargins left="0.38" right="0.32" top="0.4" bottom="0.37" header="0.22" footer="0.19"/>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91"/>
  <sheetViews>
    <sheetView showGridLines="0" workbookViewId="0">
      <selection activeCell="C28" sqref="C28"/>
    </sheetView>
  </sheetViews>
  <sheetFormatPr defaultColWidth="7.7109375" defaultRowHeight="12.75" x14ac:dyDescent="0.2"/>
  <cols>
    <col min="1" max="5" width="7.7109375" style="142" customWidth="1"/>
    <col min="6" max="16384" width="7.7109375" style="142"/>
  </cols>
  <sheetData>
    <row r="2" spans="2:13" ht="13.5" thickBot="1" x14ac:dyDescent="0.25">
      <c r="C2" s="141"/>
      <c r="D2" s="138"/>
      <c r="E2" s="157"/>
      <c r="F2" s="158"/>
      <c r="G2" s="138"/>
      <c r="M2" s="141"/>
    </row>
    <row r="3" spans="2:13" x14ac:dyDescent="0.2">
      <c r="B3" s="212"/>
      <c r="C3" s="213"/>
      <c r="D3" s="214"/>
      <c r="E3" s="215"/>
      <c r="F3" s="216"/>
      <c r="G3" s="214"/>
      <c r="H3" s="214"/>
      <c r="I3" s="214"/>
      <c r="J3" s="214"/>
      <c r="K3" s="214"/>
      <c r="L3" s="217"/>
      <c r="M3" s="141"/>
    </row>
    <row r="4" spans="2:13" x14ac:dyDescent="0.2">
      <c r="B4" s="78"/>
      <c r="C4" s="137"/>
      <c r="D4" s="232" t="s">
        <v>92</v>
      </c>
      <c r="E4" s="231"/>
      <c r="F4" s="46"/>
      <c r="G4" s="137"/>
      <c r="H4" s="233"/>
      <c r="I4" s="232" t="s">
        <v>210</v>
      </c>
      <c r="J4" s="45"/>
      <c r="K4" s="45"/>
      <c r="L4" s="79"/>
    </row>
    <row r="5" spans="2:13" x14ac:dyDescent="0.2">
      <c r="B5" s="78"/>
      <c r="C5" s="137"/>
      <c r="D5" s="233"/>
      <c r="E5" s="233"/>
      <c r="F5" s="224"/>
      <c r="G5" s="233"/>
      <c r="H5" s="548" t="s">
        <v>407</v>
      </c>
      <c r="I5" s="548"/>
      <c r="J5" s="548"/>
      <c r="K5" s="45"/>
      <c r="L5" s="79"/>
    </row>
    <row r="6" spans="2:13" x14ac:dyDescent="0.2">
      <c r="B6" s="78"/>
      <c r="C6" s="137"/>
      <c r="D6" s="63"/>
      <c r="E6" s="45" t="s">
        <v>390</v>
      </c>
      <c r="F6" s="45"/>
      <c r="G6" s="45"/>
      <c r="H6" s="548"/>
      <c r="I6" s="548"/>
      <c r="J6" s="548"/>
      <c r="K6" s="45"/>
      <c r="L6" s="79"/>
    </row>
    <row r="7" spans="2:13" x14ac:dyDescent="0.2">
      <c r="B7" s="78"/>
      <c r="C7" s="137"/>
      <c r="D7" s="45"/>
      <c r="E7" s="110" t="s">
        <v>391</v>
      </c>
      <c r="F7" s="45"/>
      <c r="G7" s="45"/>
      <c r="H7" s="45"/>
      <c r="I7" s="5"/>
      <c r="J7" s="43" t="s">
        <v>332</v>
      </c>
      <c r="K7" s="45"/>
      <c r="L7" s="79"/>
    </row>
    <row r="8" spans="2:13" x14ac:dyDescent="0.2">
      <c r="B8" s="78"/>
      <c r="C8" s="165" t="s">
        <v>93</v>
      </c>
      <c r="D8" s="5"/>
      <c r="E8" s="5"/>
      <c r="F8" s="43"/>
      <c r="G8" s="43"/>
      <c r="H8" s="45"/>
      <c r="I8" s="5"/>
      <c r="J8" s="43" t="s">
        <v>94</v>
      </c>
      <c r="K8" s="45"/>
      <c r="L8" s="79"/>
    </row>
    <row r="9" spans="2:13" x14ac:dyDescent="0.2">
      <c r="B9" s="78"/>
      <c r="C9" s="165" t="s">
        <v>392</v>
      </c>
      <c r="D9" s="5"/>
      <c r="E9" s="5"/>
      <c r="F9" s="43"/>
      <c r="G9" s="43"/>
      <c r="H9" s="45"/>
      <c r="I9" s="5"/>
      <c r="J9" s="43" t="s">
        <v>39</v>
      </c>
      <c r="K9" s="45"/>
      <c r="L9" s="79"/>
    </row>
    <row r="10" spans="2:13" x14ac:dyDescent="0.2">
      <c r="B10" s="78"/>
      <c r="C10" s="9"/>
      <c r="D10" s="9"/>
      <c r="E10" s="43"/>
      <c r="F10" s="45"/>
      <c r="G10" s="9"/>
      <c r="H10" s="43"/>
      <c r="I10" s="11"/>
      <c r="J10" s="45"/>
      <c r="K10" s="45"/>
      <c r="L10" s="79"/>
    </row>
    <row r="11" spans="2:13" x14ac:dyDescent="0.2">
      <c r="B11" s="78"/>
      <c r="C11" s="10"/>
      <c r="D11" s="10"/>
      <c r="E11" s="10"/>
      <c r="F11" s="45"/>
      <c r="G11" s="9"/>
      <c r="H11" s="43"/>
      <c r="I11" s="11"/>
      <c r="J11" s="45"/>
      <c r="K11" s="45"/>
      <c r="L11" s="79"/>
    </row>
    <row r="12" spans="2:13" x14ac:dyDescent="0.2">
      <c r="B12" s="78"/>
      <c r="C12" s="10"/>
      <c r="D12" s="10"/>
      <c r="E12" s="45"/>
      <c r="F12" s="45"/>
      <c r="G12" s="24" t="s">
        <v>68</v>
      </c>
      <c r="H12" s="23">
        <f>Geometry!K44</f>
        <v>20</v>
      </c>
      <c r="I12" s="11"/>
      <c r="J12" s="49"/>
      <c r="K12" s="45"/>
      <c r="L12" s="79"/>
    </row>
    <row r="13" spans="2:13" x14ac:dyDescent="0.2">
      <c r="B13" s="78"/>
      <c r="C13" s="9"/>
      <c r="D13" s="9"/>
      <c r="E13" s="43"/>
      <c r="F13" s="45"/>
      <c r="G13" s="9"/>
      <c r="H13" s="43"/>
      <c r="I13" s="11"/>
      <c r="J13" s="45"/>
      <c r="K13" s="45"/>
      <c r="L13" s="79"/>
    </row>
    <row r="14" spans="2:13" x14ac:dyDescent="0.2">
      <c r="B14" s="78"/>
      <c r="C14" s="9"/>
      <c r="D14" s="9"/>
      <c r="E14" s="43"/>
      <c r="F14" s="45"/>
      <c r="G14" s="9"/>
      <c r="H14" s="43"/>
      <c r="I14" s="11"/>
      <c r="J14" s="45"/>
      <c r="K14" s="45"/>
      <c r="L14" s="79"/>
    </row>
    <row r="15" spans="2:13" x14ac:dyDescent="0.2">
      <c r="B15" s="78"/>
      <c r="C15" s="547" t="s">
        <v>389</v>
      </c>
      <c r="D15" s="547"/>
      <c r="E15" s="547"/>
      <c r="F15" s="63"/>
      <c r="G15" s="43"/>
      <c r="H15" s="45"/>
      <c r="I15" s="11"/>
      <c r="J15" s="10"/>
      <c r="K15" s="10"/>
      <c r="L15" s="79"/>
    </row>
    <row r="16" spans="2:13" x14ac:dyDescent="0.2">
      <c r="B16" s="78"/>
      <c r="C16" s="220"/>
      <c r="D16" s="220"/>
      <c r="E16" s="220"/>
      <c r="F16" s="63"/>
      <c r="G16" s="43"/>
      <c r="H16" s="45"/>
      <c r="I16" s="11"/>
      <c r="J16" s="10"/>
      <c r="K16" s="10"/>
      <c r="L16" s="79"/>
    </row>
    <row r="17" spans="2:12" x14ac:dyDescent="0.2">
      <c r="B17" s="78"/>
      <c r="C17" s="9" t="s">
        <v>306</v>
      </c>
      <c r="D17" s="68"/>
      <c r="E17" s="68"/>
      <c r="F17" s="10"/>
      <c r="G17" s="10"/>
      <c r="H17" s="10"/>
      <c r="I17" s="11"/>
      <c r="J17" s="45"/>
      <c r="K17" s="45"/>
      <c r="L17" s="79"/>
    </row>
    <row r="18" spans="2:12" x14ac:dyDescent="0.2">
      <c r="B18" s="78"/>
      <c r="C18" s="59" t="s">
        <v>343</v>
      </c>
      <c r="D18" s="46"/>
      <c r="E18" s="45"/>
      <c r="F18" s="10"/>
      <c r="G18" s="10"/>
      <c r="H18" s="10"/>
      <c r="I18" s="45"/>
      <c r="J18" s="207" t="s">
        <v>24</v>
      </c>
      <c r="K18" s="45"/>
      <c r="L18" s="79"/>
    </row>
    <row r="19" spans="2:12" x14ac:dyDescent="0.2">
      <c r="B19" s="78"/>
      <c r="C19" s="5"/>
      <c r="D19" s="86" t="s">
        <v>237</v>
      </c>
      <c r="E19" s="45"/>
      <c r="F19" s="234"/>
      <c r="G19" s="10"/>
      <c r="H19" s="10"/>
      <c r="I19" s="46"/>
      <c r="J19" s="235" t="str">
        <f>IF(C19=0,"",K19)</f>
        <v/>
      </c>
      <c r="K19" s="236" t="e">
        <f>IF(AND(C19&lt;&gt;0,C19&lt;=1),1,1/C19)</f>
        <v>#DIV/0!</v>
      </c>
      <c r="L19" s="79"/>
    </row>
    <row r="20" spans="2:12" x14ac:dyDescent="0.2">
      <c r="B20" s="78"/>
      <c r="C20" s="5"/>
      <c r="D20" s="86" t="s">
        <v>238</v>
      </c>
      <c r="E20" s="45"/>
      <c r="F20" s="234"/>
      <c r="G20" s="10"/>
      <c r="H20" s="10"/>
      <c r="I20" s="45"/>
      <c r="J20" s="235" t="str">
        <f t="shared" ref="J20:J23" si="0">IF(C20=0,"",K20)</f>
        <v/>
      </c>
      <c r="K20" s="236" t="e">
        <f t="shared" ref="K20:K23" si="1">IF(AND(C20&lt;&gt;0,C20&lt;=1),1,1/C20)</f>
        <v>#DIV/0!</v>
      </c>
      <c r="L20" s="79"/>
    </row>
    <row r="21" spans="2:12" x14ac:dyDescent="0.2">
      <c r="B21" s="78"/>
      <c r="C21" s="5"/>
      <c r="D21" s="86" t="s">
        <v>239</v>
      </c>
      <c r="E21" s="43"/>
      <c r="F21" s="234"/>
      <c r="G21" s="10"/>
      <c r="H21" s="10"/>
      <c r="I21" s="45"/>
      <c r="J21" s="235" t="str">
        <f t="shared" si="0"/>
        <v/>
      </c>
      <c r="K21" s="236" t="e">
        <f t="shared" si="1"/>
        <v>#DIV/0!</v>
      </c>
      <c r="L21" s="79"/>
    </row>
    <row r="22" spans="2:12" x14ac:dyDescent="0.2">
      <c r="B22" s="78"/>
      <c r="C22" s="5"/>
      <c r="D22" s="20" t="s">
        <v>240</v>
      </c>
      <c r="E22" s="43"/>
      <c r="F22" s="234"/>
      <c r="G22" s="10"/>
      <c r="H22" s="10"/>
      <c r="I22" s="45"/>
      <c r="J22" s="235" t="str">
        <f t="shared" si="0"/>
        <v/>
      </c>
      <c r="K22" s="236" t="e">
        <f t="shared" si="1"/>
        <v>#DIV/0!</v>
      </c>
      <c r="L22" s="79"/>
    </row>
    <row r="23" spans="2:12" ht="13.5" thickBot="1" x14ac:dyDescent="0.25">
      <c r="B23" s="78"/>
      <c r="C23" s="5"/>
      <c r="D23" s="28" t="s">
        <v>241</v>
      </c>
      <c r="E23" s="43"/>
      <c r="F23" s="234"/>
      <c r="G23" s="10"/>
      <c r="H23" s="10"/>
      <c r="I23" s="45"/>
      <c r="J23" s="422" t="str">
        <f t="shared" si="0"/>
        <v/>
      </c>
      <c r="K23" s="236" t="e">
        <f t="shared" si="1"/>
        <v>#DIV/0!</v>
      </c>
      <c r="L23" s="79"/>
    </row>
    <row r="24" spans="2:12" x14ac:dyDescent="0.2">
      <c r="B24" s="78"/>
      <c r="C24" s="9"/>
      <c r="D24" s="21"/>
      <c r="E24" s="43"/>
      <c r="F24" s="9"/>
      <c r="G24" s="28"/>
      <c r="H24" s="45"/>
      <c r="I24" s="237" t="s">
        <v>384</v>
      </c>
      <c r="J24" s="421">
        <f>SUM(J19:J23)</f>
        <v>0</v>
      </c>
      <c r="K24" s="238"/>
      <c r="L24" s="79"/>
    </row>
    <row r="25" spans="2:12" x14ac:dyDescent="0.2">
      <c r="B25" s="78"/>
      <c r="C25" s="9"/>
      <c r="D25" s="21"/>
      <c r="E25" s="43"/>
      <c r="F25" s="9"/>
      <c r="G25" s="28"/>
      <c r="H25" s="45"/>
      <c r="I25" s="54"/>
      <c r="J25" s="211"/>
      <c r="K25" s="239"/>
      <c r="L25" s="79"/>
    </row>
    <row r="26" spans="2:12" x14ac:dyDescent="0.2">
      <c r="B26" s="78"/>
      <c r="C26" s="85" t="s">
        <v>307</v>
      </c>
      <c r="D26" s="43"/>
      <c r="E26" s="45"/>
      <c r="F26" s="9"/>
      <c r="G26" s="28"/>
      <c r="H26" s="45"/>
      <c r="I26" s="54"/>
      <c r="J26" s="239"/>
      <c r="K26" s="239"/>
      <c r="L26" s="79"/>
    </row>
    <row r="27" spans="2:12" x14ac:dyDescent="0.2">
      <c r="B27" s="78"/>
      <c r="C27" s="59" t="s">
        <v>343</v>
      </c>
      <c r="D27" s="45"/>
      <c r="E27" s="45"/>
      <c r="F27" s="9"/>
      <c r="G27" s="28"/>
      <c r="H27" s="45"/>
      <c r="I27" s="54"/>
      <c r="J27" s="232" t="s">
        <v>24</v>
      </c>
      <c r="K27" s="231"/>
      <c r="L27" s="79"/>
    </row>
    <row r="28" spans="2:12" x14ac:dyDescent="0.2">
      <c r="B28" s="78"/>
      <c r="C28" s="5"/>
      <c r="D28" s="29" t="s">
        <v>330</v>
      </c>
      <c r="E28" s="45"/>
      <c r="F28" s="9"/>
      <c r="G28" s="28"/>
      <c r="H28" s="45"/>
      <c r="I28" s="54"/>
      <c r="J28" s="235" t="str">
        <f>IF(C28=0,"",K28)</f>
        <v/>
      </c>
      <c r="K28" s="236" t="e">
        <f>IF(AND(C28&lt;&gt;0,C28&lt;=1),1,1/C28)</f>
        <v>#DIV/0!</v>
      </c>
      <c r="L28" s="79"/>
    </row>
    <row r="29" spans="2:12" x14ac:dyDescent="0.2">
      <c r="B29" s="78"/>
      <c r="C29" s="5"/>
      <c r="D29" s="28" t="s">
        <v>331</v>
      </c>
      <c r="E29" s="45"/>
      <c r="F29" s="9"/>
      <c r="G29" s="28"/>
      <c r="H29" s="45"/>
      <c r="I29" s="54"/>
      <c r="J29" s="235" t="str">
        <f t="shared" ref="J29:J32" si="2">IF(C29=0,"",K29)</f>
        <v/>
      </c>
      <c r="K29" s="236" t="e">
        <f t="shared" ref="K29:K32" si="3">IF(AND(C29&lt;&gt;0,C29&lt;=1),1,1/C29)</f>
        <v>#DIV/0!</v>
      </c>
      <c r="L29" s="79"/>
    </row>
    <row r="30" spans="2:12" x14ac:dyDescent="0.2">
      <c r="B30" s="78"/>
      <c r="C30" s="5"/>
      <c r="D30" s="28" t="s">
        <v>242</v>
      </c>
      <c r="E30" s="45"/>
      <c r="F30" s="9"/>
      <c r="G30" s="28"/>
      <c r="H30" s="45"/>
      <c r="I30" s="54"/>
      <c r="J30" s="235" t="str">
        <f t="shared" si="2"/>
        <v/>
      </c>
      <c r="K30" s="236" t="e">
        <f t="shared" si="3"/>
        <v>#DIV/0!</v>
      </c>
      <c r="L30" s="79"/>
    </row>
    <row r="31" spans="2:12" x14ac:dyDescent="0.2">
      <c r="B31" s="78"/>
      <c r="C31" s="5"/>
      <c r="D31" s="28" t="s">
        <v>243</v>
      </c>
      <c r="E31" s="45"/>
      <c r="F31" s="9"/>
      <c r="G31" s="28"/>
      <c r="H31" s="45"/>
      <c r="I31" s="54"/>
      <c r="J31" s="235" t="str">
        <f t="shared" si="2"/>
        <v/>
      </c>
      <c r="K31" s="236" t="e">
        <f t="shared" si="3"/>
        <v>#DIV/0!</v>
      </c>
      <c r="L31" s="79"/>
    </row>
    <row r="32" spans="2:12" ht="13.5" thickBot="1" x14ac:dyDescent="0.25">
      <c r="B32" s="78"/>
      <c r="C32" s="5"/>
      <c r="D32" s="28" t="s">
        <v>244</v>
      </c>
      <c r="E32" s="45"/>
      <c r="F32" s="9"/>
      <c r="G32" s="28"/>
      <c r="H32" s="45"/>
      <c r="I32" s="54"/>
      <c r="J32" s="422" t="str">
        <f t="shared" si="2"/>
        <v/>
      </c>
      <c r="K32" s="236" t="e">
        <f t="shared" si="3"/>
        <v>#DIV/0!</v>
      </c>
      <c r="L32" s="79"/>
    </row>
    <row r="33" spans="2:16" x14ac:dyDescent="0.2">
      <c r="B33" s="78"/>
      <c r="C33" s="9"/>
      <c r="D33" s="21"/>
      <c r="E33" s="43"/>
      <c r="F33" s="9"/>
      <c r="G33" s="28"/>
      <c r="H33" s="45"/>
      <c r="I33" s="130" t="s">
        <v>385</v>
      </c>
      <c r="J33" s="421">
        <f>SUM(J28:J32)</f>
        <v>0</v>
      </c>
      <c r="K33" s="239"/>
      <c r="L33" s="79"/>
    </row>
    <row r="34" spans="2:16" x14ac:dyDescent="0.2">
      <c r="B34" s="78"/>
      <c r="C34" s="9"/>
      <c r="D34" s="21"/>
      <c r="E34" s="43"/>
      <c r="F34" s="9"/>
      <c r="G34" s="28"/>
      <c r="H34" s="45"/>
      <c r="I34" s="54"/>
      <c r="J34" s="239"/>
      <c r="K34" s="239"/>
      <c r="L34" s="79"/>
    </row>
    <row r="35" spans="2:16" ht="13.5" thickBot="1" x14ac:dyDescent="0.25">
      <c r="B35" s="78"/>
      <c r="C35" s="9"/>
      <c r="D35" s="21"/>
      <c r="E35" s="43"/>
      <c r="F35" s="9"/>
      <c r="G35" s="28"/>
      <c r="H35" s="45"/>
      <c r="I35" s="10"/>
      <c r="J35" s="10"/>
      <c r="K35" s="21"/>
      <c r="L35" s="79"/>
    </row>
    <row r="36" spans="2:16" ht="14.25" thickTop="1" thickBot="1" x14ac:dyDescent="0.25">
      <c r="B36" s="78"/>
      <c r="C36" s="9"/>
      <c r="D36" s="21"/>
      <c r="E36" s="43"/>
      <c r="F36" s="9"/>
      <c r="G36" s="28"/>
      <c r="H36" s="45"/>
      <c r="I36" s="206" t="s">
        <v>386</v>
      </c>
      <c r="J36" s="240">
        <f>J24+J33</f>
        <v>0</v>
      </c>
      <c r="K36" s="10"/>
      <c r="L36" s="79"/>
    </row>
    <row r="37" spans="2:16" ht="13.5" thickTop="1" x14ac:dyDescent="0.2">
      <c r="B37" s="78"/>
      <c r="C37" s="9"/>
      <c r="D37" s="21"/>
      <c r="E37" s="43"/>
      <c r="F37" s="9"/>
      <c r="G37" s="28"/>
      <c r="H37" s="45"/>
      <c r="I37" s="45"/>
      <c r="J37" s="10"/>
      <c r="K37" s="10"/>
      <c r="L37" s="79"/>
    </row>
    <row r="38" spans="2:16" ht="13.5" thickBot="1" x14ac:dyDescent="0.25">
      <c r="B38" s="80"/>
      <c r="C38" s="81"/>
      <c r="D38" s="81"/>
      <c r="E38" s="82"/>
      <c r="F38" s="81"/>
      <c r="G38" s="81"/>
      <c r="H38" s="81"/>
      <c r="I38" s="81"/>
      <c r="J38" s="81"/>
      <c r="K38" s="81"/>
      <c r="L38" s="87"/>
    </row>
    <row r="42" spans="2:16" x14ac:dyDescent="0.2">
      <c r="B42" s="155"/>
      <c r="C42" s="155"/>
      <c r="D42" s="155"/>
      <c r="E42" s="155"/>
      <c r="F42" s="155"/>
      <c r="G42" s="155"/>
      <c r="H42" s="155"/>
      <c r="I42" s="151"/>
      <c r="J42" s="155"/>
      <c r="K42" s="151"/>
      <c r="L42" s="155"/>
      <c r="M42" s="155"/>
      <c r="N42" s="155"/>
      <c r="O42" s="155"/>
      <c r="P42" s="155"/>
    </row>
    <row r="43" spans="2:16" x14ac:dyDescent="0.2">
      <c r="B43" s="241" t="s">
        <v>345</v>
      </c>
      <c r="C43" s="155"/>
      <c r="D43" s="155"/>
      <c r="E43" s="155"/>
      <c r="F43" s="155"/>
      <c r="G43" s="155"/>
      <c r="H43" s="155"/>
      <c r="I43" s="151"/>
      <c r="J43" s="155"/>
      <c r="K43" s="155"/>
      <c r="L43" s="155"/>
      <c r="M43" s="155"/>
      <c r="N43" s="155"/>
      <c r="O43" s="155"/>
    </row>
    <row r="44" spans="2:16" x14ac:dyDescent="0.2">
      <c r="B44" s="155"/>
      <c r="C44" s="155"/>
      <c r="D44" s="155"/>
      <c r="E44" s="155"/>
      <c r="F44" s="155"/>
      <c r="G44" s="155"/>
      <c r="H44" s="155"/>
      <c r="I44" s="151"/>
      <c r="J44" s="155"/>
      <c r="K44" s="155"/>
      <c r="L44" s="155"/>
      <c r="M44" s="155"/>
    </row>
    <row r="45" spans="2:16" x14ac:dyDescent="0.2">
      <c r="B45" s="155"/>
      <c r="C45" s="155"/>
      <c r="D45" s="155"/>
      <c r="E45" s="155"/>
      <c r="F45" s="155"/>
      <c r="G45" s="155"/>
      <c r="H45" s="151"/>
      <c r="I45" s="155"/>
      <c r="J45" s="151"/>
      <c r="K45" s="155"/>
      <c r="L45" s="242"/>
      <c r="M45" s="243" t="s">
        <v>138</v>
      </c>
      <c r="N45" s="244"/>
      <c r="O45" s="245"/>
    </row>
    <row r="46" spans="2:16" x14ac:dyDescent="0.2">
      <c r="B46" s="155"/>
      <c r="C46" s="155"/>
      <c r="D46" s="155"/>
      <c r="E46" s="246" t="s">
        <v>14</v>
      </c>
      <c r="F46" s="247">
        <f>'Traffic &amp; Accidents'!D8</f>
        <v>0</v>
      </c>
      <c r="H46" s="155"/>
      <c r="I46" s="246" t="s">
        <v>15</v>
      </c>
      <c r="J46" s="247">
        <f>'Traffic &amp; Accidents'!E8</f>
        <v>0</v>
      </c>
      <c r="K46" s="155"/>
      <c r="L46" s="242"/>
      <c r="M46" s="248"/>
      <c r="N46" s="140"/>
      <c r="O46" s="249"/>
    </row>
    <row r="47" spans="2:16" x14ac:dyDescent="0.2">
      <c r="B47" s="155"/>
      <c r="C47" s="155"/>
      <c r="D47" s="155"/>
      <c r="E47" s="151" t="s">
        <v>16</v>
      </c>
      <c r="F47" s="155"/>
      <c r="H47" s="155"/>
      <c r="I47" s="246"/>
      <c r="J47" s="151"/>
      <c r="K47" s="155"/>
      <c r="L47" s="250"/>
      <c r="M47" s="251" t="s">
        <v>139</v>
      </c>
      <c r="N47" s="252" t="s">
        <v>139</v>
      </c>
      <c r="O47" s="249"/>
    </row>
    <row r="48" spans="2:16" ht="12.75" customHeight="1" x14ac:dyDescent="0.2">
      <c r="B48" s="155"/>
      <c r="C48" s="155"/>
      <c r="D48" s="155"/>
      <c r="E48" s="246" t="s">
        <v>17</v>
      </c>
      <c r="F48" s="247">
        <f>'Traffic &amp; Accidents'!D9</f>
        <v>0</v>
      </c>
      <c r="H48" s="155"/>
      <c r="I48" s="246" t="s">
        <v>18</v>
      </c>
      <c r="J48" s="247">
        <f>'Traffic &amp; Accidents'!E9</f>
        <v>0</v>
      </c>
      <c r="K48" s="155"/>
      <c r="L48" s="253"/>
      <c r="M48" s="251" t="s">
        <v>93</v>
      </c>
      <c r="N48" s="252" t="s">
        <v>140</v>
      </c>
      <c r="O48" s="249"/>
    </row>
    <row r="49" spans="2:17" x14ac:dyDescent="0.2">
      <c r="B49" s="155"/>
      <c r="C49" s="155"/>
      <c r="D49" s="155"/>
      <c r="E49" s="155"/>
      <c r="F49" s="155"/>
      <c r="G49" s="155"/>
      <c r="H49" s="151"/>
      <c r="I49" s="155"/>
      <c r="J49" s="151"/>
      <c r="K49" s="155"/>
      <c r="L49" s="155"/>
      <c r="M49" s="254" t="s">
        <v>141</v>
      </c>
      <c r="N49" s="255" t="s">
        <v>141</v>
      </c>
      <c r="O49" s="249"/>
    </row>
    <row r="50" spans="2:17" x14ac:dyDescent="0.2">
      <c r="B50" s="155"/>
      <c r="C50" s="155" t="s">
        <v>383</v>
      </c>
      <c r="D50" s="155"/>
      <c r="E50" s="155"/>
      <c r="F50" s="155"/>
      <c r="G50" s="155"/>
      <c r="H50" s="151"/>
      <c r="I50" s="155"/>
      <c r="J50" s="151"/>
      <c r="K50" s="155"/>
      <c r="L50" s="155"/>
      <c r="M50" s="251"/>
      <c r="N50" s="252"/>
      <c r="O50" s="249"/>
    </row>
    <row r="51" spans="2:17" x14ac:dyDescent="0.2">
      <c r="B51" s="155"/>
      <c r="C51" s="155" t="s">
        <v>19</v>
      </c>
      <c r="D51" s="155"/>
      <c r="E51" s="155"/>
      <c r="F51" s="155"/>
      <c r="G51" s="155"/>
      <c r="H51" s="151"/>
      <c r="I51" s="155"/>
      <c r="J51" s="151"/>
      <c r="K51" s="155"/>
      <c r="L51" s="155"/>
      <c r="M51" s="256">
        <f>IF(F46=0,0,M52)</f>
        <v>0</v>
      </c>
      <c r="N51" s="141">
        <f>IF(F48=0,0,N52)</f>
        <v>0</v>
      </c>
      <c r="O51" s="249"/>
    </row>
    <row r="52" spans="2:17" x14ac:dyDescent="0.2">
      <c r="B52" s="155"/>
      <c r="C52" s="155"/>
      <c r="D52" s="155"/>
      <c r="E52" s="155"/>
      <c r="F52" s="155"/>
      <c r="G52" s="155"/>
      <c r="L52" s="155"/>
      <c r="M52" s="257">
        <f>IF(AND(F46&lt;501,F46&lt;&gt;0),I58,M53)</f>
        <v>7</v>
      </c>
      <c r="N52" s="258">
        <f>IF(F48&lt;51,I58,N53)</f>
        <v>3</v>
      </c>
      <c r="O52" s="249"/>
    </row>
    <row r="53" spans="2:17" x14ac:dyDescent="0.2">
      <c r="B53" s="155"/>
      <c r="C53" s="155" t="s">
        <v>20</v>
      </c>
      <c r="D53" s="155"/>
      <c r="E53" s="155"/>
      <c r="F53" s="155"/>
      <c r="G53" s="155"/>
      <c r="H53" s="151"/>
      <c r="I53" s="155"/>
      <c r="J53" s="151"/>
      <c r="K53" s="155"/>
      <c r="L53" s="155"/>
      <c r="M53" s="257">
        <f>IF(F46&lt;1001,I59,M54)</f>
        <v>7</v>
      </c>
      <c r="N53" s="258">
        <f>IF(F48&lt;101,I59,N54)</f>
        <v>7</v>
      </c>
      <c r="O53" s="249"/>
    </row>
    <row r="54" spans="2:17" x14ac:dyDescent="0.2">
      <c r="B54" s="155"/>
      <c r="E54" s="155" t="s">
        <v>13</v>
      </c>
      <c r="F54" s="155"/>
      <c r="G54" s="155"/>
      <c r="H54" s="151"/>
      <c r="I54" s="155"/>
      <c r="J54" s="151"/>
      <c r="K54" s="155"/>
      <c r="L54" s="155"/>
      <c r="M54" s="257">
        <f>IF(F46&lt;2001,I60,M55)</f>
        <v>10</v>
      </c>
      <c r="N54" s="258">
        <f>IF(F48&lt;201,I60,N55)</f>
        <v>10</v>
      </c>
      <c r="O54" s="249"/>
    </row>
    <row r="55" spans="2:17" x14ac:dyDescent="0.2">
      <c r="B55" s="155"/>
      <c r="C55" s="151" t="s">
        <v>21</v>
      </c>
      <c r="D55" s="151"/>
      <c r="G55" s="151" t="s">
        <v>21</v>
      </c>
      <c r="H55" s="151"/>
      <c r="I55" s="151"/>
      <c r="J55" s="151"/>
      <c r="K55" s="155"/>
      <c r="L55" s="155"/>
      <c r="M55" s="257">
        <f>IF(F46&lt;5001,I61,M56)</f>
        <v>15</v>
      </c>
      <c r="N55" s="258">
        <f>IF(F48&lt;501,I61,N56)</f>
        <v>15</v>
      </c>
      <c r="O55" s="249"/>
    </row>
    <row r="56" spans="2:17" x14ac:dyDescent="0.2">
      <c r="B56" s="155"/>
      <c r="C56" s="154" t="s">
        <v>22</v>
      </c>
      <c r="D56" s="151"/>
      <c r="G56" s="154" t="s">
        <v>23</v>
      </c>
      <c r="H56" s="151"/>
      <c r="I56" s="154" t="s">
        <v>24</v>
      </c>
      <c r="J56" s="151"/>
      <c r="K56" s="155"/>
      <c r="L56" s="155"/>
      <c r="M56" s="259" t="str">
        <f>IF(F46&gt;=5001,I62,"")</f>
        <v/>
      </c>
      <c r="N56" s="260" t="str">
        <f>IF(F48&gt;=501,I62,"")</f>
        <v/>
      </c>
      <c r="O56" s="261"/>
    </row>
    <row r="57" spans="2:17" x14ac:dyDescent="0.2">
      <c r="B57" s="155"/>
      <c r="C57" s="151"/>
      <c r="D57" s="151"/>
      <c r="G57" s="151"/>
      <c r="H57" s="151"/>
      <c r="I57" s="151"/>
      <c r="J57" s="151"/>
      <c r="K57" s="155"/>
      <c r="L57" s="155"/>
      <c r="M57" s="262"/>
      <c r="N57" s="262"/>
    </row>
    <row r="58" spans="2:17" x14ac:dyDescent="0.2">
      <c r="B58" s="155"/>
      <c r="C58" s="263" t="s">
        <v>154</v>
      </c>
      <c r="D58" s="151"/>
      <c r="E58" s="264" t="s">
        <v>48</v>
      </c>
      <c r="G58" s="263" t="s">
        <v>153</v>
      </c>
      <c r="H58" s="151"/>
      <c r="I58" s="151">
        <v>3</v>
      </c>
      <c r="J58" s="151"/>
      <c r="K58" s="155"/>
      <c r="L58" s="155"/>
      <c r="M58" s="262"/>
      <c r="N58" s="262"/>
    </row>
    <row r="59" spans="2:17" x14ac:dyDescent="0.2">
      <c r="B59" s="155"/>
      <c r="C59" s="151" t="s">
        <v>26</v>
      </c>
      <c r="D59" s="151"/>
      <c r="G59" s="151" t="s">
        <v>27</v>
      </c>
      <c r="H59" s="151"/>
      <c r="I59" s="151">
        <v>7</v>
      </c>
      <c r="J59" s="151"/>
      <c r="K59" s="155"/>
      <c r="L59" s="155"/>
      <c r="M59" s="155"/>
      <c r="N59" s="155"/>
      <c r="O59" s="155"/>
    </row>
    <row r="60" spans="2:17" x14ac:dyDescent="0.2">
      <c r="B60" s="155"/>
      <c r="C60" s="151" t="s">
        <v>28</v>
      </c>
      <c r="D60" s="151"/>
      <c r="G60" s="151" t="s">
        <v>29</v>
      </c>
      <c r="H60" s="151"/>
      <c r="I60" s="151">
        <v>10</v>
      </c>
      <c r="J60" s="151"/>
      <c r="K60" s="155"/>
      <c r="L60" s="155"/>
      <c r="M60" s="155"/>
      <c r="N60" s="155"/>
      <c r="O60" s="155"/>
    </row>
    <row r="61" spans="2:17" x14ac:dyDescent="0.2">
      <c r="B61" s="155"/>
      <c r="C61" s="151" t="s">
        <v>30</v>
      </c>
      <c r="D61" s="151"/>
      <c r="G61" s="151" t="s">
        <v>31</v>
      </c>
      <c r="H61" s="151"/>
      <c r="I61" s="151">
        <v>15</v>
      </c>
      <c r="J61" s="151"/>
      <c r="K61" s="155"/>
      <c r="L61" s="155"/>
      <c r="M61" s="155"/>
      <c r="N61" s="155"/>
      <c r="O61" s="155"/>
    </row>
    <row r="62" spans="2:17" x14ac:dyDescent="0.2">
      <c r="B62" s="155"/>
      <c r="C62" s="263" t="s">
        <v>151</v>
      </c>
      <c r="D62" s="151"/>
      <c r="G62" s="263" t="s">
        <v>152</v>
      </c>
      <c r="H62" s="151"/>
      <c r="I62" s="151">
        <v>20</v>
      </c>
      <c r="J62" s="151"/>
      <c r="K62" s="155"/>
      <c r="L62" s="155"/>
      <c r="M62" s="155"/>
      <c r="N62" s="155"/>
      <c r="O62" s="155"/>
    </row>
    <row r="63" spans="2:17" x14ac:dyDescent="0.2">
      <c r="B63" s="155"/>
      <c r="I63" s="155"/>
      <c r="J63" s="151"/>
      <c r="K63" s="155"/>
      <c r="L63" s="155"/>
      <c r="M63" s="155"/>
      <c r="N63" s="155"/>
      <c r="O63" s="155"/>
    </row>
    <row r="64" spans="2:17" ht="12" customHeight="1" x14ac:dyDescent="0.2">
      <c r="B64" s="155"/>
      <c r="C64" s="155"/>
      <c r="D64" s="155"/>
      <c r="E64" s="155"/>
      <c r="F64" s="155"/>
      <c r="G64" s="155"/>
      <c r="H64" s="265"/>
      <c r="I64" s="155"/>
      <c r="J64" s="266" t="s">
        <v>32</v>
      </c>
      <c r="K64" s="267">
        <f>IF(F48&gt;(F46/10),N51,M51)</f>
        <v>0</v>
      </c>
      <c r="L64" s="546" t="s">
        <v>387</v>
      </c>
      <c r="M64" s="546"/>
      <c r="N64" s="546"/>
      <c r="O64" s="546"/>
      <c r="P64" s="546"/>
      <c r="Q64" s="268"/>
    </row>
    <row r="65" spans="2:17" x14ac:dyDescent="0.2">
      <c r="B65" s="155"/>
      <c r="C65" s="155"/>
      <c r="D65" s="155"/>
      <c r="E65" s="155"/>
      <c r="F65" s="155"/>
      <c r="G65" s="155"/>
      <c r="H65" s="151"/>
      <c r="I65" s="155"/>
      <c r="J65" s="151"/>
      <c r="K65" s="155"/>
      <c r="L65" s="546"/>
      <c r="M65" s="546"/>
      <c r="N65" s="546"/>
      <c r="O65" s="546"/>
      <c r="P65" s="546"/>
      <c r="Q65" s="268"/>
    </row>
    <row r="66" spans="2:17" x14ac:dyDescent="0.2">
      <c r="O66" s="155"/>
    </row>
    <row r="67" spans="2:17" x14ac:dyDescent="0.2">
      <c r="O67" s="155"/>
    </row>
    <row r="69" spans="2:17" x14ac:dyDescent="0.2">
      <c r="B69" s="241" t="s">
        <v>346</v>
      </c>
      <c r="C69" s="155"/>
      <c r="D69" s="155"/>
      <c r="E69" s="155"/>
      <c r="F69" s="155"/>
      <c r="G69" s="155"/>
      <c r="H69" s="155"/>
      <c r="I69" s="151"/>
      <c r="J69" s="155"/>
      <c r="K69" s="151"/>
      <c r="L69" s="155"/>
      <c r="M69" s="155"/>
      <c r="N69" s="155"/>
    </row>
    <row r="70" spans="2:17" x14ac:dyDescent="0.2">
      <c r="B70" s="155"/>
      <c r="C70" s="155"/>
      <c r="D70" s="155"/>
      <c r="E70" s="155"/>
      <c r="F70" s="155"/>
      <c r="G70" s="155"/>
      <c r="H70" s="155"/>
      <c r="I70" s="151"/>
      <c r="J70" s="155"/>
      <c r="K70" s="151"/>
      <c r="L70" s="155"/>
      <c r="M70" s="155"/>
      <c r="N70" s="155"/>
    </row>
    <row r="71" spans="2:17" x14ac:dyDescent="0.2">
      <c r="B71" s="155"/>
      <c r="C71" s="155"/>
      <c r="D71" s="155"/>
      <c r="E71" s="155"/>
      <c r="F71" s="155"/>
      <c r="G71" s="155"/>
      <c r="H71" s="155"/>
      <c r="I71" s="151"/>
      <c r="J71" s="155"/>
      <c r="K71" s="151"/>
      <c r="L71" s="155"/>
      <c r="M71" s="155"/>
      <c r="N71" s="155"/>
    </row>
    <row r="72" spans="2:17" x14ac:dyDescent="0.2">
      <c r="B72" s="155"/>
      <c r="C72" s="155" t="s">
        <v>33</v>
      </c>
      <c r="D72" s="155"/>
      <c r="E72" s="155"/>
      <c r="F72" s="155"/>
      <c r="G72" s="155"/>
      <c r="H72" s="155"/>
      <c r="I72" s="151"/>
      <c r="J72" s="155"/>
      <c r="K72" s="151"/>
      <c r="L72" s="155"/>
      <c r="M72" s="155"/>
      <c r="N72" s="155"/>
    </row>
    <row r="73" spans="2:17" x14ac:dyDescent="0.2">
      <c r="B73" s="155"/>
      <c r="C73" s="155"/>
      <c r="D73" s="155"/>
      <c r="E73" s="155"/>
      <c r="F73" s="155" t="s">
        <v>34</v>
      </c>
      <c r="G73" s="155"/>
      <c r="H73" s="155"/>
      <c r="I73" s="151"/>
      <c r="J73" s="155"/>
      <c r="K73" s="151"/>
      <c r="L73" s="155"/>
      <c r="M73" s="155"/>
      <c r="N73" s="155"/>
    </row>
    <row r="74" spans="2:17" ht="12.75" customHeight="1" x14ac:dyDescent="0.2">
      <c r="B74" s="155"/>
      <c r="C74" s="155"/>
      <c r="D74" s="155"/>
      <c r="E74" s="155"/>
      <c r="F74" s="155" t="s">
        <v>35</v>
      </c>
      <c r="G74" s="155"/>
      <c r="H74" s="151"/>
      <c r="I74" s="155"/>
      <c r="J74" s="151"/>
      <c r="K74" s="155"/>
      <c r="L74" s="155"/>
      <c r="N74" s="155"/>
    </row>
    <row r="75" spans="2:17" x14ac:dyDescent="0.2">
      <c r="B75" s="155"/>
      <c r="C75" s="222"/>
      <c r="D75" s="146" t="s">
        <v>36</v>
      </c>
      <c r="E75" s="155" t="s">
        <v>13</v>
      </c>
      <c r="F75" s="269" t="s">
        <v>37</v>
      </c>
      <c r="G75" s="155"/>
      <c r="H75" s="269" t="s">
        <v>38</v>
      </c>
      <c r="J75" s="269" t="s">
        <v>39</v>
      </c>
      <c r="K75" s="155"/>
      <c r="N75" s="155"/>
    </row>
    <row r="76" spans="2:17" x14ac:dyDescent="0.2">
      <c r="B76" s="155" t="s">
        <v>13</v>
      </c>
      <c r="C76" s="155"/>
      <c r="D76" s="155"/>
      <c r="E76" s="155"/>
      <c r="F76" s="155"/>
      <c r="G76" s="155"/>
      <c r="H76" s="151"/>
      <c r="I76" s="155"/>
      <c r="J76" s="151"/>
      <c r="K76" s="155"/>
      <c r="L76" s="155"/>
      <c r="N76" s="155"/>
    </row>
    <row r="77" spans="2:17" x14ac:dyDescent="0.2">
      <c r="B77" s="155"/>
      <c r="C77" s="155"/>
      <c r="D77" s="155"/>
      <c r="E77" s="155"/>
      <c r="F77" s="155"/>
      <c r="G77" s="155"/>
      <c r="H77" s="151"/>
      <c r="I77" s="155"/>
      <c r="J77" s="151"/>
      <c r="K77" s="155"/>
      <c r="L77" s="155"/>
      <c r="N77" s="155"/>
    </row>
    <row r="78" spans="2:17" x14ac:dyDescent="0.2">
      <c r="B78" s="155"/>
      <c r="C78" s="204"/>
      <c r="D78" s="247"/>
      <c r="E78" s="151"/>
      <c r="F78" s="247">
        <v>0</v>
      </c>
      <c r="G78" s="151"/>
      <c r="H78" s="247">
        <v>0</v>
      </c>
      <c r="I78" s="151"/>
      <c r="J78" s="247">
        <v>0</v>
      </c>
      <c r="K78" s="155"/>
      <c r="L78" s="155"/>
      <c r="N78" s="155"/>
    </row>
    <row r="79" spans="2:17" x14ac:dyDescent="0.2">
      <c r="B79" s="155"/>
      <c r="C79" s="204"/>
      <c r="D79" s="247"/>
      <c r="E79" s="151"/>
      <c r="F79" s="247">
        <v>0</v>
      </c>
      <c r="G79" s="151"/>
      <c r="H79" s="247">
        <v>0</v>
      </c>
      <c r="I79" s="151"/>
      <c r="J79" s="247">
        <v>0</v>
      </c>
      <c r="K79" s="155"/>
      <c r="L79" s="155"/>
      <c r="N79" s="155"/>
    </row>
    <row r="80" spans="2:17" x14ac:dyDescent="0.2">
      <c r="B80" s="155"/>
      <c r="C80" s="205"/>
      <c r="D80" s="247"/>
      <c r="E80" s="151"/>
      <c r="F80" s="247">
        <v>0</v>
      </c>
      <c r="G80" s="151"/>
      <c r="H80" s="247">
        <v>0</v>
      </c>
      <c r="I80" s="151"/>
      <c r="J80" s="247">
        <v>0</v>
      </c>
      <c r="K80" s="155"/>
      <c r="L80" s="155"/>
      <c r="N80" s="155"/>
    </row>
    <row r="81" spans="2:17" x14ac:dyDescent="0.2">
      <c r="B81" s="155"/>
      <c r="C81" s="155"/>
      <c r="D81" s="151"/>
      <c r="E81" s="151"/>
      <c r="F81" s="151"/>
      <c r="G81" s="151"/>
      <c r="H81" s="151"/>
      <c r="I81" s="151"/>
      <c r="J81" s="151"/>
      <c r="K81" s="155"/>
      <c r="L81" s="155"/>
      <c r="N81" s="155"/>
    </row>
    <row r="82" spans="2:17" x14ac:dyDescent="0.2">
      <c r="D82" s="155" t="s">
        <v>40</v>
      </c>
      <c r="E82" s="151"/>
      <c r="F82" s="270">
        <f>'Traffic &amp; Accidents'!I7</f>
        <v>0</v>
      </c>
      <c r="G82" s="151"/>
      <c r="H82" s="270">
        <f>'Traffic &amp; Accidents'!I8</f>
        <v>0</v>
      </c>
      <c r="I82" s="151"/>
      <c r="J82" s="270">
        <f>'Traffic &amp; Accidents'!I9</f>
        <v>0</v>
      </c>
      <c r="K82" s="155"/>
      <c r="L82" s="155"/>
      <c r="N82" s="155"/>
    </row>
    <row r="83" spans="2:17" x14ac:dyDescent="0.2">
      <c r="C83" s="155"/>
      <c r="D83" s="155"/>
      <c r="E83" s="151"/>
      <c r="F83" s="193" t="s">
        <v>41</v>
      </c>
      <c r="G83" s="151"/>
      <c r="H83" s="193" t="s">
        <v>42</v>
      </c>
      <c r="I83" s="151"/>
      <c r="J83" s="193" t="s">
        <v>43</v>
      </c>
      <c r="N83" s="155"/>
    </row>
    <row r="84" spans="2:17" x14ac:dyDescent="0.2">
      <c r="C84" s="155"/>
      <c r="D84" s="155"/>
      <c r="E84" s="151"/>
      <c r="F84" s="151"/>
      <c r="G84" s="151"/>
      <c r="H84" s="151"/>
      <c r="I84" s="151"/>
      <c r="J84" s="151"/>
      <c r="K84" s="155"/>
      <c r="L84" s="155"/>
      <c r="N84" s="155"/>
    </row>
    <row r="85" spans="2:17" x14ac:dyDescent="0.2">
      <c r="D85" s="155" t="s">
        <v>44</v>
      </c>
      <c r="E85" s="151"/>
      <c r="F85" s="267" t="str">
        <f>IF(F82=0,"",F82*1)</f>
        <v/>
      </c>
      <c r="G85" s="151" t="s">
        <v>45</v>
      </c>
      <c r="H85" s="267" t="str">
        <f>IF(H82=0,"",H82*2)</f>
        <v/>
      </c>
      <c r="I85" s="151" t="s">
        <v>45</v>
      </c>
      <c r="J85" s="267" t="str">
        <f>IF(J82=0,"",J82*5)</f>
        <v/>
      </c>
      <c r="K85" s="151"/>
      <c r="N85" s="155"/>
    </row>
    <row r="86" spans="2:17" x14ac:dyDescent="0.2">
      <c r="B86" s="155"/>
      <c r="C86" s="155"/>
      <c r="D86" s="155"/>
      <c r="E86" s="155"/>
      <c r="F86" s="155"/>
      <c r="G86" s="155"/>
      <c r="H86" s="155"/>
      <c r="I86" s="151"/>
      <c r="J86" s="155"/>
      <c r="K86" s="151"/>
      <c r="L86" s="155"/>
      <c r="M86" s="155"/>
      <c r="N86" s="155"/>
    </row>
    <row r="87" spans="2:17" x14ac:dyDescent="0.2">
      <c r="B87" s="155"/>
      <c r="C87" s="155"/>
      <c r="D87" s="155"/>
      <c r="E87" s="155"/>
      <c r="F87" s="155"/>
      <c r="G87" s="155"/>
      <c r="H87" s="155"/>
      <c r="I87" s="151"/>
      <c r="J87" s="155"/>
      <c r="K87" s="151"/>
      <c r="L87" s="155"/>
      <c r="M87" s="155"/>
      <c r="N87" s="155"/>
    </row>
    <row r="88" spans="2:17" x14ac:dyDescent="0.2">
      <c r="B88" s="155"/>
      <c r="C88" s="155"/>
      <c r="D88" s="155"/>
      <c r="E88" s="155"/>
      <c r="F88" s="155"/>
      <c r="G88" s="155"/>
      <c r="H88" s="155"/>
      <c r="I88" s="151"/>
      <c r="J88" s="155"/>
      <c r="K88" s="151"/>
      <c r="L88" s="155"/>
      <c r="M88" s="155"/>
      <c r="N88" s="155"/>
    </row>
    <row r="89" spans="2:17" x14ac:dyDescent="0.2">
      <c r="B89" s="155"/>
      <c r="D89" s="155"/>
      <c r="E89" s="155"/>
      <c r="F89" s="155"/>
      <c r="G89" s="155"/>
      <c r="H89" s="155"/>
      <c r="N89" s="155"/>
    </row>
    <row r="90" spans="2:17" ht="12.75" customHeight="1" x14ac:dyDescent="0.2">
      <c r="B90" s="155"/>
      <c r="C90" s="155"/>
      <c r="D90" s="155"/>
      <c r="E90" s="155"/>
      <c r="F90" s="155"/>
      <c r="G90" s="155"/>
      <c r="H90" s="155"/>
      <c r="I90" s="271"/>
      <c r="J90" s="266" t="s">
        <v>46</v>
      </c>
      <c r="K90" s="267">
        <f>IF(SUM(F85,H85,J85)&gt;25,25,SUM(F85,H85,J85))</f>
        <v>0</v>
      </c>
      <c r="L90" s="546" t="s">
        <v>388</v>
      </c>
      <c r="M90" s="546"/>
      <c r="N90" s="546"/>
      <c r="O90" s="546"/>
      <c r="P90" s="546"/>
      <c r="Q90" s="268"/>
    </row>
    <row r="91" spans="2:17" x14ac:dyDescent="0.2">
      <c r="B91" s="155" t="s">
        <v>13</v>
      </c>
      <c r="C91" s="155"/>
      <c r="D91" s="155"/>
      <c r="E91" s="155"/>
      <c r="F91" s="155"/>
      <c r="G91" s="155"/>
      <c r="H91" s="151"/>
      <c r="I91" s="272" t="s">
        <v>47</v>
      </c>
      <c r="J91" s="151"/>
      <c r="K91" s="155"/>
      <c r="L91" s="546"/>
      <c r="M91" s="546"/>
      <c r="N91" s="546"/>
      <c r="O91" s="546"/>
      <c r="P91" s="546"/>
      <c r="Q91" s="268"/>
    </row>
  </sheetData>
  <sheetProtection algorithmName="SHA-512" hashValue="E/G2hYX4wv1Dl1ndKMP8DVkmleHM4cgpe2LKYibn+FZmXRbFDv/onYhSAz01EYwIXVc9a6kUJOxiocBV/ommRA==" saltValue="BB0MxHdLM2u0gALMAku4hA==" spinCount="100000" sheet="1" selectLockedCells="1"/>
  <mergeCells count="4">
    <mergeCell ref="L64:P65"/>
    <mergeCell ref="L90:P91"/>
    <mergeCell ref="C15:E15"/>
    <mergeCell ref="H5:J6"/>
  </mergeCells>
  <conditionalFormatting sqref="J33">
    <cfRule type="expression" dxfId="6" priority="1" stopIfTrue="1">
      <formula>ISERROR($M$239)</formula>
    </cfRule>
  </conditionalFormatting>
  <conditionalFormatting sqref="J24:J25">
    <cfRule type="expression" dxfId="5" priority="2" stopIfTrue="1">
      <formula>ISERROR($M$229)</formula>
    </cfRule>
  </conditionalFormatting>
  <pageMargins left="0.7" right="0.7" top="0.75" bottom="0.75" header="0.3" footer="0.3"/>
  <pageSetup orientation="portrait" horizontalDpi="4294967295" verticalDpi="4294967295"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P50"/>
  <sheetViews>
    <sheetView showGridLines="0" workbookViewId="0">
      <selection activeCell="F6" sqref="F6"/>
    </sheetView>
  </sheetViews>
  <sheetFormatPr defaultColWidth="5.7109375" defaultRowHeight="12.75" x14ac:dyDescent="0.2"/>
  <cols>
    <col min="1" max="1" width="5.7109375" style="142"/>
    <col min="2" max="2" width="2.5703125" style="142" customWidth="1"/>
    <col min="3" max="15" width="5.7109375" style="142"/>
    <col min="16" max="16" width="2.140625" style="142" customWidth="1"/>
    <col min="17" max="16384" width="5.7109375" style="142"/>
  </cols>
  <sheetData>
    <row r="3" spans="2:16" ht="13.5" thickBot="1" x14ac:dyDescent="0.25">
      <c r="D3" s="138"/>
      <c r="E3" s="141"/>
      <c r="F3" s="138"/>
      <c r="O3" s="147"/>
    </row>
    <row r="4" spans="2:16" x14ac:dyDescent="0.2">
      <c r="C4" s="75"/>
      <c r="D4" s="76"/>
      <c r="E4" s="76"/>
      <c r="F4" s="76"/>
      <c r="G4" s="76"/>
      <c r="H4" s="89"/>
      <c r="I4" s="76"/>
      <c r="J4" s="76"/>
      <c r="K4" s="76"/>
      <c r="L4" s="76"/>
      <c r="M4" s="551" t="s">
        <v>410</v>
      </c>
      <c r="N4" s="551"/>
      <c r="O4" s="552"/>
    </row>
    <row r="5" spans="2:16" x14ac:dyDescent="0.2">
      <c r="C5" s="78"/>
      <c r="D5" s="550" t="s">
        <v>206</v>
      </c>
      <c r="E5" s="550"/>
      <c r="F5" s="550"/>
      <c r="G5" s="549"/>
      <c r="H5" s="549"/>
      <c r="I5" s="549"/>
      <c r="J5" s="549"/>
      <c r="K5" s="549"/>
      <c r="L5" s="549"/>
      <c r="M5" s="553"/>
      <c r="N5" s="553"/>
      <c r="O5" s="554"/>
    </row>
    <row r="6" spans="2:16" x14ac:dyDescent="0.2">
      <c r="C6" s="78"/>
      <c r="D6" s="45"/>
      <c r="E6" s="88" t="s">
        <v>95</v>
      </c>
      <c r="F6" s="5"/>
      <c r="G6" s="549"/>
      <c r="H6" s="549"/>
      <c r="I6" s="549"/>
      <c r="J6" s="549"/>
      <c r="K6" s="549"/>
      <c r="L6" s="549"/>
      <c r="M6" s="553"/>
      <c r="N6" s="553"/>
      <c r="O6" s="554"/>
    </row>
    <row r="7" spans="2:16" x14ac:dyDescent="0.2">
      <c r="C7" s="78"/>
      <c r="D7" s="45"/>
      <c r="E7" s="45"/>
      <c r="F7" s="45"/>
      <c r="G7" s="549"/>
      <c r="H7" s="549"/>
      <c r="I7" s="549"/>
      <c r="J7" s="549"/>
      <c r="K7" s="549"/>
      <c r="L7" s="549"/>
      <c r="M7" s="553"/>
      <c r="N7" s="553"/>
      <c r="O7" s="554"/>
    </row>
    <row r="8" spans="2:16" ht="13.5" thickBot="1" x14ac:dyDescent="0.25">
      <c r="C8" s="80"/>
      <c r="D8" s="83"/>
      <c r="E8" s="90"/>
      <c r="F8" s="273"/>
      <c r="G8" s="81"/>
      <c r="H8" s="81"/>
      <c r="I8" s="81"/>
      <c r="J8" s="81"/>
      <c r="K8" s="81"/>
      <c r="L8" s="81"/>
      <c r="M8" s="555"/>
      <c r="N8" s="555"/>
      <c r="O8" s="556"/>
    </row>
    <row r="10" spans="2:16" s="278" customFormat="1" x14ac:dyDescent="0.2">
      <c r="B10" s="274" t="s">
        <v>347</v>
      </c>
      <c r="C10" s="275"/>
      <c r="D10" s="275"/>
      <c r="E10" s="275"/>
      <c r="F10" s="275"/>
      <c r="G10" s="275"/>
      <c r="H10" s="276"/>
      <c r="I10" s="277"/>
      <c r="J10" s="276"/>
      <c r="K10" s="276"/>
      <c r="L10" s="276"/>
      <c r="M10" s="276"/>
      <c r="N10" s="276"/>
      <c r="O10" s="276"/>
      <c r="P10" s="276"/>
    </row>
    <row r="11" spans="2:16" s="278" customFormat="1" x14ac:dyDescent="0.2">
      <c r="B11" s="276"/>
      <c r="C11" s="276"/>
      <c r="D11" s="276"/>
      <c r="E11" s="276"/>
      <c r="F11" s="276"/>
      <c r="G11" s="276"/>
      <c r="H11" s="276"/>
      <c r="I11" s="277"/>
      <c r="J11" s="276"/>
      <c r="K11" s="276"/>
      <c r="L11" s="279"/>
      <c r="M11" s="276"/>
      <c r="N11" s="276"/>
      <c r="O11" s="276"/>
      <c r="P11" s="276"/>
    </row>
    <row r="12" spans="2:16" s="278" customFormat="1" ht="13.5" thickBot="1" x14ac:dyDescent="0.25">
      <c r="B12" s="280"/>
      <c r="C12" s="276"/>
      <c r="D12" s="276"/>
      <c r="E12" s="276"/>
      <c r="F12" s="276"/>
      <c r="G12" s="276"/>
      <c r="H12" s="276"/>
      <c r="I12" s="276"/>
      <c r="J12" s="276"/>
      <c r="K12" s="276"/>
      <c r="L12" s="279"/>
      <c r="M12" s="276"/>
      <c r="N12" s="276"/>
      <c r="O12" s="276"/>
      <c r="P12" s="276"/>
    </row>
    <row r="13" spans="2:16" s="278" customFormat="1" x14ac:dyDescent="0.2">
      <c r="B13" s="276" t="s">
        <v>25</v>
      </c>
      <c r="C13" s="281"/>
      <c r="D13" s="282"/>
      <c r="E13" s="283"/>
      <c r="F13" s="283"/>
      <c r="G13" s="283"/>
      <c r="H13" s="283"/>
      <c r="I13" s="282"/>
      <c r="J13" s="282"/>
      <c r="K13" s="282"/>
      <c r="L13" s="283"/>
      <c r="M13" s="284"/>
      <c r="N13" s="284"/>
      <c r="O13" s="285"/>
      <c r="P13" s="276"/>
    </row>
    <row r="14" spans="2:16" s="278" customFormat="1" x14ac:dyDescent="0.2">
      <c r="B14" s="276"/>
      <c r="C14" s="286" t="s">
        <v>309</v>
      </c>
      <c r="D14" s="287"/>
      <c r="E14" s="288"/>
      <c r="F14" s="288" t="s">
        <v>310</v>
      </c>
      <c r="G14" s="288"/>
      <c r="H14" s="288"/>
      <c r="I14" s="287"/>
      <c r="J14" s="287"/>
      <c r="K14" s="287"/>
      <c r="L14" s="289"/>
      <c r="M14" s="290"/>
      <c r="N14" s="291"/>
      <c r="O14" s="292"/>
      <c r="P14" s="276"/>
    </row>
    <row r="15" spans="2:16" s="278" customFormat="1" x14ac:dyDescent="0.2">
      <c r="B15" s="276"/>
      <c r="C15" s="286" t="s">
        <v>311</v>
      </c>
      <c r="D15" s="287"/>
      <c r="E15" s="288"/>
      <c r="F15" s="288"/>
      <c r="G15" s="288"/>
      <c r="H15" s="288"/>
      <c r="I15" s="287"/>
      <c r="J15" s="287"/>
      <c r="K15" s="287"/>
      <c r="L15" s="288"/>
      <c r="M15" s="290"/>
      <c r="N15" s="288" t="s">
        <v>308</v>
      </c>
      <c r="O15" s="292"/>
      <c r="P15" s="276"/>
    </row>
    <row r="16" spans="2:16" s="278" customFormat="1" x14ac:dyDescent="0.2">
      <c r="B16" s="276"/>
      <c r="C16" s="286"/>
      <c r="D16" s="287"/>
      <c r="E16" s="289"/>
      <c r="F16" s="293" t="s">
        <v>312</v>
      </c>
      <c r="G16" s="287"/>
      <c r="H16" s="290" t="s">
        <v>146</v>
      </c>
      <c r="I16" s="287"/>
      <c r="J16" s="290" t="s">
        <v>313</v>
      </c>
      <c r="K16" s="287"/>
      <c r="L16" s="290" t="s">
        <v>314</v>
      </c>
      <c r="M16" s="287"/>
      <c r="N16" s="288" t="s">
        <v>351</v>
      </c>
      <c r="O16" s="292"/>
      <c r="P16" s="276"/>
    </row>
    <row r="17" spans="2:16" s="278" customFormat="1" x14ac:dyDescent="0.2">
      <c r="B17" s="276"/>
      <c r="C17" s="286"/>
      <c r="D17" s="287"/>
      <c r="E17" s="289"/>
      <c r="F17" s="288"/>
      <c r="G17" s="287"/>
      <c r="H17" s="290"/>
      <c r="I17" s="287"/>
      <c r="J17" s="290"/>
      <c r="K17" s="287"/>
      <c r="L17" s="290"/>
      <c r="M17" s="287"/>
      <c r="N17" s="288"/>
      <c r="O17" s="292"/>
      <c r="P17" s="276"/>
    </row>
    <row r="18" spans="2:16" s="278" customFormat="1" x14ac:dyDescent="0.2">
      <c r="B18" s="276"/>
      <c r="C18" s="286" t="s">
        <v>79</v>
      </c>
      <c r="D18" s="287"/>
      <c r="E18" s="289"/>
      <c r="F18" s="290">
        <v>0</v>
      </c>
      <c r="G18" s="287"/>
      <c r="H18" s="290">
        <v>1</v>
      </c>
      <c r="I18" s="287"/>
      <c r="J18" s="290">
        <v>2</v>
      </c>
      <c r="K18" s="287"/>
      <c r="L18" s="290">
        <v>3</v>
      </c>
      <c r="M18" s="287"/>
      <c r="N18" s="294"/>
      <c r="O18" s="292"/>
      <c r="P18" s="276"/>
    </row>
    <row r="19" spans="2:16" s="278" customFormat="1" x14ac:dyDescent="0.2">
      <c r="B19" s="276"/>
      <c r="C19" s="286" t="s">
        <v>315</v>
      </c>
      <c r="D19" s="287"/>
      <c r="E19" s="289"/>
      <c r="F19" s="290">
        <v>0</v>
      </c>
      <c r="G19" s="287"/>
      <c r="H19" s="290">
        <v>1</v>
      </c>
      <c r="I19" s="287"/>
      <c r="J19" s="290">
        <v>2</v>
      </c>
      <c r="K19" s="287"/>
      <c r="L19" s="290">
        <v>2</v>
      </c>
      <c r="M19" s="287"/>
      <c r="N19" s="295"/>
      <c r="O19" s="292"/>
      <c r="P19" s="276"/>
    </row>
    <row r="20" spans="2:16" s="278" customFormat="1" x14ac:dyDescent="0.2">
      <c r="B20" s="276"/>
      <c r="C20" s="286" t="s">
        <v>316</v>
      </c>
      <c r="D20" s="287"/>
      <c r="E20" s="288"/>
      <c r="F20" s="290">
        <v>0</v>
      </c>
      <c r="G20" s="287"/>
      <c r="H20" s="290">
        <v>1</v>
      </c>
      <c r="I20" s="287"/>
      <c r="J20" s="290">
        <v>2</v>
      </c>
      <c r="K20" s="287"/>
      <c r="L20" s="290">
        <v>3</v>
      </c>
      <c r="M20" s="287"/>
      <c r="N20" s="295"/>
      <c r="O20" s="292"/>
      <c r="P20" s="276"/>
    </row>
    <row r="21" spans="2:16" s="278" customFormat="1" x14ac:dyDescent="0.2">
      <c r="B21" s="276"/>
      <c r="C21" s="286" t="s">
        <v>317</v>
      </c>
      <c r="D21" s="287"/>
      <c r="E21" s="288"/>
      <c r="F21" s="290">
        <v>0</v>
      </c>
      <c r="G21" s="287"/>
      <c r="H21" s="290">
        <v>0</v>
      </c>
      <c r="I21" s="287"/>
      <c r="J21" s="290">
        <v>1</v>
      </c>
      <c r="K21" s="287"/>
      <c r="L21" s="290">
        <v>2</v>
      </c>
      <c r="M21" s="287"/>
      <c r="N21" s="295"/>
      <c r="O21" s="292"/>
      <c r="P21" s="276"/>
    </row>
    <row r="22" spans="2:16" s="278" customFormat="1" x14ac:dyDescent="0.2">
      <c r="B22" s="276"/>
      <c r="C22" s="296" t="s">
        <v>318</v>
      </c>
      <c r="D22" s="287"/>
      <c r="E22" s="289"/>
      <c r="F22" s="290">
        <v>0</v>
      </c>
      <c r="G22" s="287"/>
      <c r="H22" s="290">
        <v>1</v>
      </c>
      <c r="I22" s="287"/>
      <c r="J22" s="290">
        <v>2</v>
      </c>
      <c r="K22" s="287"/>
      <c r="L22" s="290">
        <v>3</v>
      </c>
      <c r="M22" s="287"/>
      <c r="N22" s="295"/>
      <c r="O22" s="292"/>
      <c r="P22" s="276"/>
    </row>
    <row r="23" spans="2:16" s="278" customFormat="1" x14ac:dyDescent="0.2">
      <c r="B23" s="276"/>
      <c r="C23" s="286" t="s">
        <v>80</v>
      </c>
      <c r="D23" s="287"/>
      <c r="E23" s="288"/>
      <c r="F23" s="297">
        <v>0</v>
      </c>
      <c r="G23" s="287"/>
      <c r="H23" s="297">
        <v>1</v>
      </c>
      <c r="I23" s="287"/>
      <c r="J23" s="297">
        <v>1</v>
      </c>
      <c r="K23" s="287"/>
      <c r="L23" s="297">
        <v>2</v>
      </c>
      <c r="M23" s="287"/>
      <c r="N23" s="295"/>
      <c r="O23" s="292"/>
      <c r="P23" s="276"/>
    </row>
    <row r="24" spans="2:16" s="278" customFormat="1" x14ac:dyDescent="0.2">
      <c r="B24" s="276"/>
      <c r="C24" s="286"/>
      <c r="D24" s="287"/>
      <c r="E24" s="293" t="s">
        <v>149</v>
      </c>
      <c r="F24" s="290">
        <f>SUM(F18:F23)</f>
        <v>0</v>
      </c>
      <c r="G24" s="287"/>
      <c r="H24" s="290">
        <f>SUM(H18:H23)</f>
        <v>5</v>
      </c>
      <c r="I24" s="287"/>
      <c r="J24" s="290">
        <f>SUM(J18:J23)</f>
        <v>10</v>
      </c>
      <c r="K24" s="287"/>
      <c r="L24" s="290">
        <f>SUM(L18:L23)</f>
        <v>15</v>
      </c>
      <c r="M24" s="287"/>
      <c r="N24" s="288"/>
      <c r="O24" s="292"/>
      <c r="P24" s="276"/>
    </row>
    <row r="25" spans="2:16" s="278" customFormat="1" x14ac:dyDescent="0.2">
      <c r="B25" s="276"/>
      <c r="C25" s="286"/>
      <c r="D25" s="287"/>
      <c r="E25" s="288"/>
      <c r="F25" s="288"/>
      <c r="G25" s="288"/>
      <c r="H25" s="287"/>
      <c r="I25" s="287"/>
      <c r="J25" s="288"/>
      <c r="K25" s="287"/>
      <c r="L25" s="288"/>
      <c r="M25" s="287"/>
      <c r="N25" s="288"/>
      <c r="O25" s="292"/>
      <c r="P25" s="276"/>
    </row>
    <row r="26" spans="2:16" s="278" customFormat="1" x14ac:dyDescent="0.2">
      <c r="B26" s="276"/>
      <c r="C26" s="286"/>
      <c r="D26" s="287"/>
      <c r="E26" s="288"/>
      <c r="F26" s="288"/>
      <c r="G26" s="288"/>
      <c r="H26" s="287"/>
      <c r="I26" s="287"/>
      <c r="J26" s="293" t="s">
        <v>319</v>
      </c>
      <c r="K26" s="287"/>
      <c r="L26" s="293" t="s">
        <v>320</v>
      </c>
      <c r="M26" s="298"/>
      <c r="N26" s="299">
        <f>SUM(N18:N23)</f>
        <v>0</v>
      </c>
      <c r="O26" s="292"/>
      <c r="P26" s="276"/>
    </row>
    <row r="27" spans="2:16" s="278" customFormat="1" ht="13.5" thickBot="1" x14ac:dyDescent="0.25">
      <c r="B27" s="276"/>
      <c r="C27" s="300"/>
      <c r="D27" s="301"/>
      <c r="E27" s="302"/>
      <c r="F27" s="302"/>
      <c r="G27" s="302"/>
      <c r="H27" s="302"/>
      <c r="I27" s="301"/>
      <c r="J27" s="301"/>
      <c r="K27" s="301"/>
      <c r="L27" s="303"/>
      <c r="M27" s="304"/>
      <c r="N27" s="305"/>
      <c r="O27" s="306"/>
      <c r="P27" s="276"/>
    </row>
    <row r="28" spans="2:16" s="278" customFormat="1" x14ac:dyDescent="0.2">
      <c r="B28" s="276"/>
      <c r="C28" s="276"/>
      <c r="D28" s="276"/>
      <c r="E28" s="276"/>
      <c r="F28" s="276"/>
      <c r="G28" s="276"/>
      <c r="H28" s="276"/>
      <c r="I28" s="307"/>
      <c r="J28" s="308"/>
      <c r="K28" s="276"/>
      <c r="L28" s="288"/>
      <c r="M28" s="287"/>
      <c r="N28" s="309"/>
      <c r="O28" s="309"/>
      <c r="P28" s="276"/>
    </row>
    <row r="29" spans="2:16" s="278" customFormat="1" x14ac:dyDescent="0.2">
      <c r="B29" s="276"/>
      <c r="C29" s="276"/>
      <c r="D29" s="276"/>
      <c r="E29" s="276"/>
      <c r="F29" s="276"/>
      <c r="G29" s="276"/>
      <c r="H29" s="276"/>
      <c r="I29" s="276"/>
      <c r="J29" s="276"/>
      <c r="K29" s="276"/>
      <c r="L29" s="276"/>
      <c r="M29" s="279"/>
      <c r="N29" s="276"/>
      <c r="O29" s="276"/>
      <c r="P29" s="276"/>
    </row>
    <row r="30" spans="2:16" s="278" customFormat="1" x14ac:dyDescent="0.2">
      <c r="B30" s="276"/>
      <c r="C30" s="276"/>
      <c r="D30" s="276"/>
      <c r="E30" s="276"/>
      <c r="F30" s="276"/>
      <c r="G30" s="276"/>
      <c r="H30" s="276"/>
      <c r="I30" s="276"/>
      <c r="J30" s="276"/>
      <c r="K30" s="276"/>
      <c r="L30" s="276"/>
      <c r="M30" s="279"/>
      <c r="N30" s="276"/>
      <c r="O30" s="277"/>
      <c r="P30" s="276"/>
    </row>
    <row r="31" spans="2:16" s="278" customFormat="1" x14ac:dyDescent="0.2">
      <c r="B31" s="274" t="s">
        <v>348</v>
      </c>
      <c r="C31" s="274" t="s">
        <v>321</v>
      </c>
      <c r="D31" s="275"/>
      <c r="E31" s="275"/>
      <c r="F31" s="275"/>
      <c r="G31" s="275"/>
      <c r="H31" s="275"/>
      <c r="I31" s="275"/>
      <c r="J31" s="275"/>
      <c r="K31" s="276"/>
      <c r="L31" s="276"/>
      <c r="M31" s="276"/>
      <c r="N31" s="276"/>
      <c r="O31" s="276"/>
      <c r="P31" s="276"/>
    </row>
    <row r="32" spans="2:16" s="278" customFormat="1" x14ac:dyDescent="0.2">
      <c r="B32" s="274"/>
      <c r="C32" s="274"/>
      <c r="D32" s="275"/>
      <c r="E32" s="275"/>
      <c r="F32" s="275"/>
      <c r="G32" s="275"/>
      <c r="H32" s="275"/>
      <c r="I32" s="275"/>
      <c r="J32" s="275"/>
      <c r="K32" s="276"/>
      <c r="L32" s="276"/>
      <c r="M32" s="279"/>
      <c r="N32" s="276"/>
      <c r="O32" s="276"/>
      <c r="P32" s="276"/>
    </row>
    <row r="33" spans="2:16" s="278" customFormat="1" ht="13.5" thickBot="1" x14ac:dyDescent="0.25">
      <c r="B33" s="276"/>
      <c r="C33" s="276"/>
      <c r="D33" s="276"/>
      <c r="E33" s="276"/>
      <c r="F33" s="276"/>
      <c r="G33" s="276"/>
      <c r="H33" s="276"/>
      <c r="I33" s="276"/>
      <c r="J33" s="276"/>
      <c r="K33" s="276"/>
      <c r="L33" s="276"/>
      <c r="M33" s="279"/>
      <c r="N33" s="276"/>
      <c r="O33" s="276"/>
      <c r="P33" s="276"/>
    </row>
    <row r="34" spans="2:16" s="278" customFormat="1" x14ac:dyDescent="0.2">
      <c r="B34" s="276"/>
      <c r="C34" s="310" t="s">
        <v>309</v>
      </c>
      <c r="D34" s="311"/>
      <c r="E34" s="312"/>
      <c r="F34" s="312"/>
      <c r="G34" s="313" t="s">
        <v>322</v>
      </c>
      <c r="H34" s="312"/>
      <c r="I34" s="312"/>
      <c r="J34" s="311"/>
      <c r="K34" s="311"/>
      <c r="L34" s="312"/>
      <c r="M34" s="313"/>
      <c r="N34" s="312"/>
      <c r="O34" s="314"/>
      <c r="P34" s="276"/>
    </row>
    <row r="35" spans="2:16" s="278" customFormat="1" x14ac:dyDescent="0.2">
      <c r="B35" s="276"/>
      <c r="C35" s="315" t="s">
        <v>323</v>
      </c>
      <c r="D35" s="287"/>
      <c r="E35" s="288"/>
      <c r="F35" s="290"/>
      <c r="G35" s="290"/>
      <c r="H35" s="290"/>
      <c r="I35" s="289"/>
      <c r="J35" s="287"/>
      <c r="K35" s="287"/>
      <c r="L35" s="288"/>
      <c r="M35" s="290"/>
      <c r="N35" s="290" t="s">
        <v>352</v>
      </c>
      <c r="O35" s="316"/>
      <c r="P35" s="276"/>
    </row>
    <row r="36" spans="2:16" s="278" customFormat="1" x14ac:dyDescent="0.2">
      <c r="B36" s="276"/>
      <c r="C36" s="315"/>
      <c r="D36" s="287"/>
      <c r="E36" s="289"/>
      <c r="F36" s="293" t="s">
        <v>312</v>
      </c>
      <c r="G36" s="287"/>
      <c r="H36" s="290" t="s">
        <v>146</v>
      </c>
      <c r="I36" s="287"/>
      <c r="J36" s="290" t="s">
        <v>313</v>
      </c>
      <c r="K36" s="287"/>
      <c r="L36" s="290" t="s">
        <v>314</v>
      </c>
      <c r="M36" s="290"/>
      <c r="N36" s="288" t="s">
        <v>141</v>
      </c>
      <c r="O36" s="316"/>
      <c r="P36" s="276"/>
    </row>
    <row r="37" spans="2:16" s="278" customFormat="1" x14ac:dyDescent="0.2">
      <c r="B37" s="276"/>
      <c r="C37" s="315"/>
      <c r="D37" s="287"/>
      <c r="E37" s="289"/>
      <c r="F37" s="288"/>
      <c r="G37" s="287"/>
      <c r="H37" s="290"/>
      <c r="I37" s="287"/>
      <c r="J37" s="290"/>
      <c r="K37" s="287"/>
      <c r="L37" s="287"/>
      <c r="M37" s="290"/>
      <c r="N37" s="288"/>
      <c r="O37" s="316"/>
      <c r="P37" s="276"/>
    </row>
    <row r="38" spans="2:16" s="278" customFormat="1" x14ac:dyDescent="0.2">
      <c r="B38" s="276"/>
      <c r="C38" s="315" t="s">
        <v>81</v>
      </c>
      <c r="D38" s="287"/>
      <c r="E38" s="289"/>
      <c r="F38" s="290">
        <v>0</v>
      </c>
      <c r="G38" s="287"/>
      <c r="H38" s="290">
        <v>1</v>
      </c>
      <c r="I38" s="287"/>
      <c r="J38" s="290">
        <v>2</v>
      </c>
      <c r="K38" s="287"/>
      <c r="L38" s="290">
        <v>3</v>
      </c>
      <c r="M38" s="290"/>
      <c r="N38" s="294"/>
      <c r="O38" s="316"/>
      <c r="P38" s="276"/>
    </row>
    <row r="39" spans="2:16" s="278" customFormat="1" x14ac:dyDescent="0.2">
      <c r="B39" s="276"/>
      <c r="C39" s="315" t="s">
        <v>317</v>
      </c>
      <c r="D39" s="287"/>
      <c r="E39" s="289"/>
      <c r="F39" s="290">
        <v>0</v>
      </c>
      <c r="G39" s="287"/>
      <c r="H39" s="290">
        <v>0</v>
      </c>
      <c r="I39" s="287"/>
      <c r="J39" s="290">
        <v>1</v>
      </c>
      <c r="K39" s="287"/>
      <c r="L39" s="290">
        <v>1</v>
      </c>
      <c r="M39" s="290"/>
      <c r="N39" s="295"/>
      <c r="O39" s="316"/>
      <c r="P39" s="276"/>
    </row>
    <row r="40" spans="2:16" s="278" customFormat="1" x14ac:dyDescent="0.2">
      <c r="B40" s="276"/>
      <c r="C40" s="315" t="s">
        <v>324</v>
      </c>
      <c r="D40" s="287"/>
      <c r="E40" s="288"/>
      <c r="F40" s="290">
        <v>0</v>
      </c>
      <c r="G40" s="287"/>
      <c r="H40" s="290">
        <v>1</v>
      </c>
      <c r="I40" s="287"/>
      <c r="J40" s="290">
        <v>2</v>
      </c>
      <c r="K40" s="287"/>
      <c r="L40" s="290">
        <v>3</v>
      </c>
      <c r="M40" s="290"/>
      <c r="N40" s="295"/>
      <c r="O40" s="316"/>
      <c r="P40" s="276"/>
    </row>
    <row r="41" spans="2:16" s="278" customFormat="1" x14ac:dyDescent="0.2">
      <c r="B41" s="276"/>
      <c r="C41" s="315" t="s">
        <v>325</v>
      </c>
      <c r="D41" s="287"/>
      <c r="E41" s="289"/>
      <c r="F41" s="290">
        <v>0</v>
      </c>
      <c r="G41" s="287"/>
      <c r="H41" s="290">
        <v>1</v>
      </c>
      <c r="I41" s="287"/>
      <c r="J41" s="290">
        <v>1</v>
      </c>
      <c r="K41" s="287"/>
      <c r="L41" s="290">
        <v>2</v>
      </c>
      <c r="M41" s="290"/>
      <c r="N41" s="295"/>
      <c r="O41" s="316"/>
      <c r="P41" s="276"/>
    </row>
    <row r="42" spans="2:16" s="278" customFormat="1" x14ac:dyDescent="0.2">
      <c r="B42" s="276"/>
      <c r="C42" s="315" t="s">
        <v>326</v>
      </c>
      <c r="D42" s="287"/>
      <c r="E42" s="289"/>
      <c r="F42" s="290">
        <v>0</v>
      </c>
      <c r="G42" s="287"/>
      <c r="H42" s="290">
        <v>1</v>
      </c>
      <c r="I42" s="287"/>
      <c r="J42" s="290">
        <v>2</v>
      </c>
      <c r="K42" s="287"/>
      <c r="L42" s="290">
        <v>3</v>
      </c>
      <c r="M42" s="290"/>
      <c r="N42" s="295"/>
      <c r="O42" s="316"/>
      <c r="P42" s="276"/>
    </row>
    <row r="43" spans="2:16" s="278" customFormat="1" x14ac:dyDescent="0.2">
      <c r="B43" s="276"/>
      <c r="C43" s="315" t="s">
        <v>80</v>
      </c>
      <c r="D43" s="287"/>
      <c r="E43" s="289"/>
      <c r="F43" s="290">
        <v>0</v>
      </c>
      <c r="G43" s="287"/>
      <c r="H43" s="290">
        <v>1</v>
      </c>
      <c r="I43" s="287"/>
      <c r="J43" s="290">
        <v>1</v>
      </c>
      <c r="K43" s="287"/>
      <c r="L43" s="290">
        <v>2</v>
      </c>
      <c r="M43" s="290"/>
      <c r="N43" s="295"/>
      <c r="O43" s="316"/>
      <c r="P43" s="276"/>
    </row>
    <row r="44" spans="2:16" s="278" customFormat="1" x14ac:dyDescent="0.2">
      <c r="B44" s="276"/>
      <c r="C44" s="315" t="s">
        <v>327</v>
      </c>
      <c r="D44" s="287"/>
      <c r="E44" s="288"/>
      <c r="F44" s="297">
        <v>0</v>
      </c>
      <c r="G44" s="287"/>
      <c r="H44" s="297">
        <v>0</v>
      </c>
      <c r="I44" s="287"/>
      <c r="J44" s="297">
        <v>1</v>
      </c>
      <c r="K44" s="287"/>
      <c r="L44" s="297">
        <v>1</v>
      </c>
      <c r="M44" s="290"/>
      <c r="N44" s="295"/>
      <c r="O44" s="316"/>
      <c r="P44" s="276"/>
    </row>
    <row r="45" spans="2:16" s="278" customFormat="1" x14ac:dyDescent="0.2">
      <c r="B45" s="276"/>
      <c r="C45" s="315"/>
      <c r="D45" s="287"/>
      <c r="E45" s="288"/>
      <c r="F45" s="290">
        <f>SUM(F38:F44)</f>
        <v>0</v>
      </c>
      <c r="G45" s="287"/>
      <c r="H45" s="290">
        <f>SUM(H38:H44)</f>
        <v>5</v>
      </c>
      <c r="I45" s="287"/>
      <c r="J45" s="290">
        <f>SUM(J38:J44)</f>
        <v>10</v>
      </c>
      <c r="K45" s="287"/>
      <c r="L45" s="290">
        <f>SUM(L38:L44)</f>
        <v>15</v>
      </c>
      <c r="M45" s="290"/>
      <c r="N45" s="288"/>
      <c r="O45" s="316"/>
      <c r="P45" s="276"/>
    </row>
    <row r="46" spans="2:16" s="278" customFormat="1" x14ac:dyDescent="0.2">
      <c r="B46" s="276" t="s">
        <v>13</v>
      </c>
      <c r="C46" s="317"/>
      <c r="D46" s="287"/>
      <c r="E46" s="288"/>
      <c r="F46" s="288"/>
      <c r="G46" s="287"/>
      <c r="H46" s="277"/>
      <c r="I46" s="277"/>
      <c r="J46" s="293" t="s">
        <v>328</v>
      </c>
      <c r="K46" s="287"/>
      <c r="L46" s="293" t="s">
        <v>320</v>
      </c>
      <c r="M46" s="290"/>
      <c r="N46" s="299">
        <f>SUM(N38:N44)</f>
        <v>0</v>
      </c>
      <c r="O46" s="316"/>
      <c r="P46" s="276"/>
    </row>
    <row r="47" spans="2:16" s="278" customFormat="1" ht="13.5" thickBot="1" x14ac:dyDescent="0.25">
      <c r="B47" s="276"/>
      <c r="C47" s="318"/>
      <c r="D47" s="319"/>
      <c r="E47" s="320"/>
      <c r="F47" s="320"/>
      <c r="G47" s="320"/>
      <c r="H47" s="320"/>
      <c r="I47" s="321"/>
      <c r="J47" s="319"/>
      <c r="K47" s="319"/>
      <c r="L47" s="320"/>
      <c r="M47" s="322"/>
      <c r="N47" s="320"/>
      <c r="O47" s="323"/>
      <c r="P47" s="276"/>
    </row>
    <row r="48" spans="2:16" s="278" customFormat="1" ht="13.5" thickBot="1" x14ac:dyDescent="0.25">
      <c r="B48" s="277"/>
      <c r="C48" s="277"/>
      <c r="D48" s="277"/>
      <c r="E48" s="277"/>
      <c r="F48" s="277"/>
      <c r="G48" s="277"/>
      <c r="H48" s="277"/>
      <c r="I48" s="277"/>
      <c r="J48" s="277"/>
      <c r="K48" s="276"/>
      <c r="L48" s="279"/>
      <c r="M48" s="276"/>
      <c r="N48" s="276"/>
      <c r="O48" s="276"/>
      <c r="P48" s="276"/>
    </row>
    <row r="49" spans="2:16" s="278" customFormat="1" ht="13.5" thickBot="1" x14ac:dyDescent="0.25">
      <c r="B49" s="277"/>
      <c r="C49" s="277"/>
      <c r="D49" s="277"/>
      <c r="E49" s="277"/>
      <c r="F49" s="277"/>
      <c r="G49" s="277"/>
      <c r="H49" s="277"/>
      <c r="I49" s="277"/>
      <c r="J49" s="307" t="s">
        <v>329</v>
      </c>
      <c r="K49" s="324">
        <f>IF(Structure!$F$6&gt;10,10,Structure!$F$6)</f>
        <v>0</v>
      </c>
      <c r="L49" s="279"/>
      <c r="M49" s="276"/>
      <c r="N49" s="276"/>
      <c r="O49" s="276"/>
      <c r="P49" s="276"/>
    </row>
    <row r="50" spans="2:16" x14ac:dyDescent="0.2">
      <c r="B50" s="325"/>
      <c r="C50" s="325"/>
      <c r="D50" s="325"/>
      <c r="E50" s="325"/>
      <c r="F50" s="325"/>
      <c r="G50" s="325"/>
      <c r="H50" s="325"/>
      <c r="I50" s="325"/>
      <c r="J50" s="325"/>
      <c r="K50" s="326"/>
      <c r="L50" s="327"/>
      <c r="M50" s="326"/>
      <c r="N50" s="326"/>
      <c r="O50" s="326"/>
      <c r="P50" s="325"/>
    </row>
  </sheetData>
  <sheetProtection algorithmName="SHA-512" hashValue="eSDjIf+LIteZZ5RCK6RpxyzU6UZZMtFDAtGjOSrcDpgE3H75yv9OYYM6opA6Hm4BzxSRh3GqZ8i61AGnDAtR6w==" saltValue="mkC1bbn6P0TTq7DjNCpP8Q==" spinCount="100000" sheet="1" selectLockedCells="1"/>
  <mergeCells count="3">
    <mergeCell ref="G5:L7"/>
    <mergeCell ref="D5:F5"/>
    <mergeCell ref="M4:O8"/>
  </mergeCells>
  <hyperlinks>
    <hyperlink ref="D5:E5" location="Road!A68" display="Structural Rating:" xr:uid="{00000000-0004-0000-0200-000000000000}"/>
    <hyperlink ref="D5:F5" location="'3R'!A68" display="Structural Rating:" xr:uid="{00000000-0004-0000-0200-000001000000}"/>
  </hyperlink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N213"/>
  <sheetViews>
    <sheetView showGridLines="0" zoomScale="110" zoomScaleNormal="110" workbookViewId="0">
      <selection activeCell="D15" sqref="D15:E15"/>
    </sheetView>
  </sheetViews>
  <sheetFormatPr defaultColWidth="5.7109375" defaultRowHeight="12.75" x14ac:dyDescent="0.2"/>
  <cols>
    <col min="1" max="10" width="5.7109375" style="142"/>
    <col min="11" max="13" width="6.28515625" style="142" bestFit="1" customWidth="1"/>
    <col min="14" max="15" width="5.7109375" style="142"/>
    <col min="16" max="16" width="7" style="142" bestFit="1" customWidth="1"/>
    <col min="17" max="16384" width="5.7109375" style="142"/>
  </cols>
  <sheetData>
    <row r="2" spans="2:17" ht="13.5" thickBot="1" x14ac:dyDescent="0.25"/>
    <row r="3" spans="2:17" x14ac:dyDescent="0.2">
      <c r="B3" s="75"/>
      <c r="C3" s="136"/>
      <c r="D3" s="76"/>
      <c r="E3" s="76"/>
      <c r="F3" s="76"/>
      <c r="G3" s="76"/>
      <c r="H3" s="76"/>
      <c r="I3" s="76"/>
      <c r="J3" s="76"/>
      <c r="K3" s="76"/>
      <c r="L3" s="76"/>
      <c r="M3" s="76"/>
      <c r="N3" s="76"/>
      <c r="O3" s="184"/>
      <c r="P3" s="76"/>
      <c r="Q3" s="77"/>
    </row>
    <row r="4" spans="2:17" x14ac:dyDescent="0.2">
      <c r="B4" s="78"/>
      <c r="C4" s="565" t="s">
        <v>147</v>
      </c>
      <c r="D4" s="565"/>
      <c r="E4" s="565"/>
      <c r="F4" s="159" t="s">
        <v>222</v>
      </c>
      <c r="G4" s="159"/>
      <c r="H4" s="159"/>
      <c r="I4" s="159"/>
      <c r="J4" s="159"/>
      <c r="K4" s="45"/>
      <c r="L4" s="45"/>
      <c r="M4" s="45"/>
      <c r="N4" s="45"/>
      <c r="O4" s="58"/>
      <c r="P4" s="45"/>
      <c r="Q4" s="79"/>
    </row>
    <row r="5" spans="2:17" x14ac:dyDescent="0.2">
      <c r="B5" s="78"/>
      <c r="C5" s="224"/>
      <c r="D5" s="224"/>
      <c r="E5" s="224"/>
      <c r="F5" s="159"/>
      <c r="G5" s="159"/>
      <c r="H5" s="159"/>
      <c r="I5" s="159"/>
      <c r="J5" s="159"/>
      <c r="K5" s="45"/>
      <c r="L5" s="45"/>
      <c r="M5" s="45"/>
      <c r="N5" s="45"/>
      <c r="O5" s="58"/>
      <c r="P5" s="45"/>
      <c r="Q5" s="79"/>
    </row>
    <row r="6" spans="2:17" x14ac:dyDescent="0.2">
      <c r="B6" s="78"/>
      <c r="C6" s="224"/>
      <c r="D6" s="10"/>
      <c r="E6" s="10"/>
      <c r="F6" s="566" t="s">
        <v>245</v>
      </c>
      <c r="G6" s="566"/>
      <c r="H6" s="566"/>
      <c r="I6" s="10"/>
      <c r="J6" s="10"/>
      <c r="K6" s="45"/>
      <c r="L6" s="45"/>
      <c r="M6" s="45"/>
      <c r="N6" s="45"/>
      <c r="O6" s="58"/>
      <c r="P6" s="45"/>
      <c r="Q6" s="79"/>
    </row>
    <row r="7" spans="2:17" x14ac:dyDescent="0.2">
      <c r="B7" s="78"/>
      <c r="C7" s="224"/>
      <c r="D7" s="10"/>
      <c r="E7" s="10"/>
      <c r="F7" s="37"/>
      <c r="G7" s="37"/>
      <c r="H7" s="5"/>
      <c r="I7" s="10"/>
      <c r="J7" s="10"/>
      <c r="K7" s="24" t="s">
        <v>68</v>
      </c>
      <c r="L7" s="23">
        <f>K44</f>
        <v>20</v>
      </c>
      <c r="M7" s="45"/>
      <c r="N7" s="45"/>
      <c r="O7" s="58"/>
      <c r="P7" s="45"/>
      <c r="Q7" s="79"/>
    </row>
    <row r="8" spans="2:17" x14ac:dyDescent="0.2">
      <c r="B8" s="78"/>
      <c r="C8" s="224"/>
      <c r="D8" s="10"/>
      <c r="E8" s="10"/>
      <c r="F8" s="210" t="s">
        <v>57</v>
      </c>
      <c r="G8" s="12" t="s">
        <v>58</v>
      </c>
      <c r="H8" s="12" t="s">
        <v>59</v>
      </c>
      <c r="I8" s="10"/>
      <c r="J8" s="10"/>
      <c r="K8" s="45"/>
      <c r="L8" s="45"/>
      <c r="M8" s="45"/>
      <c r="N8" s="45"/>
      <c r="O8" s="58"/>
      <c r="P8" s="45"/>
      <c r="Q8" s="79"/>
    </row>
    <row r="9" spans="2:17" x14ac:dyDescent="0.2">
      <c r="B9" s="78"/>
      <c r="C9" s="56"/>
      <c r="D9" s="45"/>
      <c r="E9" s="45"/>
      <c r="F9" s="45"/>
      <c r="G9" s="45"/>
      <c r="H9" s="45"/>
      <c r="I9" s="45"/>
      <c r="J9" s="45"/>
      <c r="K9" s="45"/>
      <c r="L9" s="56"/>
      <c r="M9" s="45"/>
      <c r="N9" s="50" t="s">
        <v>368</v>
      </c>
      <c r="O9" s="45"/>
      <c r="P9" s="58"/>
      <c r="Q9" s="79"/>
    </row>
    <row r="10" spans="2:17" x14ac:dyDescent="0.2">
      <c r="B10" s="78"/>
      <c r="C10" s="10"/>
      <c r="D10" s="91" t="s">
        <v>209</v>
      </c>
      <c r="E10" s="91"/>
      <c r="F10" s="223"/>
      <c r="G10" s="91"/>
      <c r="H10" s="575" t="s">
        <v>120</v>
      </c>
      <c r="I10" s="575"/>
      <c r="J10" s="575"/>
      <c r="K10" s="223"/>
      <c r="L10" s="45"/>
      <c r="M10" s="575" t="s">
        <v>361</v>
      </c>
      <c r="N10" s="575"/>
      <c r="O10" s="575"/>
      <c r="P10" s="575"/>
      <c r="Q10" s="79"/>
    </row>
    <row r="11" spans="2:17" x14ac:dyDescent="0.2">
      <c r="B11" s="78"/>
      <c r="C11" s="10"/>
      <c r="D11" s="52">
        <f>AD55</f>
        <v>0</v>
      </c>
      <c r="E11" s="13" t="s">
        <v>211</v>
      </c>
      <c r="F11" s="13"/>
      <c r="G11" s="45"/>
      <c r="H11" s="45"/>
      <c r="I11" s="23">
        <f>Geometry!P102</f>
        <v>0</v>
      </c>
      <c r="J11" s="13" t="s">
        <v>212</v>
      </c>
      <c r="K11" s="13"/>
      <c r="L11" s="45"/>
      <c r="M11" s="45"/>
      <c r="N11" s="52">
        <f>Geometry!W110</f>
        <v>0</v>
      </c>
      <c r="O11" s="13" t="s">
        <v>107</v>
      </c>
      <c r="P11" s="45"/>
      <c r="Q11" s="79"/>
    </row>
    <row r="12" spans="2:17" x14ac:dyDescent="0.2">
      <c r="B12" s="78"/>
      <c r="C12" s="27"/>
      <c r="D12" s="13"/>
      <c r="E12" s="13"/>
      <c r="F12" s="13"/>
      <c r="G12" s="45"/>
      <c r="H12" s="45"/>
      <c r="I12" s="9"/>
      <c r="J12" s="13"/>
      <c r="K12" s="13"/>
      <c r="L12" s="45"/>
      <c r="M12" s="45"/>
      <c r="N12" s="65"/>
      <c r="O12" s="12"/>
      <c r="P12" s="45"/>
      <c r="Q12" s="79"/>
    </row>
    <row r="13" spans="2:17" x14ac:dyDescent="0.2">
      <c r="B13" s="78"/>
      <c r="C13" s="46"/>
      <c r="D13" s="49" t="s">
        <v>141</v>
      </c>
      <c r="E13" s="49"/>
      <c r="F13" s="49"/>
      <c r="G13" s="45"/>
      <c r="H13" s="12"/>
      <c r="I13" s="45"/>
      <c r="J13" s="68"/>
      <c r="K13" s="328" t="s">
        <v>369</v>
      </c>
      <c r="L13" s="328"/>
      <c r="M13" s="224"/>
      <c r="N13" s="208" t="str">
        <f>IF(P29&lt;0.005,"",P29)</f>
        <v/>
      </c>
      <c r="O13" s="49"/>
      <c r="P13" s="45"/>
      <c r="Q13" s="79"/>
    </row>
    <row r="14" spans="2:17" x14ac:dyDescent="0.2">
      <c r="B14" s="93"/>
      <c r="C14" s="10"/>
      <c r="D14" s="36">
        <f>IF(O74*F29&gt;3,3,O74*F29)</f>
        <v>0</v>
      </c>
      <c r="E14" s="49"/>
      <c r="F14" s="49"/>
      <c r="G14" s="45"/>
      <c r="H14" s="12"/>
      <c r="I14" s="10"/>
      <c r="J14" s="10"/>
      <c r="K14" s="567" t="e">
        <f>IF(Geometry!N130*AVERAGE(N13:N14)&gt;2,2,Geometry!N130*AVERAGE(N13:N14))</f>
        <v>#DIV/0!</v>
      </c>
      <c r="L14" s="568"/>
      <c r="M14" s="92" t="str">
        <f>IF(P29&lt;0.005,"",P29)</f>
        <v/>
      </c>
      <c r="N14" s="209" t="str">
        <f>IF(K29&lt;0.005,"",K29)</f>
        <v/>
      </c>
      <c r="O14" s="329"/>
      <c r="P14" s="45"/>
      <c r="Q14" s="79"/>
    </row>
    <row r="15" spans="2:17" x14ac:dyDescent="0.2">
      <c r="B15" s="93"/>
      <c r="C15" s="559" t="s">
        <v>137</v>
      </c>
      <c r="D15" s="560" t="s">
        <v>374</v>
      </c>
      <c r="E15" s="560"/>
      <c r="F15" s="49"/>
      <c r="G15" s="45"/>
      <c r="H15" s="12"/>
      <c r="I15" s="45"/>
      <c r="J15" s="330"/>
      <c r="K15" s="570" t="s">
        <v>374</v>
      </c>
      <c r="L15" s="570"/>
      <c r="M15" s="92" t="str">
        <f>IF(K29&lt;0.005,"",K29)</f>
        <v/>
      </c>
      <c r="N15" s="49"/>
      <c r="O15" s="45"/>
      <c r="P15" s="45"/>
      <c r="Q15" s="79"/>
    </row>
    <row r="16" spans="2:17" ht="12.75" customHeight="1" x14ac:dyDescent="0.2">
      <c r="B16" s="78"/>
      <c r="C16" s="559"/>
      <c r="D16" s="45"/>
      <c r="E16" s="45"/>
      <c r="F16" s="43"/>
      <c r="G16" s="45"/>
      <c r="H16" s="45"/>
      <c r="I16" s="45"/>
      <c r="J16" s="186"/>
      <c r="K16" s="45"/>
      <c r="L16" s="45"/>
      <c r="M16" s="45"/>
      <c r="N16" s="45"/>
      <c r="O16" s="45"/>
      <c r="P16" s="45"/>
      <c r="Q16" s="79"/>
    </row>
    <row r="17" spans="2:17" x14ac:dyDescent="0.2">
      <c r="B17" s="98" t="s">
        <v>381</v>
      </c>
      <c r="C17" s="559"/>
      <c r="D17" s="13" t="s">
        <v>97</v>
      </c>
      <c r="E17" s="15" t="s">
        <v>213</v>
      </c>
      <c r="F17" s="12" t="s">
        <v>214</v>
      </c>
      <c r="G17" s="12"/>
      <c r="H17" s="45"/>
      <c r="I17" s="223" t="s">
        <v>121</v>
      </c>
      <c r="J17" s="43" t="s">
        <v>213</v>
      </c>
      <c r="K17" s="12" t="s">
        <v>224</v>
      </c>
      <c r="L17" s="12"/>
      <c r="M17" s="9" t="s">
        <v>127</v>
      </c>
      <c r="N17" s="9" t="s">
        <v>127</v>
      </c>
      <c r="O17" s="15" t="s">
        <v>213</v>
      </c>
      <c r="P17" s="12" t="s">
        <v>344</v>
      </c>
      <c r="Q17" s="79"/>
    </row>
    <row r="18" spans="2:17" ht="12" customHeight="1" x14ac:dyDescent="0.2">
      <c r="B18" s="203" t="s">
        <v>382</v>
      </c>
      <c r="C18" s="559"/>
      <c r="D18" s="94" t="s">
        <v>106</v>
      </c>
      <c r="E18" s="70" t="s">
        <v>106</v>
      </c>
      <c r="F18" s="14" t="s">
        <v>215</v>
      </c>
      <c r="G18" s="14"/>
      <c r="H18" s="95" t="s">
        <v>353</v>
      </c>
      <c r="I18" s="96" t="s">
        <v>155</v>
      </c>
      <c r="J18" s="97" t="s">
        <v>121</v>
      </c>
      <c r="K18" s="14" t="s">
        <v>215</v>
      </c>
      <c r="L18" s="14"/>
      <c r="M18" s="74" t="s">
        <v>122</v>
      </c>
      <c r="N18" s="65" t="s">
        <v>155</v>
      </c>
      <c r="O18" s="71" t="s">
        <v>216</v>
      </c>
      <c r="P18" s="14" t="s">
        <v>215</v>
      </c>
      <c r="Q18" s="79"/>
    </row>
    <row r="19" spans="2:17" x14ac:dyDescent="0.2">
      <c r="B19" s="229" t="str">
        <f>IF(D19&gt;=E19,"",S82)</f>
        <v/>
      </c>
      <c r="C19" s="9">
        <v>1</v>
      </c>
      <c r="D19" s="189"/>
      <c r="E19" s="189"/>
      <c r="F19" s="187" t="str">
        <f>IF(AND(E19&gt;=D19,D19&lt;D11,E19&lt;&gt;0),G19,"")</f>
        <v/>
      </c>
      <c r="G19" s="190">
        <f>IF($D$11=0,0,IF(E19&gt;$D$11,1,(E19-D19)/($D$11-D19)))</f>
        <v>0</v>
      </c>
      <c r="H19" s="189"/>
      <c r="I19" s="189"/>
      <c r="J19" s="189"/>
      <c r="K19" s="187" t="str">
        <f>IF(AND(J19&lt;=H19,H19&gt;I11,J19&lt;&gt;0),L19,"")</f>
        <v/>
      </c>
      <c r="L19" s="191">
        <f>IF($I$11=0,0,IF(J19&lt;$I$11,1,(H19-J19)/(H19-$I$11)*(I19/I29)))</f>
        <v>0</v>
      </c>
      <c r="M19" s="189"/>
      <c r="N19" s="189"/>
      <c r="O19" s="189"/>
      <c r="P19" s="525" t="str">
        <f>IF(AND(O19&gt;=M19,M19&lt;N11,O19&lt;&gt;0),Q19,"")</f>
        <v/>
      </c>
      <c r="Q19" s="526">
        <f>IF($N$11=0,0,IF(O19&gt;$N$11,1,(O19-M19)/($N$11-M19)*(N19/N29)))</f>
        <v>0</v>
      </c>
    </row>
    <row r="20" spans="2:17" x14ac:dyDescent="0.2">
      <c r="B20" s="229" t="str">
        <f t="shared" ref="B20:B28" si="0">IF(D20&gt;=E20,"",S83)</f>
        <v/>
      </c>
      <c r="C20" s="9">
        <v>2</v>
      </c>
      <c r="D20" s="189"/>
      <c r="E20" s="189"/>
      <c r="F20" s="187" t="str">
        <f>IF(AND(E20&gt;=D20,D20&lt;D11,E20&lt;&gt;0),G20,"")</f>
        <v/>
      </c>
      <c r="G20" s="190">
        <f t="shared" ref="G20:G28" si="1">IF($D$11=0,0,IF(E20&gt;$D$11,1,(E20-D20)/($D$11-D20)))</f>
        <v>0</v>
      </c>
      <c r="H20" s="189"/>
      <c r="I20" s="189"/>
      <c r="J20" s="189"/>
      <c r="K20" s="187" t="str">
        <f>IF(AND(J20&lt;=H20,H20&gt;I11,J20&lt;&gt;0),L20,"")</f>
        <v/>
      </c>
      <c r="L20" s="191">
        <f t="shared" ref="L20:L28" si="2">IF($I$11=0,0,IF(J20&lt;$I$11,1,(H20-J20)/(H20-$I$11)*(I20/I30)))</f>
        <v>0</v>
      </c>
      <c r="M20" s="189"/>
      <c r="N20" s="189"/>
      <c r="O20" s="189"/>
      <c r="P20" s="525" t="str">
        <f>IF(AND(O20&gt;=M20,M20&lt;N11,O20&lt;&gt;0),Q20,"")</f>
        <v/>
      </c>
      <c r="Q20" s="526">
        <f t="shared" ref="Q20:Q28" si="3">IF($N$11=0,0,IF(O20&gt;$N$11,1,(O20-M20)/($N$11-M20)*(N20/N30)))</f>
        <v>0</v>
      </c>
    </row>
    <row r="21" spans="2:17" x14ac:dyDescent="0.2">
      <c r="B21" s="229" t="str">
        <f t="shared" si="0"/>
        <v/>
      </c>
      <c r="C21" s="9">
        <v>3</v>
      </c>
      <c r="D21" s="189"/>
      <c r="E21" s="189"/>
      <c r="F21" s="187" t="str">
        <f>IF(AND(E21&gt;=D21,D21&lt;D11,E21&lt;&gt;0),G21,"")</f>
        <v/>
      </c>
      <c r="G21" s="190">
        <f t="shared" si="1"/>
        <v>0</v>
      </c>
      <c r="H21" s="189"/>
      <c r="I21" s="189"/>
      <c r="J21" s="189"/>
      <c r="K21" s="187" t="str">
        <f>IF(AND(J21&lt;=H21,H21&gt;I11,J21&lt;&gt;0),L21,"")</f>
        <v/>
      </c>
      <c r="L21" s="191">
        <f t="shared" si="2"/>
        <v>0</v>
      </c>
      <c r="M21" s="189"/>
      <c r="N21" s="189"/>
      <c r="O21" s="189"/>
      <c r="P21" s="525" t="str">
        <f>IF(AND(O21&gt;=M21,M21&lt;N11,O21&lt;&gt;0),Q21,"")</f>
        <v/>
      </c>
      <c r="Q21" s="526">
        <f t="shared" si="3"/>
        <v>0</v>
      </c>
    </row>
    <row r="22" spans="2:17" x14ac:dyDescent="0.2">
      <c r="B22" s="229" t="str">
        <f t="shared" si="0"/>
        <v/>
      </c>
      <c r="C22" s="9">
        <v>4</v>
      </c>
      <c r="D22" s="189"/>
      <c r="E22" s="189"/>
      <c r="F22" s="187" t="str">
        <f>IF(AND(E22&gt;=D22,D22&lt;D11,E22&lt;&gt;0),G22,"")</f>
        <v/>
      </c>
      <c r="G22" s="190">
        <f t="shared" si="1"/>
        <v>0</v>
      </c>
      <c r="H22" s="189"/>
      <c r="I22" s="189"/>
      <c r="J22" s="189"/>
      <c r="K22" s="187" t="str">
        <f>IF(AND(J22&lt;=H22,H22&gt;I11,J22&lt;&gt;0),L22,"")</f>
        <v/>
      </c>
      <c r="L22" s="191">
        <f t="shared" si="2"/>
        <v>0</v>
      </c>
      <c r="M22" s="189"/>
      <c r="N22" s="189"/>
      <c r="O22" s="189"/>
      <c r="P22" s="525" t="str">
        <f>IF(AND(O22&gt;=M22,M22&lt;N11,O22&lt;&gt;0),Q22,"")</f>
        <v/>
      </c>
      <c r="Q22" s="526">
        <f t="shared" si="3"/>
        <v>0</v>
      </c>
    </row>
    <row r="23" spans="2:17" x14ac:dyDescent="0.2">
      <c r="B23" s="229" t="str">
        <f t="shared" si="0"/>
        <v/>
      </c>
      <c r="C23" s="9">
        <v>5</v>
      </c>
      <c r="D23" s="189"/>
      <c r="E23" s="189"/>
      <c r="F23" s="187" t="str">
        <f>IF(AND(E23&gt;=D23,D23&lt;D11,E23&lt;&gt;0),G23,"")</f>
        <v/>
      </c>
      <c r="G23" s="190">
        <f t="shared" si="1"/>
        <v>0</v>
      </c>
      <c r="H23" s="189"/>
      <c r="I23" s="189"/>
      <c r="J23" s="189"/>
      <c r="K23" s="187" t="str">
        <f>IF(AND(J23&lt;=H23,H23&gt;I11,J23&lt;&gt;0),L23,"")</f>
        <v/>
      </c>
      <c r="L23" s="191">
        <f t="shared" si="2"/>
        <v>0</v>
      </c>
      <c r="M23" s="189"/>
      <c r="N23" s="189"/>
      <c r="O23" s="189"/>
      <c r="P23" s="525" t="str">
        <f>IF(AND(O23&gt;=M23,M23&lt;N11,O23&lt;&gt;0),Q23,"")</f>
        <v/>
      </c>
      <c r="Q23" s="526">
        <f t="shared" si="3"/>
        <v>0</v>
      </c>
    </row>
    <row r="24" spans="2:17" x14ac:dyDescent="0.2">
      <c r="B24" s="229" t="str">
        <f t="shared" si="0"/>
        <v/>
      </c>
      <c r="C24" s="9">
        <v>6</v>
      </c>
      <c r="D24" s="189"/>
      <c r="E24" s="189"/>
      <c r="F24" s="187" t="str">
        <f>IF(AND(E24&gt;=D24,D24&lt;D11,E24&lt;&gt;0),G24,"")</f>
        <v/>
      </c>
      <c r="G24" s="190">
        <f t="shared" si="1"/>
        <v>0</v>
      </c>
      <c r="H24" s="189"/>
      <c r="I24" s="189"/>
      <c r="J24" s="189"/>
      <c r="K24" s="187" t="str">
        <f>IF(AND(J24&lt;=H24,H24&gt;I11,J24&lt;&gt;0),L24,"")</f>
        <v/>
      </c>
      <c r="L24" s="191">
        <f t="shared" si="2"/>
        <v>0</v>
      </c>
      <c r="M24" s="189"/>
      <c r="N24" s="189"/>
      <c r="O24" s="189"/>
      <c r="P24" s="525" t="str">
        <f>IF(AND(O24&gt;=M24,M24&lt;N11,O24&lt;&gt;0),Q24,"")</f>
        <v/>
      </c>
      <c r="Q24" s="526">
        <f t="shared" si="3"/>
        <v>0</v>
      </c>
    </row>
    <row r="25" spans="2:17" x14ac:dyDescent="0.2">
      <c r="B25" s="229" t="str">
        <f t="shared" si="0"/>
        <v/>
      </c>
      <c r="C25" s="9">
        <v>7</v>
      </c>
      <c r="D25" s="189"/>
      <c r="E25" s="189"/>
      <c r="F25" s="187" t="str">
        <f>IF(AND(E25&gt;=D25,D25&lt;D11,E25&lt;&gt;0),G25,"")</f>
        <v/>
      </c>
      <c r="G25" s="190">
        <f t="shared" si="1"/>
        <v>0</v>
      </c>
      <c r="H25" s="189"/>
      <c r="I25" s="189"/>
      <c r="J25" s="189"/>
      <c r="K25" s="187" t="str">
        <f>IF(AND(J25&lt;=H25,H25&gt;I11,J25&lt;&gt;0),L25,"")</f>
        <v/>
      </c>
      <c r="L25" s="191">
        <f t="shared" si="2"/>
        <v>0</v>
      </c>
      <c r="M25" s="189"/>
      <c r="N25" s="189"/>
      <c r="O25" s="189"/>
      <c r="P25" s="525" t="str">
        <f>IF(AND(O25&gt;=M25,M25&lt;N11,O25&lt;&gt;0),Q25,"")</f>
        <v/>
      </c>
      <c r="Q25" s="526">
        <f t="shared" si="3"/>
        <v>0</v>
      </c>
    </row>
    <row r="26" spans="2:17" x14ac:dyDescent="0.2">
      <c r="B26" s="229" t="str">
        <f t="shared" si="0"/>
        <v/>
      </c>
      <c r="C26" s="9">
        <v>8</v>
      </c>
      <c r="D26" s="189"/>
      <c r="E26" s="189"/>
      <c r="F26" s="187" t="str">
        <f>IF(AND(E26&gt;=D26,D26&lt;D11,E26&lt;&gt;0),G26,"")</f>
        <v/>
      </c>
      <c r="G26" s="190">
        <f t="shared" si="1"/>
        <v>0</v>
      </c>
      <c r="H26" s="189"/>
      <c r="I26" s="189"/>
      <c r="J26" s="189"/>
      <c r="K26" s="187" t="str">
        <f>IF(AND(J26&lt;=H26,H26&gt;I11,J26&lt;&gt;0),L26,"")</f>
        <v/>
      </c>
      <c r="L26" s="191">
        <f t="shared" si="2"/>
        <v>0</v>
      </c>
      <c r="M26" s="189"/>
      <c r="N26" s="189"/>
      <c r="O26" s="189"/>
      <c r="P26" s="525" t="str">
        <f>IF(AND(O26&gt;=M26,M26&lt;N11,O26&lt;&gt;0),Q26,"")</f>
        <v/>
      </c>
      <c r="Q26" s="526">
        <f t="shared" si="3"/>
        <v>0</v>
      </c>
    </row>
    <row r="27" spans="2:17" x14ac:dyDescent="0.2">
      <c r="B27" s="229" t="str">
        <f t="shared" si="0"/>
        <v/>
      </c>
      <c r="C27" s="9">
        <v>9</v>
      </c>
      <c r="D27" s="189"/>
      <c r="E27" s="189"/>
      <c r="F27" s="187" t="str">
        <f>IF(AND(E27&gt;=D27,D27&lt;D11,E27&lt;&gt;0),G27,"")</f>
        <v/>
      </c>
      <c r="G27" s="190">
        <f t="shared" si="1"/>
        <v>0</v>
      </c>
      <c r="H27" s="189"/>
      <c r="I27" s="189"/>
      <c r="J27" s="189"/>
      <c r="K27" s="187" t="str">
        <f>IF(AND(J27&lt;=H27,H27&gt;I11,J27&lt;&gt;0),L27,"")</f>
        <v/>
      </c>
      <c r="L27" s="191">
        <f t="shared" si="2"/>
        <v>0</v>
      </c>
      <c r="M27" s="189"/>
      <c r="N27" s="189"/>
      <c r="O27" s="189"/>
      <c r="P27" s="525" t="str">
        <f>IF(AND(O27&gt;=M27,M27&lt;N11,O27&lt;&gt;0),Q27,"")</f>
        <v/>
      </c>
      <c r="Q27" s="526">
        <f t="shared" si="3"/>
        <v>0</v>
      </c>
    </row>
    <row r="28" spans="2:17" x14ac:dyDescent="0.2">
      <c r="B28" s="229" t="str">
        <f t="shared" si="0"/>
        <v/>
      </c>
      <c r="C28" s="188">
        <v>10</v>
      </c>
      <c r="D28" s="189"/>
      <c r="E28" s="189"/>
      <c r="F28" s="187" t="str">
        <f>IF(AND(E28&gt;=D28,D28&lt;D11,E28&lt;&gt;0),G28,"")</f>
        <v/>
      </c>
      <c r="G28" s="190">
        <f t="shared" si="1"/>
        <v>0</v>
      </c>
      <c r="H28" s="189"/>
      <c r="I28" s="189"/>
      <c r="J28" s="189"/>
      <c r="K28" s="187" t="str">
        <f>IF(AND(J28&lt;=H28,H28&gt;I11,J28&lt;&gt;0),L28,"")</f>
        <v/>
      </c>
      <c r="L28" s="191">
        <f t="shared" si="2"/>
        <v>0</v>
      </c>
      <c r="M28" s="189"/>
      <c r="N28" s="189"/>
      <c r="O28" s="189"/>
      <c r="P28" s="525" t="str">
        <f>IF(AND(O28&gt;=M28,M28&lt;N11,O28&lt;&gt;0),Q28,"")</f>
        <v/>
      </c>
      <c r="Q28" s="526">
        <f t="shared" si="3"/>
        <v>0</v>
      </c>
    </row>
    <row r="29" spans="2:17" x14ac:dyDescent="0.2">
      <c r="B29" s="78"/>
      <c r="C29" s="45"/>
      <c r="D29" s="9"/>
      <c r="E29" s="54" t="s">
        <v>217</v>
      </c>
      <c r="F29" s="99">
        <f>IF(SUM(G19:G28)=0,0,AVERAGE(F19:F28))</f>
        <v>0</v>
      </c>
      <c r="G29" s="9"/>
      <c r="H29" s="9"/>
      <c r="I29" s="9">
        <f>SUM(I19:I28)</f>
        <v>0</v>
      </c>
      <c r="J29" s="54" t="s">
        <v>223</v>
      </c>
      <c r="K29" s="16">
        <f>IF(SUM(K19:K28)=0,0,(SUM(K19:K28)))</f>
        <v>0</v>
      </c>
      <c r="L29" s="45"/>
      <c r="M29" s="9"/>
      <c r="N29" s="9">
        <f>SUM(N19:N28)</f>
        <v>0</v>
      </c>
      <c r="O29" s="54" t="s">
        <v>223</v>
      </c>
      <c r="P29" s="16">
        <f>IF(SUM(P19:P28)=0,0,(SUM(P19:P28)))</f>
        <v>0</v>
      </c>
      <c r="Q29" s="79"/>
    </row>
    <row r="30" spans="2:17" x14ac:dyDescent="0.2">
      <c r="B30" s="78"/>
      <c r="C30" s="9"/>
      <c r="D30" s="54"/>
      <c r="E30" s="99"/>
      <c r="F30" s="9"/>
      <c r="G30" s="9"/>
      <c r="H30" s="54"/>
      <c r="I30" s="16"/>
      <c r="J30" s="9"/>
      <c r="K30" s="9"/>
      <c r="L30" s="54"/>
      <c r="M30" s="16"/>
      <c r="N30" s="45"/>
      <c r="O30" s="115"/>
      <c r="P30" s="45"/>
      <c r="Q30" s="79"/>
    </row>
    <row r="31" spans="2:17" x14ac:dyDescent="0.2">
      <c r="B31" s="78"/>
      <c r="C31" s="56" t="s">
        <v>219</v>
      </c>
      <c r="D31" s="45"/>
      <c r="E31" s="45"/>
      <c r="F31" s="45"/>
      <c r="G31" s="45"/>
      <c r="H31" s="45"/>
      <c r="I31" s="45"/>
      <c r="J31" s="45"/>
      <c r="K31" s="210"/>
      <c r="L31" s="45"/>
      <c r="M31" s="16"/>
      <c r="N31" s="45"/>
      <c r="O31" s="115"/>
      <c r="P31" s="45"/>
      <c r="Q31" s="79"/>
    </row>
    <row r="32" spans="2:17" x14ac:dyDescent="0.2">
      <c r="B32" s="78"/>
      <c r="C32" s="45"/>
      <c r="D32" s="45"/>
      <c r="E32" s="12" t="s">
        <v>221</v>
      </c>
      <c r="F32" s="12" t="s">
        <v>220</v>
      </c>
      <c r="G32" s="12" t="s">
        <v>107</v>
      </c>
      <c r="H32" s="45"/>
      <c r="I32" s="45"/>
      <c r="J32" s="45"/>
      <c r="K32" s="49"/>
      <c r="L32" s="46"/>
      <c r="M32" s="16"/>
      <c r="N32" s="45"/>
      <c r="O32" s="115"/>
      <c r="P32" s="45"/>
      <c r="Q32" s="79"/>
    </row>
    <row r="33" spans="2:20" x14ac:dyDescent="0.2">
      <c r="B33" s="78"/>
      <c r="C33" s="45"/>
      <c r="D33" s="165" t="s">
        <v>365</v>
      </c>
      <c r="E33" s="5"/>
      <c r="F33" s="8"/>
      <c r="G33" s="17">
        <f>Geometry!AI157</f>
        <v>22</v>
      </c>
      <c r="H33" s="69"/>
      <c r="I33" s="45"/>
      <c r="J33" s="45"/>
      <c r="K33" s="210" t="s">
        <v>218</v>
      </c>
      <c r="L33" s="46"/>
      <c r="M33" s="16"/>
      <c r="N33" s="45"/>
      <c r="O33" s="115"/>
      <c r="P33" s="45"/>
      <c r="Q33" s="79"/>
    </row>
    <row r="34" spans="2:20" x14ac:dyDescent="0.2">
      <c r="B34" s="78"/>
      <c r="C34" s="45"/>
      <c r="D34" s="44" t="s">
        <v>207</v>
      </c>
      <c r="E34" s="5"/>
      <c r="F34" s="8"/>
      <c r="G34" s="17">
        <f>Geometry!AI167</f>
        <v>4</v>
      </c>
      <c r="H34" s="69"/>
      <c r="I34" s="45"/>
      <c r="J34" s="45"/>
      <c r="K34" s="51"/>
      <c r="L34" s="46"/>
      <c r="M34" s="16"/>
      <c r="N34" s="45"/>
      <c r="O34" s="115"/>
      <c r="P34" s="45"/>
      <c r="Q34" s="79"/>
    </row>
    <row r="35" spans="2:20" x14ac:dyDescent="0.2">
      <c r="B35" s="78"/>
      <c r="C35" s="45"/>
      <c r="D35" s="44" t="s">
        <v>82</v>
      </c>
      <c r="E35" s="18">
        <f>(E33+(E34*2))</f>
        <v>0</v>
      </c>
      <c r="F35" s="18">
        <f>(F33+(F34*2))</f>
        <v>0</v>
      </c>
      <c r="G35" s="19">
        <f>(G33+(G34*2))</f>
        <v>30</v>
      </c>
      <c r="H35" s="43"/>
      <c r="I35" s="45"/>
      <c r="J35" s="45"/>
      <c r="K35" s="36">
        <f>Geometry!L169</f>
        <v>0</v>
      </c>
      <c r="L35" s="571" t="s">
        <v>408</v>
      </c>
      <c r="M35" s="572"/>
      <c r="N35" s="45"/>
      <c r="O35" s="115"/>
      <c r="P35" s="45"/>
      <c r="Q35" s="79"/>
    </row>
    <row r="36" spans="2:20" ht="13.5" thickBot="1" x14ac:dyDescent="0.25">
      <c r="B36" s="80"/>
      <c r="C36" s="81"/>
      <c r="D36" s="100"/>
      <c r="E36" s="81"/>
      <c r="F36" s="81"/>
      <c r="G36" s="101"/>
      <c r="H36" s="81"/>
      <c r="I36" s="81"/>
      <c r="J36" s="81"/>
      <c r="K36" s="81"/>
      <c r="L36" s="81"/>
      <c r="M36" s="81"/>
      <c r="N36" s="81"/>
      <c r="O36" s="185"/>
      <c r="P36" s="81"/>
      <c r="Q36" s="87"/>
    </row>
    <row r="37" spans="2:20" x14ac:dyDescent="0.2">
      <c r="B37" s="160"/>
      <c r="C37" s="160"/>
      <c r="D37" s="161"/>
      <c r="E37" s="160"/>
      <c r="F37" s="160"/>
      <c r="G37" s="162"/>
      <c r="H37" s="160"/>
      <c r="I37" s="160"/>
      <c r="J37" s="160"/>
      <c r="K37" s="160"/>
      <c r="L37" s="160"/>
      <c r="M37" s="138"/>
      <c r="N37" s="138"/>
      <c r="O37" s="148"/>
    </row>
    <row r="38" spans="2:20" x14ac:dyDescent="0.2">
      <c r="C38" s="138"/>
      <c r="D38" s="138"/>
      <c r="E38" s="163"/>
      <c r="F38" s="138"/>
      <c r="G38" s="138"/>
      <c r="H38" s="164"/>
      <c r="I38" s="138"/>
      <c r="J38" s="138"/>
      <c r="K38" s="138"/>
      <c r="L38" s="138"/>
      <c r="M38" s="138"/>
      <c r="N38" s="138"/>
      <c r="O38" s="138"/>
      <c r="P38" s="148"/>
    </row>
    <row r="39" spans="2:20" x14ac:dyDescent="0.2">
      <c r="C39" s="138"/>
      <c r="D39" s="138"/>
      <c r="E39" s="163"/>
      <c r="F39" s="138"/>
      <c r="G39" s="138"/>
      <c r="H39" s="138"/>
      <c r="I39" s="164"/>
      <c r="J39" s="138"/>
      <c r="K39" s="138"/>
      <c r="L39" s="138"/>
      <c r="M39" s="138"/>
      <c r="N39" s="138"/>
      <c r="O39" s="138"/>
      <c r="P39" s="138"/>
      <c r="Q39" s="138"/>
      <c r="R39" s="148"/>
    </row>
    <row r="40" spans="2:20" x14ac:dyDescent="0.2">
      <c r="C40" s="138"/>
      <c r="D40" s="138"/>
      <c r="E40" s="138"/>
      <c r="F40" s="138"/>
      <c r="G40" s="138"/>
      <c r="M40" s="138"/>
      <c r="N40" s="138"/>
      <c r="O40" s="138"/>
      <c r="P40" s="138"/>
      <c r="R40" s="143"/>
    </row>
    <row r="41" spans="2:20" x14ac:dyDescent="0.2">
      <c r="C41" s="138"/>
      <c r="D41" s="138"/>
      <c r="E41" s="138"/>
      <c r="F41" s="138"/>
      <c r="G41" s="138"/>
      <c r="H41" s="199"/>
      <c r="I41" s="197"/>
      <c r="J41" s="198"/>
      <c r="K41" s="196" t="s">
        <v>375</v>
      </c>
      <c r="L41" s="152"/>
      <c r="M41" s="153"/>
      <c r="O41" s="138"/>
      <c r="P41" s="138"/>
      <c r="Q41" s="138"/>
      <c r="R41" s="138"/>
      <c r="T41" s="143"/>
    </row>
    <row r="42" spans="2:20" x14ac:dyDescent="0.2">
      <c r="C42" s="138"/>
      <c r="D42" s="138"/>
      <c r="E42" s="138"/>
      <c r="F42" s="138"/>
      <c r="G42" s="138"/>
      <c r="H42" s="200"/>
      <c r="I42" s="561" t="s">
        <v>378</v>
      </c>
      <c r="J42" s="562"/>
      <c r="K42" s="146" t="s">
        <v>54</v>
      </c>
      <c r="L42" s="201" t="s">
        <v>376</v>
      </c>
      <c r="M42" s="202" t="s">
        <v>56</v>
      </c>
      <c r="O42" s="138"/>
      <c r="P42" s="138"/>
      <c r="Q42" s="138"/>
      <c r="R42" s="138"/>
      <c r="T42" s="143"/>
    </row>
    <row r="43" spans="2:20" x14ac:dyDescent="0.2">
      <c r="C43" s="138"/>
      <c r="D43" s="138"/>
      <c r="E43" s="138"/>
      <c r="F43" s="138"/>
      <c r="G43" s="138"/>
      <c r="H43" s="200"/>
      <c r="I43" s="221"/>
      <c r="J43" s="222"/>
      <c r="K43" s="145"/>
      <c r="L43" s="195"/>
      <c r="M43" s="194"/>
      <c r="O43" s="138"/>
      <c r="P43" s="138"/>
      <c r="Q43" s="138"/>
      <c r="R43" s="138"/>
      <c r="T43" s="143"/>
    </row>
    <row r="44" spans="2:20" x14ac:dyDescent="0.2">
      <c r="C44" s="138"/>
      <c r="D44" s="138"/>
      <c r="E44" s="138"/>
      <c r="F44" s="138"/>
      <c r="G44" s="138"/>
      <c r="H44" s="199"/>
      <c r="I44" s="561" t="s">
        <v>99</v>
      </c>
      <c r="J44" s="562"/>
      <c r="K44" s="520">
        <f>IF(F7&lt;&gt;0,L44,K45)</f>
        <v>20</v>
      </c>
      <c r="L44" s="520">
        <f>IF('Traffic &amp; Accidents'!D8&lt;400,30,M44)</f>
        <v>30</v>
      </c>
      <c r="M44" s="521">
        <f>IF('Traffic &amp; Accidents'!D8&lt;2001,40,50)</f>
        <v>40</v>
      </c>
      <c r="O44" s="138"/>
      <c r="P44" s="138"/>
      <c r="Q44" s="138"/>
      <c r="R44" s="138"/>
      <c r="T44" s="143"/>
    </row>
    <row r="45" spans="2:20" x14ac:dyDescent="0.2">
      <c r="C45" s="138"/>
      <c r="D45" s="138"/>
      <c r="E45" s="163"/>
      <c r="F45" s="138"/>
      <c r="G45" s="138"/>
      <c r="H45" s="199"/>
      <c r="I45" s="561" t="s">
        <v>70</v>
      </c>
      <c r="J45" s="562"/>
      <c r="K45" s="520">
        <f>IF(G7&gt;0,L45,K46)</f>
        <v>20</v>
      </c>
      <c r="L45" s="520">
        <f>IF('Traffic &amp; Accidents'!D8&lt;400,20,M45)</f>
        <v>20</v>
      </c>
      <c r="M45" s="521">
        <f>IF('Traffic &amp; Accidents'!D8&lt;2001,30,40)</f>
        <v>30</v>
      </c>
      <c r="O45" s="138"/>
      <c r="P45" s="138"/>
      <c r="Q45" s="138"/>
      <c r="R45" s="138"/>
      <c r="S45" s="138"/>
      <c r="T45" s="148"/>
    </row>
    <row r="46" spans="2:20" x14ac:dyDescent="0.2">
      <c r="E46" s="149"/>
      <c r="H46" s="199"/>
      <c r="I46" s="563" t="s">
        <v>377</v>
      </c>
      <c r="J46" s="564"/>
      <c r="K46" s="522">
        <f>L46</f>
        <v>20</v>
      </c>
      <c r="L46" s="522">
        <f>IF('Traffic &amp; Accidents'!D8&lt;400,20,M46)</f>
        <v>20</v>
      </c>
      <c r="M46" s="523">
        <f>IF('Traffic &amp; Accidents'!D8&lt;2001,30,40)</f>
        <v>30</v>
      </c>
      <c r="S46" s="138"/>
      <c r="T46" s="148"/>
    </row>
    <row r="49" spans="1:32" x14ac:dyDescent="0.2">
      <c r="A49" s="558"/>
      <c r="C49" s="140"/>
      <c r="D49" s="140"/>
      <c r="E49" s="140"/>
      <c r="F49" s="140"/>
      <c r="G49" s="140"/>
      <c r="H49" s="140"/>
      <c r="I49" s="140"/>
      <c r="J49" s="141"/>
      <c r="K49" s="140"/>
      <c r="L49" s="141"/>
      <c r="M49" s="140"/>
      <c r="N49" s="140"/>
      <c r="O49" s="140"/>
      <c r="Q49" s="155"/>
      <c r="R49" s="155"/>
      <c r="U49" s="331"/>
      <c r="V49" s="331"/>
      <c r="W49" s="331"/>
      <c r="X49" s="331"/>
      <c r="Y49" s="331"/>
      <c r="Z49" s="331"/>
      <c r="AA49" s="331"/>
      <c r="AB49" s="331"/>
      <c r="AC49" s="331"/>
    </row>
    <row r="50" spans="1:32" x14ac:dyDescent="0.2">
      <c r="A50" s="558"/>
      <c r="C50" s="332" t="s">
        <v>349</v>
      </c>
      <c r="D50" s="140"/>
      <c r="E50" s="140"/>
      <c r="F50" s="140"/>
      <c r="G50" s="140"/>
      <c r="H50" s="140"/>
      <c r="I50" s="140"/>
      <c r="J50" s="141"/>
      <c r="K50" s="140"/>
      <c r="L50" s="141"/>
      <c r="M50" s="140"/>
      <c r="N50" s="140"/>
      <c r="O50" s="140"/>
      <c r="Q50" s="155"/>
      <c r="R50" s="333"/>
      <c r="S50" s="334"/>
      <c r="T50" s="334"/>
      <c r="U50" s="334"/>
      <c r="V50" s="334"/>
      <c r="W50" s="334"/>
      <c r="X50" s="334"/>
      <c r="Y50" s="334"/>
      <c r="Z50" s="198"/>
      <c r="AA50" s="334"/>
      <c r="AB50" s="334"/>
      <c r="AC50" s="423"/>
      <c r="AD50" s="198"/>
      <c r="AE50" s="198"/>
      <c r="AF50" s="424"/>
    </row>
    <row r="51" spans="1:32" x14ac:dyDescent="0.2">
      <c r="A51" s="558"/>
      <c r="C51" s="140"/>
      <c r="D51" s="140"/>
      <c r="E51" s="140"/>
      <c r="F51" s="140"/>
      <c r="G51" s="140"/>
      <c r="H51" s="140"/>
      <c r="I51" s="140"/>
      <c r="J51" s="141"/>
      <c r="K51" s="140"/>
      <c r="L51" s="141"/>
      <c r="M51" s="140"/>
      <c r="N51" s="140"/>
      <c r="O51" s="140"/>
      <c r="Q51" s="155"/>
      <c r="R51" s="335"/>
      <c r="S51" s="336" t="s">
        <v>366</v>
      </c>
      <c r="T51" s="337"/>
      <c r="U51" s="337"/>
      <c r="V51" s="337"/>
      <c r="W51" s="337"/>
      <c r="X51" s="337"/>
      <c r="Y51" s="337"/>
      <c r="Z51" s="337"/>
      <c r="AA51" s="338"/>
      <c r="AB51" s="338"/>
      <c r="AC51" s="340"/>
      <c r="AD51" s="138"/>
      <c r="AE51" s="138"/>
      <c r="AF51" s="199"/>
    </row>
    <row r="52" spans="1:32" x14ac:dyDescent="0.2">
      <c r="A52" s="558"/>
      <c r="C52" s="138"/>
      <c r="D52" s="140" t="s">
        <v>367</v>
      </c>
      <c r="E52" s="140"/>
      <c r="F52" s="140"/>
      <c r="G52" s="140"/>
      <c r="H52" s="140"/>
      <c r="I52" s="140"/>
      <c r="J52" s="141"/>
      <c r="K52" s="140"/>
      <c r="L52" s="141"/>
      <c r="M52" s="140"/>
      <c r="N52" s="140"/>
      <c r="O52" s="140"/>
      <c r="Q52" s="155"/>
      <c r="R52" s="335"/>
      <c r="S52" s="338"/>
      <c r="T52" s="338"/>
      <c r="U52" s="338"/>
      <c r="V52" s="338"/>
      <c r="W52" s="338"/>
      <c r="X52" s="338"/>
      <c r="Y52" s="338"/>
      <c r="Z52" s="138"/>
      <c r="AA52" s="338"/>
      <c r="AB52" s="338"/>
      <c r="AC52" s="340"/>
      <c r="AD52" s="138"/>
      <c r="AE52" s="138"/>
      <c r="AF52" s="199"/>
    </row>
    <row r="53" spans="1:32" x14ac:dyDescent="0.2">
      <c r="A53" s="558"/>
      <c r="C53" s="138"/>
      <c r="D53" s="140" t="s">
        <v>50</v>
      </c>
      <c r="E53" s="140"/>
      <c r="F53" s="140"/>
      <c r="G53" s="140"/>
      <c r="H53" s="140"/>
      <c r="I53" s="140"/>
      <c r="J53" s="141"/>
      <c r="K53" s="140"/>
      <c r="L53" s="141"/>
      <c r="M53" s="140"/>
      <c r="N53" s="140"/>
      <c r="O53" s="140"/>
      <c r="Q53" s="155"/>
      <c r="R53" s="267">
        <f>'Traffic &amp; Accidents'!D8</f>
        <v>0</v>
      </c>
      <c r="S53" s="338" t="s">
        <v>93</v>
      </c>
      <c r="T53" s="338"/>
      <c r="U53" s="339" t="s">
        <v>96</v>
      </c>
      <c r="V53" s="339"/>
      <c r="W53" s="339"/>
      <c r="X53" s="138"/>
      <c r="Z53" s="338" t="s">
        <v>404</v>
      </c>
      <c r="AA53" s="340"/>
      <c r="AB53" s="138"/>
      <c r="AC53" s="338"/>
      <c r="AD53" s="138" t="s">
        <v>405</v>
      </c>
      <c r="AE53" s="138"/>
      <c r="AF53" s="199"/>
    </row>
    <row r="54" spans="1:32" x14ac:dyDescent="0.2">
      <c r="A54" s="558"/>
      <c r="C54" s="155" t="s">
        <v>51</v>
      </c>
      <c r="D54" s="155"/>
      <c r="E54" s="155"/>
      <c r="F54" s="155"/>
      <c r="G54" s="155"/>
      <c r="H54" s="155"/>
      <c r="I54" s="155"/>
      <c r="J54" s="341"/>
      <c r="K54" s="155"/>
      <c r="L54" s="151"/>
      <c r="M54" s="155"/>
      <c r="N54" s="155"/>
      <c r="O54" s="155"/>
      <c r="Q54" s="155"/>
      <c r="R54" s="342"/>
      <c r="S54" s="338"/>
      <c r="T54" s="338"/>
      <c r="U54" s="140">
        <f>IF(R56&lt;&gt;"",V54,U55)</f>
        <v>20</v>
      </c>
      <c r="V54" s="140">
        <f>IF(R53&lt;400,40,W54)</f>
        <v>40</v>
      </c>
      <c r="W54" s="140">
        <f>IF(R53&lt;(2001),50,60)</f>
        <v>50</v>
      </c>
      <c r="X54" s="138"/>
      <c r="Z54" s="338"/>
      <c r="AA54" s="343"/>
      <c r="AB54" s="338"/>
      <c r="AC54" s="338"/>
      <c r="AD54" s="138"/>
      <c r="AE54" s="138"/>
      <c r="AF54" s="199"/>
    </row>
    <row r="55" spans="1:32" x14ac:dyDescent="0.2">
      <c r="A55" s="558"/>
      <c r="C55" s="155"/>
      <c r="D55" s="155"/>
      <c r="E55" s="155"/>
      <c r="G55" s="155"/>
      <c r="H55" s="155"/>
      <c r="I55" s="155"/>
      <c r="J55" s="341"/>
      <c r="K55" s="155"/>
      <c r="L55" s="151"/>
      <c r="M55" s="155"/>
      <c r="N55" s="155"/>
      <c r="O55" s="155"/>
      <c r="Q55" s="155"/>
      <c r="R55" s="344" t="s">
        <v>65</v>
      </c>
      <c r="S55" s="140"/>
      <c r="T55" s="140"/>
      <c r="U55" s="140">
        <f>IF(R57&lt;&gt;"",V55,U56)</f>
        <v>20</v>
      </c>
      <c r="V55" s="140">
        <f>IF(R53&lt;(400),30,W55)</f>
        <v>30</v>
      </c>
      <c r="W55" s="140">
        <f>IF(R53&lt;(2001),40,50)</f>
        <v>40</v>
      </c>
      <c r="X55" s="138"/>
      <c r="Z55" s="345">
        <f>IF(V59=Geometry!M60,Geometry!N60,Z56)</f>
        <v>115</v>
      </c>
      <c r="AA55" s="346"/>
      <c r="AB55" s="338"/>
      <c r="AC55" s="338"/>
      <c r="AD55" s="247">
        <f>IF(AND(F7=0,G7=0,H7=0),0,Z55)</f>
        <v>0</v>
      </c>
      <c r="AE55" s="138"/>
      <c r="AF55" s="199"/>
    </row>
    <row r="56" spans="1:32" x14ac:dyDescent="0.2">
      <c r="A56" s="558"/>
      <c r="C56" s="155"/>
      <c r="D56" s="155"/>
      <c r="E56" s="155"/>
      <c r="F56" s="155" t="s">
        <v>372</v>
      </c>
      <c r="G56" s="155"/>
      <c r="H56" s="155"/>
      <c r="I56" s="155"/>
      <c r="J56" s="151" t="s">
        <v>373</v>
      </c>
      <c r="K56" s="155"/>
      <c r="L56" s="151"/>
      <c r="M56" s="155"/>
      <c r="N56" s="155"/>
      <c r="O56" s="155"/>
      <c r="Q56" s="155"/>
      <c r="R56" s="267" t="str">
        <f>IF(Geometry!F7="","",Geometry!F7)</f>
        <v/>
      </c>
      <c r="S56" s="140" t="s">
        <v>99</v>
      </c>
      <c r="T56" s="140"/>
      <c r="U56" s="140">
        <f>V56</f>
        <v>20</v>
      </c>
      <c r="V56" s="140">
        <f>IF(R53&lt;(400),20,W56)</f>
        <v>20</v>
      </c>
      <c r="W56" s="140">
        <f>IF(R53&lt;(2001),30,40)</f>
        <v>30</v>
      </c>
      <c r="X56" s="138"/>
      <c r="Z56" s="338">
        <f>IF(V59=Geometry!M61,Geometry!N61,Z57)</f>
        <v>115</v>
      </c>
      <c r="AA56" s="346"/>
      <c r="AB56" s="338"/>
      <c r="AC56" s="338"/>
      <c r="AD56" s="138"/>
      <c r="AE56" s="138"/>
      <c r="AF56" s="199"/>
    </row>
    <row r="57" spans="1:32" x14ac:dyDescent="0.2">
      <c r="A57" s="558"/>
      <c r="C57" s="140"/>
      <c r="D57" s="140"/>
      <c r="E57" s="140"/>
      <c r="F57" s="140"/>
      <c r="G57" s="140"/>
      <c r="H57" s="140"/>
      <c r="I57" s="140"/>
      <c r="J57" s="141"/>
      <c r="K57" s="140"/>
      <c r="L57" s="141"/>
      <c r="M57" s="140"/>
      <c r="N57" s="140"/>
      <c r="O57" s="140"/>
      <c r="Q57" s="155"/>
      <c r="R57" s="267" t="str">
        <f>IF(Geometry!G7="","",Geometry!G7)</f>
        <v/>
      </c>
      <c r="S57" s="140" t="s">
        <v>70</v>
      </c>
      <c r="T57" s="140"/>
      <c r="U57" s="138"/>
      <c r="V57" s="138"/>
      <c r="W57" s="138"/>
      <c r="X57" s="138"/>
      <c r="Z57" s="338">
        <f>IF(V59=Geometry!M62,Geometry!N62,Z58)</f>
        <v>115</v>
      </c>
      <c r="AA57" s="346"/>
      <c r="AB57" s="338"/>
      <c r="AC57" s="338"/>
      <c r="AD57" s="138"/>
      <c r="AE57" s="138"/>
      <c r="AF57" s="199"/>
    </row>
    <row r="58" spans="1:32" x14ac:dyDescent="0.2">
      <c r="A58" s="558"/>
      <c r="C58" s="140"/>
      <c r="D58" s="140"/>
      <c r="E58" s="140"/>
      <c r="F58" s="138"/>
      <c r="G58" s="140"/>
      <c r="H58" s="140"/>
      <c r="I58" s="146" t="s">
        <v>52</v>
      </c>
      <c r="J58" s="141"/>
      <c r="K58" s="140"/>
      <c r="L58" s="141"/>
      <c r="M58" s="331"/>
      <c r="N58" s="331" t="s">
        <v>108</v>
      </c>
      <c r="O58" s="140"/>
      <c r="Q58" s="155"/>
      <c r="R58" s="267" t="str">
        <f>IF(Geometry!H7="","",Geometry!H7)</f>
        <v/>
      </c>
      <c r="S58" s="140" t="s">
        <v>100</v>
      </c>
      <c r="T58" s="140"/>
      <c r="U58" s="138"/>
      <c r="V58" s="141" t="s">
        <v>101</v>
      </c>
      <c r="W58" s="138"/>
      <c r="X58" s="138"/>
      <c r="Z58" s="338">
        <f>IF(V59=Geometry!M63,Geometry!N63,Z59)</f>
        <v>115</v>
      </c>
      <c r="AA58" s="346"/>
      <c r="AB58" s="338"/>
      <c r="AC58" s="338"/>
      <c r="AD58" s="138"/>
      <c r="AE58" s="138"/>
      <c r="AF58" s="199"/>
    </row>
    <row r="59" spans="1:32" ht="12.75" customHeight="1" x14ac:dyDescent="0.2">
      <c r="A59" s="558"/>
      <c r="C59" s="140"/>
      <c r="D59" s="140"/>
      <c r="E59" s="138"/>
      <c r="F59" s="138"/>
      <c r="G59" s="140"/>
      <c r="H59" s="140"/>
      <c r="I59" s="140"/>
      <c r="J59" s="138"/>
      <c r="K59" s="140"/>
      <c r="L59" s="141"/>
      <c r="M59" s="347" t="s">
        <v>103</v>
      </c>
      <c r="N59" s="348" t="s">
        <v>110</v>
      </c>
      <c r="O59" s="140"/>
      <c r="Q59" s="155"/>
      <c r="R59" s="344"/>
      <c r="S59" s="140"/>
      <c r="T59" s="140"/>
      <c r="U59" s="138"/>
      <c r="V59" s="349">
        <f>U54</f>
        <v>20</v>
      </c>
      <c r="W59" s="138"/>
      <c r="X59" s="138"/>
      <c r="Z59" s="338">
        <f>IF(V59=Geometry!M64,Geometry!N64,0)</f>
        <v>115</v>
      </c>
      <c r="AA59" s="346"/>
      <c r="AB59" s="338"/>
      <c r="AC59" s="338"/>
      <c r="AD59" s="138"/>
      <c r="AE59" s="138"/>
      <c r="AF59" s="199"/>
    </row>
    <row r="60" spans="1:32" ht="12.75" customHeight="1" x14ac:dyDescent="0.2">
      <c r="A60" s="558"/>
      <c r="C60" s="140"/>
      <c r="D60" s="146" t="s">
        <v>53</v>
      </c>
      <c r="E60" s="138"/>
      <c r="F60" s="138"/>
      <c r="G60" s="350" t="s">
        <v>54</v>
      </c>
      <c r="H60" s="350"/>
      <c r="I60" s="350" t="s">
        <v>55</v>
      </c>
      <c r="J60" s="350"/>
      <c r="K60" s="350" t="s">
        <v>56</v>
      </c>
      <c r="L60" s="141"/>
      <c r="M60" s="351">
        <v>60</v>
      </c>
      <c r="N60" s="351">
        <v>1340</v>
      </c>
      <c r="O60" s="140"/>
      <c r="Q60" s="155"/>
      <c r="R60" s="344"/>
      <c r="S60" s="140"/>
      <c r="T60" s="140"/>
      <c r="U60" s="338"/>
      <c r="V60" s="138"/>
      <c r="W60" s="138"/>
      <c r="X60" s="138"/>
      <c r="Z60" s="352"/>
      <c r="AA60" s="352"/>
      <c r="AB60" s="338"/>
      <c r="AC60" s="138"/>
      <c r="AD60" s="138"/>
      <c r="AE60" s="138"/>
      <c r="AF60" s="199"/>
    </row>
    <row r="61" spans="1:32" x14ac:dyDescent="0.2">
      <c r="A61" s="558"/>
      <c r="C61" s="140"/>
      <c r="D61" s="140"/>
      <c r="E61" s="138"/>
      <c r="F61" s="138"/>
      <c r="G61" s="141"/>
      <c r="H61" s="141"/>
      <c r="I61" s="141"/>
      <c r="J61" s="141"/>
      <c r="K61" s="141"/>
      <c r="L61" s="141"/>
      <c r="M61" s="351">
        <v>50</v>
      </c>
      <c r="N61" s="351">
        <v>835</v>
      </c>
      <c r="O61" s="140"/>
      <c r="Q61" s="155"/>
      <c r="R61" s="353"/>
      <c r="S61" s="354"/>
      <c r="T61" s="354" t="s">
        <v>102</v>
      </c>
      <c r="U61" s="579" t="s">
        <v>371</v>
      </c>
      <c r="V61" s="579"/>
      <c r="W61" s="579"/>
      <c r="X61" s="354"/>
      <c r="AB61" s="338"/>
      <c r="AC61" s="138"/>
      <c r="AD61" s="138"/>
      <c r="AE61" s="138"/>
      <c r="AF61" s="199"/>
    </row>
    <row r="62" spans="1:32" x14ac:dyDescent="0.2">
      <c r="A62" s="558"/>
      <c r="C62" s="140"/>
      <c r="D62" s="140" t="s">
        <v>57</v>
      </c>
      <c r="E62" s="138"/>
      <c r="F62" s="138"/>
      <c r="G62" s="351">
        <v>40</v>
      </c>
      <c r="H62" s="141"/>
      <c r="I62" s="141">
        <v>50</v>
      </c>
      <c r="J62" s="141"/>
      <c r="K62" s="346">
        <v>60</v>
      </c>
      <c r="L62" s="141"/>
      <c r="M62" s="351">
        <v>40</v>
      </c>
      <c r="N62" s="351">
        <v>510</v>
      </c>
      <c r="O62" s="140"/>
      <c r="Q62" s="155"/>
      <c r="R62" s="353"/>
      <c r="S62" s="354" t="s">
        <v>104</v>
      </c>
      <c r="T62" s="354" t="s">
        <v>98</v>
      </c>
      <c r="U62" s="579"/>
      <c r="V62" s="579"/>
      <c r="W62" s="579"/>
      <c r="X62" s="354"/>
      <c r="AB62" s="338"/>
      <c r="AC62" s="138"/>
      <c r="AD62" s="138"/>
      <c r="AE62" s="138"/>
      <c r="AF62" s="199"/>
    </row>
    <row r="63" spans="1:32" x14ac:dyDescent="0.2">
      <c r="A63" s="558"/>
      <c r="C63" s="140"/>
      <c r="D63" s="140" t="s">
        <v>58</v>
      </c>
      <c r="E63" s="138"/>
      <c r="F63" s="138"/>
      <c r="G63" s="351">
        <v>30</v>
      </c>
      <c r="H63" s="141"/>
      <c r="I63" s="141">
        <v>40</v>
      </c>
      <c r="J63" s="141"/>
      <c r="K63" s="141">
        <v>50</v>
      </c>
      <c r="L63" s="141"/>
      <c r="M63" s="351">
        <v>30</v>
      </c>
      <c r="N63" s="351">
        <v>275</v>
      </c>
      <c r="O63" s="140"/>
      <c r="Q63" s="155"/>
      <c r="R63" s="355" t="s">
        <v>105</v>
      </c>
      <c r="S63" s="356" t="s">
        <v>106</v>
      </c>
      <c r="T63" s="356" t="s">
        <v>103</v>
      </c>
      <c r="U63" s="579"/>
      <c r="V63" s="579"/>
      <c r="W63" s="579"/>
      <c r="X63" s="356"/>
      <c r="AB63" s="338"/>
      <c r="AC63" s="138"/>
      <c r="AD63" s="138"/>
      <c r="AE63" s="138"/>
      <c r="AF63" s="199"/>
    </row>
    <row r="64" spans="1:32" x14ac:dyDescent="0.2">
      <c r="A64" s="558"/>
      <c r="C64" s="140"/>
      <c r="D64" s="140" t="s">
        <v>59</v>
      </c>
      <c r="E64" s="138"/>
      <c r="F64" s="138"/>
      <c r="G64" s="357">
        <v>20</v>
      </c>
      <c r="H64" s="141"/>
      <c r="I64" s="141">
        <v>30</v>
      </c>
      <c r="J64" s="141"/>
      <c r="K64" s="141">
        <v>40</v>
      </c>
      <c r="L64" s="141"/>
      <c r="M64" s="351">
        <v>20</v>
      </c>
      <c r="N64" s="351">
        <v>115</v>
      </c>
      <c r="O64" s="140"/>
      <c r="Q64" s="155"/>
      <c r="R64" s="358">
        <v>1</v>
      </c>
      <c r="S64" s="267">
        <f>Geometry!D19</f>
        <v>0</v>
      </c>
      <c r="T64" s="359">
        <f t="shared" ref="T64:T73" si="4">S82</f>
        <v>12.8125</v>
      </c>
      <c r="U64" s="360"/>
      <c r="V64" s="151">
        <f>IF(V59-T64&lt;=0,0,IF(V59-T64&lt;=5,1,IF(V59-T64&lt;=10,2,IF(V59-T64&gt;10,3,0))))</f>
        <v>2</v>
      </c>
      <c r="X64" s="360"/>
      <c r="AB64" s="338"/>
      <c r="AC64" s="338"/>
      <c r="AD64" s="138"/>
      <c r="AE64" s="138"/>
      <c r="AF64" s="199"/>
    </row>
    <row r="65" spans="1:32" x14ac:dyDescent="0.2">
      <c r="A65" s="558"/>
      <c r="C65" s="140"/>
      <c r="D65" s="140"/>
      <c r="E65" s="140"/>
      <c r="F65" s="140"/>
      <c r="G65" s="140"/>
      <c r="H65" s="140"/>
      <c r="I65" s="140"/>
      <c r="J65" s="141"/>
      <c r="K65" s="140"/>
      <c r="L65" s="141"/>
      <c r="M65" s="140"/>
      <c r="N65" s="140"/>
      <c r="O65" s="140"/>
      <c r="Q65" s="155"/>
      <c r="R65" s="358">
        <v>2</v>
      </c>
      <c r="S65" s="267">
        <f>Geometry!D20</f>
        <v>0</v>
      </c>
      <c r="T65" s="359">
        <f t="shared" si="4"/>
        <v>90</v>
      </c>
      <c r="U65" s="360"/>
      <c r="V65" s="151">
        <f t="shared" ref="V65:V73" si="5">IF($V$59-T65&lt;=0,0,IF($V$59-T65&lt;=5,1,IF($V$59-T65&lt;=10,2,IF($V$59-T65&gt;10,3,0))))</f>
        <v>0</v>
      </c>
      <c r="X65" s="360"/>
      <c r="AB65" s="338"/>
      <c r="AC65" s="340"/>
      <c r="AD65" s="138"/>
      <c r="AE65" s="138"/>
      <c r="AF65" s="199"/>
    </row>
    <row r="66" spans="1:32" x14ac:dyDescent="0.2">
      <c r="A66" s="558"/>
      <c r="C66" s="155"/>
      <c r="D66" s="361"/>
      <c r="E66" s="155"/>
      <c r="F66" s="155"/>
      <c r="G66" s="155"/>
      <c r="H66" s="155"/>
      <c r="I66" s="155"/>
      <c r="J66" s="151"/>
      <c r="K66" s="155"/>
      <c r="L66" s="151"/>
      <c r="M66" s="155"/>
      <c r="N66" s="155"/>
      <c r="O66" s="155"/>
      <c r="Q66" s="155"/>
      <c r="R66" s="358">
        <v>3</v>
      </c>
      <c r="S66" s="267">
        <f>Geometry!D21</f>
        <v>0</v>
      </c>
      <c r="T66" s="359">
        <f t="shared" si="4"/>
        <v>90</v>
      </c>
      <c r="U66" s="360"/>
      <c r="V66" s="151">
        <f t="shared" si="5"/>
        <v>0</v>
      </c>
      <c r="X66" s="360"/>
      <c r="AB66" s="338"/>
      <c r="AC66" s="340"/>
      <c r="AD66" s="138"/>
      <c r="AE66" s="138"/>
      <c r="AF66" s="199"/>
    </row>
    <row r="67" spans="1:32" x14ac:dyDescent="0.2">
      <c r="A67" s="558"/>
      <c r="D67" s="361" t="s">
        <v>24</v>
      </c>
      <c r="E67" s="362" t="s">
        <v>60</v>
      </c>
      <c r="F67" s="363"/>
      <c r="G67" s="155"/>
      <c r="H67" s="155"/>
      <c r="I67" s="155"/>
      <c r="J67" s="151"/>
      <c r="K67" s="155"/>
      <c r="L67" s="151"/>
      <c r="M67" s="155"/>
      <c r="N67" s="155"/>
      <c r="O67" s="155"/>
      <c r="Q67" s="155"/>
      <c r="R67" s="358">
        <v>4</v>
      </c>
      <c r="S67" s="267">
        <f>Geometry!D22</f>
        <v>0</v>
      </c>
      <c r="T67" s="359">
        <f t="shared" si="4"/>
        <v>90</v>
      </c>
      <c r="U67" s="360"/>
      <c r="V67" s="151">
        <f t="shared" si="5"/>
        <v>0</v>
      </c>
      <c r="X67" s="360"/>
      <c r="AB67" s="338"/>
      <c r="AC67" s="340"/>
      <c r="AD67" s="138"/>
      <c r="AE67" s="138"/>
      <c r="AF67" s="199"/>
    </row>
    <row r="68" spans="1:32" x14ac:dyDescent="0.2">
      <c r="A68" s="558"/>
      <c r="D68" s="155"/>
      <c r="E68" s="155"/>
      <c r="F68" s="155"/>
      <c r="G68" s="155"/>
      <c r="H68" s="155"/>
      <c r="I68" s="155"/>
      <c r="J68" s="151"/>
      <c r="K68" s="155"/>
      <c r="L68" s="151"/>
      <c r="M68" s="155"/>
      <c r="N68" s="155"/>
      <c r="O68" s="155"/>
      <c r="Q68" s="155"/>
      <c r="R68" s="358">
        <v>5</v>
      </c>
      <c r="S68" s="267">
        <f>Geometry!D23</f>
        <v>0</v>
      </c>
      <c r="T68" s="359">
        <f t="shared" si="4"/>
        <v>90</v>
      </c>
      <c r="U68" s="360"/>
      <c r="V68" s="151">
        <f t="shared" si="5"/>
        <v>0</v>
      </c>
      <c r="X68" s="360"/>
      <c r="AB68" s="338"/>
      <c r="AC68" s="340"/>
      <c r="AD68" s="138"/>
      <c r="AE68" s="138"/>
      <c r="AF68" s="199"/>
    </row>
    <row r="69" spans="1:32" x14ac:dyDescent="0.2">
      <c r="A69" s="558"/>
      <c r="D69" s="151">
        <v>0</v>
      </c>
      <c r="E69" s="155" t="s">
        <v>84</v>
      </c>
      <c r="F69" s="155"/>
      <c r="G69" s="155"/>
      <c r="H69" s="155"/>
      <c r="I69" s="155"/>
      <c r="J69" s="151"/>
      <c r="K69" s="155"/>
      <c r="L69" s="151"/>
      <c r="M69" s="155"/>
      <c r="N69" s="155"/>
      <c r="O69" s="155"/>
      <c r="Q69" s="155"/>
      <c r="R69" s="358">
        <v>6</v>
      </c>
      <c r="S69" s="267">
        <f>Geometry!D24</f>
        <v>0</v>
      </c>
      <c r="T69" s="359">
        <f t="shared" si="4"/>
        <v>90</v>
      </c>
      <c r="U69" s="360"/>
      <c r="V69" s="151">
        <f t="shared" si="5"/>
        <v>0</v>
      </c>
      <c r="X69" s="360"/>
      <c r="AB69" s="338"/>
      <c r="AC69" s="340"/>
      <c r="AD69" s="138"/>
      <c r="AE69" s="138"/>
      <c r="AF69" s="199"/>
    </row>
    <row r="70" spans="1:32" x14ac:dyDescent="0.2">
      <c r="A70" s="558"/>
      <c r="D70" s="151">
        <v>1</v>
      </c>
      <c r="E70" s="155" t="s">
        <v>85</v>
      </c>
      <c r="F70" s="155"/>
      <c r="G70" s="155"/>
      <c r="H70" s="155"/>
      <c r="I70" s="155"/>
      <c r="J70" s="151"/>
      <c r="K70" s="155"/>
      <c r="L70" s="151"/>
      <c r="M70" s="155"/>
      <c r="N70" s="155"/>
      <c r="O70" s="155"/>
      <c r="Q70" s="155"/>
      <c r="R70" s="358">
        <v>7</v>
      </c>
      <c r="S70" s="267">
        <f>Geometry!D25</f>
        <v>0</v>
      </c>
      <c r="T70" s="359">
        <f t="shared" si="4"/>
        <v>90</v>
      </c>
      <c r="U70" s="360"/>
      <c r="V70" s="151">
        <f t="shared" si="5"/>
        <v>0</v>
      </c>
      <c r="X70" s="360"/>
      <c r="AB70" s="338"/>
      <c r="AC70" s="340"/>
      <c r="AD70" s="138"/>
      <c r="AE70" s="138"/>
      <c r="AF70" s="199"/>
    </row>
    <row r="71" spans="1:32" x14ac:dyDescent="0.2">
      <c r="A71" s="558"/>
      <c r="D71" s="151">
        <v>2</v>
      </c>
      <c r="E71" s="155" t="s">
        <v>86</v>
      </c>
      <c r="F71" s="155"/>
      <c r="G71" s="155"/>
      <c r="H71" s="155"/>
      <c r="I71" s="155"/>
      <c r="J71" s="151"/>
      <c r="K71" s="155"/>
      <c r="L71" s="151"/>
      <c r="M71" s="155"/>
      <c r="N71" s="155"/>
      <c r="O71" s="155"/>
      <c r="Q71" s="155"/>
      <c r="R71" s="358">
        <v>8</v>
      </c>
      <c r="S71" s="267">
        <f>Geometry!D26</f>
        <v>0</v>
      </c>
      <c r="T71" s="359">
        <f t="shared" si="4"/>
        <v>90</v>
      </c>
      <c r="U71" s="360"/>
      <c r="V71" s="151">
        <f t="shared" si="5"/>
        <v>0</v>
      </c>
      <c r="X71" s="360"/>
      <c r="AB71" s="338"/>
      <c r="AC71" s="340"/>
      <c r="AD71" s="138"/>
      <c r="AE71" s="138"/>
      <c r="AF71" s="199"/>
    </row>
    <row r="72" spans="1:32" x14ac:dyDescent="0.2">
      <c r="A72" s="558"/>
      <c r="D72" s="151">
        <v>3</v>
      </c>
      <c r="E72" s="155" t="s">
        <v>87</v>
      </c>
      <c r="F72" s="155"/>
      <c r="G72" s="155"/>
      <c r="H72" s="155"/>
      <c r="I72" s="155"/>
      <c r="J72" s="151"/>
      <c r="K72" s="155"/>
      <c r="L72" s="151"/>
      <c r="M72" s="155"/>
      <c r="N72" s="155"/>
      <c r="O72" s="155"/>
      <c r="Q72" s="155"/>
      <c r="R72" s="358">
        <v>9</v>
      </c>
      <c r="S72" s="267">
        <f>Geometry!D27</f>
        <v>0</v>
      </c>
      <c r="T72" s="359">
        <f t="shared" si="4"/>
        <v>90</v>
      </c>
      <c r="U72" s="360"/>
      <c r="V72" s="151">
        <f t="shared" si="5"/>
        <v>0</v>
      </c>
      <c r="X72" s="360"/>
      <c r="AB72" s="338"/>
      <c r="AC72" s="340"/>
      <c r="AD72" s="138"/>
      <c r="AE72" s="138"/>
      <c r="AF72" s="199"/>
    </row>
    <row r="73" spans="1:32" ht="13.5" thickBot="1" x14ac:dyDescent="0.25">
      <c r="A73" s="558"/>
      <c r="C73" s="155"/>
      <c r="D73" s="155"/>
      <c r="E73" s="155"/>
      <c r="F73" s="155"/>
      <c r="G73" s="155"/>
      <c r="H73" s="155"/>
      <c r="I73" s="155"/>
      <c r="J73" s="151"/>
      <c r="K73" s="155"/>
      <c r="L73" s="151"/>
      <c r="M73" s="155"/>
      <c r="N73" s="155"/>
      <c r="O73" s="155"/>
      <c r="Q73" s="155"/>
      <c r="R73" s="358">
        <v>10</v>
      </c>
      <c r="S73" s="267">
        <f>Geometry!D28</f>
        <v>0</v>
      </c>
      <c r="T73" s="359">
        <f t="shared" si="4"/>
        <v>90</v>
      </c>
      <c r="U73" s="360"/>
      <c r="V73" s="151">
        <f t="shared" si="5"/>
        <v>0</v>
      </c>
      <c r="X73" s="360"/>
      <c r="AB73" s="338"/>
      <c r="AC73" s="340"/>
      <c r="AD73" s="138"/>
      <c r="AE73" s="138"/>
      <c r="AF73" s="199"/>
    </row>
    <row r="74" spans="1:32" ht="13.5" thickBot="1" x14ac:dyDescent="0.25">
      <c r="A74" s="558"/>
      <c r="C74" s="140"/>
      <c r="D74" s="138"/>
      <c r="E74" s="140"/>
      <c r="F74" s="140"/>
      <c r="G74" s="140"/>
      <c r="H74" s="364" t="s">
        <v>61</v>
      </c>
      <c r="J74" s="138"/>
      <c r="K74" s="140"/>
      <c r="L74" s="141"/>
      <c r="M74" s="140" t="s">
        <v>370</v>
      </c>
      <c r="N74" s="140"/>
      <c r="O74" s="365">
        <f>V74</f>
        <v>2</v>
      </c>
      <c r="Q74" s="155"/>
      <c r="R74" s="358"/>
      <c r="S74" s="360"/>
      <c r="T74" s="359"/>
      <c r="U74" s="366"/>
      <c r="V74" s="367">
        <f>MAX(V64:V73)</f>
        <v>2</v>
      </c>
      <c r="X74" s="366"/>
      <c r="AB74" s="338"/>
      <c r="AC74" s="340"/>
      <c r="AD74" s="138"/>
      <c r="AE74" s="138"/>
      <c r="AF74" s="199"/>
    </row>
    <row r="75" spans="1:32" x14ac:dyDescent="0.2">
      <c r="A75" s="558"/>
      <c r="C75" s="140"/>
      <c r="D75" s="140"/>
      <c r="E75" s="140"/>
      <c r="F75" s="140"/>
      <c r="G75" s="140"/>
      <c r="H75" s="140"/>
      <c r="I75" s="140"/>
      <c r="J75" s="141"/>
      <c r="K75" s="140"/>
      <c r="L75" s="141"/>
      <c r="M75" s="140"/>
      <c r="N75" s="140"/>
      <c r="O75" s="140"/>
      <c r="Q75" s="155"/>
      <c r="R75" s="358"/>
      <c r="S75" s="360"/>
      <c r="T75" s="359"/>
      <c r="U75" s="359"/>
      <c r="V75" s="338" t="s">
        <v>111</v>
      </c>
      <c r="W75" s="360"/>
      <c r="X75" s="360"/>
      <c r="Y75" s="360"/>
      <c r="AA75" s="141"/>
      <c r="AB75" s="141"/>
      <c r="AC75" s="340"/>
      <c r="AD75" s="138"/>
      <c r="AE75" s="138"/>
      <c r="AF75" s="199"/>
    </row>
    <row r="76" spans="1:32" x14ac:dyDescent="0.2">
      <c r="A76" s="558"/>
      <c r="Q76" s="155"/>
      <c r="R76" s="358"/>
      <c r="S76" s="360"/>
      <c r="T76" s="359"/>
      <c r="U76" s="359"/>
      <c r="V76" s="338" t="s">
        <v>24</v>
      </c>
      <c r="W76" s="360"/>
      <c r="X76" s="360"/>
      <c r="Y76" s="360"/>
      <c r="AA76" s="141"/>
      <c r="AB76" s="141"/>
      <c r="AC76" s="340"/>
      <c r="AD76" s="138"/>
      <c r="AE76" s="138"/>
      <c r="AF76" s="199"/>
    </row>
    <row r="77" spans="1:32" x14ac:dyDescent="0.2">
      <c r="A77" s="558"/>
      <c r="Q77" s="155"/>
      <c r="R77" s="569" t="s">
        <v>105</v>
      </c>
      <c r="S77" s="360"/>
      <c r="T77" s="359"/>
      <c r="U77" s="359"/>
      <c r="V77" s="360"/>
      <c r="W77" s="360"/>
      <c r="X77" s="360"/>
      <c r="Y77" s="360"/>
      <c r="Z77" s="360"/>
      <c r="AA77" s="141"/>
      <c r="AB77" s="141"/>
      <c r="AC77" s="338"/>
      <c r="AD77" s="138"/>
      <c r="AE77" s="138"/>
      <c r="AF77" s="199"/>
    </row>
    <row r="78" spans="1:32" x14ac:dyDescent="0.2">
      <c r="Q78" s="155"/>
      <c r="R78" s="569"/>
      <c r="S78" s="338"/>
      <c r="T78" s="338"/>
      <c r="U78" s="338"/>
      <c r="V78" s="338"/>
      <c r="AA78" s="141"/>
      <c r="AB78" s="141"/>
      <c r="AC78" s="338"/>
      <c r="AD78" s="138"/>
      <c r="AE78" s="138"/>
      <c r="AF78" s="199"/>
    </row>
    <row r="79" spans="1:32" x14ac:dyDescent="0.2">
      <c r="Q79" s="155"/>
      <c r="R79" s="569"/>
      <c r="S79" s="368"/>
      <c r="T79" s="338"/>
      <c r="U79" s="338"/>
      <c r="V79" s="338"/>
      <c r="W79" s="338"/>
      <c r="X79" s="338"/>
      <c r="Y79" s="338"/>
      <c r="AA79" s="141"/>
      <c r="AB79" s="141"/>
      <c r="AC79" s="425"/>
      <c r="AD79" s="138"/>
      <c r="AE79" s="138"/>
      <c r="AF79" s="199"/>
    </row>
    <row r="80" spans="1:32" x14ac:dyDescent="0.2">
      <c r="O80" s="151" t="s">
        <v>380</v>
      </c>
      <c r="Q80" s="155"/>
      <c r="R80" s="569"/>
      <c r="S80" s="369" t="s">
        <v>379</v>
      </c>
      <c r="T80" s="338"/>
      <c r="U80" s="338"/>
      <c r="V80" s="338"/>
      <c r="W80" s="338"/>
      <c r="X80" s="338"/>
      <c r="Y80" s="338"/>
      <c r="AA80" s="138"/>
      <c r="AB80" s="138"/>
      <c r="AC80" s="425"/>
      <c r="AD80" s="138"/>
      <c r="AE80" s="138"/>
      <c r="AF80" s="199"/>
    </row>
    <row r="81" spans="15:32" x14ac:dyDescent="0.2">
      <c r="Q81" s="155"/>
      <c r="R81" s="335"/>
      <c r="S81" s="338"/>
      <c r="T81" s="338"/>
      <c r="U81" s="338"/>
      <c r="V81" s="338"/>
      <c r="W81" s="338"/>
      <c r="X81" s="338"/>
      <c r="Y81" s="338"/>
      <c r="Z81" s="338"/>
      <c r="AA81" s="138"/>
      <c r="AB81" s="138"/>
      <c r="AC81" s="340"/>
      <c r="AD81" s="138"/>
      <c r="AE81" s="138"/>
      <c r="AF81" s="199"/>
    </row>
    <row r="82" spans="15:32" x14ac:dyDescent="0.2">
      <c r="O82" s="370">
        <f>IF(AND(S64&gt;0,S64&lt;=115),(S64/115)*20,IF(AND(S64&gt;115,S64&lt;=275),20+((S64-115)/160)*10,IF(AND(S64&gt;275,S64&lt;=510),30+((S64-275)/235)*10,IF(AND(S64&gt;510,S64&lt;=835),40+((S64-510)/325)*10,IF(AND(S64&gt;835,S64&lt;=1340),50+((S64-835)/505)*10,IF(S64&gt;1340,65,90))))))</f>
        <v>90</v>
      </c>
      <c r="Q82" s="155"/>
      <c r="R82" s="358">
        <v>1</v>
      </c>
      <c r="S82" s="371">
        <f t="shared" ref="S82:S83" si="6">IF(AND(S64&gt;0,S64&lt;=115),(S64/115)*20,T82)</f>
        <v>12.8125</v>
      </c>
      <c r="T82" s="372">
        <f>IF(S64&lt;=275,20+((S64-115)/160)*10,U82)</f>
        <v>12.8125</v>
      </c>
      <c r="U82" s="373">
        <f>IF(S64&lt;=510,30+((S64-275)/235)*10,V82)</f>
        <v>18.297872340425531</v>
      </c>
      <c r="V82" s="373">
        <f>IF(S64&lt;=835,40+((S64-510)/325)*10,W82)</f>
        <v>24.307692307692307</v>
      </c>
      <c r="W82" s="373">
        <f>IF(S64&lt;=1340,50+((S64-835)/505)*10,X82)</f>
        <v>33.465346534653463</v>
      </c>
      <c r="X82" s="373">
        <f t="shared" ref="X82:X95" si="7">IF(S64&gt;1340,65,90)</f>
        <v>90</v>
      </c>
      <c r="Y82" s="338"/>
      <c r="Z82" s="338"/>
      <c r="AA82" s="138"/>
      <c r="AB82" s="138"/>
      <c r="AC82" s="340"/>
      <c r="AD82" s="138"/>
      <c r="AE82" s="138"/>
      <c r="AF82" s="199"/>
    </row>
    <row r="83" spans="15:32" x14ac:dyDescent="0.2">
      <c r="O83" s="370">
        <f t="shared" ref="O83:O95" si="8">IF(AND(S65&gt;0,S65&lt;=115),(S65/115)*20,IF(AND(S65&gt;115,S65&lt;=275),20+((S65-115)/160)*10,IF(AND(S65&gt;275,S65&lt;=510),30+((S65-275)/235)*10,IF(AND(S65&gt;510,S65&lt;=835),40+((S65-510)/325)*10,IF(AND(S65&gt;835,S65&lt;=1340),50+((S65-835)/505)*10,IF(S65&gt;1340,65,90))))))</f>
        <v>90</v>
      </c>
      <c r="Q83" s="155"/>
      <c r="R83" s="358">
        <v>2</v>
      </c>
      <c r="S83" s="371">
        <f t="shared" si="6"/>
        <v>90</v>
      </c>
      <c r="T83" s="373">
        <f t="shared" ref="T83:T95" si="9">IF(AND(S65&gt;115,S65&lt;=275),20+((S65-115)/160)*10,U83)</f>
        <v>90</v>
      </c>
      <c r="U83" s="373">
        <f t="shared" ref="U83:U95" si="10">IF(AND(S65&gt;275,S65&lt;=510),30+((S65-275)/235)*10,V83)</f>
        <v>90</v>
      </c>
      <c r="V83" s="373">
        <f t="shared" ref="V83:V95" si="11">IF(AND(S65&gt;510,S65&lt;=835),40+((S65-510)/325)*10,W83)</f>
        <v>90</v>
      </c>
      <c r="W83" s="373">
        <f t="shared" ref="W83:W95" si="12">IF(AND(S65&gt;835,S65&lt;=1340),50+((S65-835)/505)*10,X83)</f>
        <v>90</v>
      </c>
      <c r="X83" s="373">
        <f t="shared" si="7"/>
        <v>90</v>
      </c>
      <c r="Y83" s="338"/>
      <c r="Z83" s="338"/>
      <c r="AA83" s="138"/>
      <c r="AB83" s="138"/>
      <c r="AC83" s="340"/>
      <c r="AD83" s="138"/>
      <c r="AE83" s="138"/>
      <c r="AF83" s="199"/>
    </row>
    <row r="84" spans="15:32" x14ac:dyDescent="0.2">
      <c r="O84" s="370">
        <f t="shared" si="8"/>
        <v>90</v>
      </c>
      <c r="Q84" s="155"/>
      <c r="R84" s="358">
        <v>3</v>
      </c>
      <c r="S84" s="371">
        <f t="shared" ref="S84:S95" si="13">IF(AND(S66&gt;0,S66&lt;=115),(S66/115)*20,T84)</f>
        <v>90</v>
      </c>
      <c r="T84" s="373">
        <f t="shared" si="9"/>
        <v>90</v>
      </c>
      <c r="U84" s="373">
        <f t="shared" si="10"/>
        <v>90</v>
      </c>
      <c r="V84" s="373">
        <f t="shared" si="11"/>
        <v>90</v>
      </c>
      <c r="W84" s="373">
        <f t="shared" si="12"/>
        <v>90</v>
      </c>
      <c r="X84" s="373">
        <f t="shared" si="7"/>
        <v>90</v>
      </c>
      <c r="Y84" s="338"/>
      <c r="Z84" s="338"/>
      <c r="AA84" s="138"/>
      <c r="AB84" s="138"/>
      <c r="AC84" s="340"/>
      <c r="AD84" s="138"/>
      <c r="AE84" s="138"/>
      <c r="AF84" s="199"/>
    </row>
    <row r="85" spans="15:32" x14ac:dyDescent="0.2">
      <c r="O85" s="370">
        <f t="shared" si="8"/>
        <v>90</v>
      </c>
      <c r="Q85" s="155"/>
      <c r="R85" s="358">
        <v>4</v>
      </c>
      <c r="S85" s="371">
        <f t="shared" si="13"/>
        <v>90</v>
      </c>
      <c r="T85" s="373">
        <f t="shared" si="9"/>
        <v>90</v>
      </c>
      <c r="U85" s="373">
        <f t="shared" si="10"/>
        <v>90</v>
      </c>
      <c r="V85" s="373">
        <f t="shared" si="11"/>
        <v>90</v>
      </c>
      <c r="W85" s="373">
        <f t="shared" si="12"/>
        <v>90</v>
      </c>
      <c r="X85" s="373">
        <f t="shared" si="7"/>
        <v>90</v>
      </c>
      <c r="Y85" s="338"/>
      <c r="Z85" s="338"/>
      <c r="AA85" s="138"/>
      <c r="AB85" s="138"/>
      <c r="AC85" s="340"/>
      <c r="AD85" s="138"/>
      <c r="AE85" s="138"/>
      <c r="AF85" s="199"/>
    </row>
    <row r="86" spans="15:32" x14ac:dyDescent="0.2">
      <c r="O86" s="370">
        <f t="shared" si="8"/>
        <v>90</v>
      </c>
      <c r="Q86" s="155"/>
      <c r="R86" s="358">
        <v>5</v>
      </c>
      <c r="S86" s="371">
        <f t="shared" si="13"/>
        <v>90</v>
      </c>
      <c r="T86" s="373">
        <f t="shared" si="9"/>
        <v>90</v>
      </c>
      <c r="U86" s="373">
        <f t="shared" si="10"/>
        <v>90</v>
      </c>
      <c r="V86" s="373">
        <f t="shared" si="11"/>
        <v>90</v>
      </c>
      <c r="W86" s="373">
        <f t="shared" si="12"/>
        <v>90</v>
      </c>
      <c r="X86" s="373">
        <f t="shared" si="7"/>
        <v>90</v>
      </c>
      <c r="Y86" s="338"/>
      <c r="Z86" s="338"/>
      <c r="AA86" s="138"/>
      <c r="AB86" s="138"/>
      <c r="AC86" s="340"/>
      <c r="AD86" s="138"/>
      <c r="AE86" s="138"/>
      <c r="AF86" s="199"/>
    </row>
    <row r="87" spans="15:32" x14ac:dyDescent="0.2">
      <c r="O87" s="370">
        <f t="shared" si="8"/>
        <v>90</v>
      </c>
      <c r="Q87" s="155"/>
      <c r="R87" s="358">
        <v>6</v>
      </c>
      <c r="S87" s="371">
        <f t="shared" si="13"/>
        <v>90</v>
      </c>
      <c r="T87" s="373">
        <f t="shared" si="9"/>
        <v>90</v>
      </c>
      <c r="U87" s="373">
        <f t="shared" si="10"/>
        <v>90</v>
      </c>
      <c r="V87" s="373">
        <f t="shared" si="11"/>
        <v>90</v>
      </c>
      <c r="W87" s="373">
        <f t="shared" si="12"/>
        <v>90</v>
      </c>
      <c r="X87" s="373">
        <f t="shared" si="7"/>
        <v>90</v>
      </c>
      <c r="Y87" s="338"/>
      <c r="Z87" s="338"/>
      <c r="AA87" s="138"/>
      <c r="AB87" s="138"/>
      <c r="AC87" s="340"/>
      <c r="AD87" s="138"/>
      <c r="AE87" s="138"/>
      <c r="AF87" s="199"/>
    </row>
    <row r="88" spans="15:32" x14ac:dyDescent="0.2">
      <c r="O88" s="370">
        <f t="shared" si="8"/>
        <v>90</v>
      </c>
      <c r="Q88" s="155"/>
      <c r="R88" s="358">
        <v>7</v>
      </c>
      <c r="S88" s="371">
        <f t="shared" si="13"/>
        <v>90</v>
      </c>
      <c r="T88" s="373">
        <f t="shared" si="9"/>
        <v>90</v>
      </c>
      <c r="U88" s="373">
        <f t="shared" si="10"/>
        <v>90</v>
      </c>
      <c r="V88" s="373">
        <f t="shared" si="11"/>
        <v>90</v>
      </c>
      <c r="W88" s="373">
        <f t="shared" si="12"/>
        <v>90</v>
      </c>
      <c r="X88" s="373">
        <f t="shared" si="7"/>
        <v>90</v>
      </c>
      <c r="Y88" s="338"/>
      <c r="Z88" s="338"/>
      <c r="AA88" s="138"/>
      <c r="AB88" s="138"/>
      <c r="AC88" s="340"/>
      <c r="AD88" s="138"/>
      <c r="AE88" s="138"/>
      <c r="AF88" s="199"/>
    </row>
    <row r="89" spans="15:32" x14ac:dyDescent="0.2">
      <c r="O89" s="370">
        <f t="shared" si="8"/>
        <v>90</v>
      </c>
      <c r="Q89" s="155"/>
      <c r="R89" s="358">
        <v>8</v>
      </c>
      <c r="S89" s="371">
        <f t="shared" si="13"/>
        <v>90</v>
      </c>
      <c r="T89" s="373">
        <f t="shared" si="9"/>
        <v>90</v>
      </c>
      <c r="U89" s="373">
        <f t="shared" si="10"/>
        <v>90</v>
      </c>
      <c r="V89" s="373">
        <f t="shared" si="11"/>
        <v>90</v>
      </c>
      <c r="W89" s="373">
        <f t="shared" si="12"/>
        <v>90</v>
      </c>
      <c r="X89" s="373">
        <f t="shared" si="7"/>
        <v>90</v>
      </c>
      <c r="Y89" s="338"/>
      <c r="Z89" s="140"/>
      <c r="AA89" s="138"/>
      <c r="AB89" s="138"/>
      <c r="AC89" s="340"/>
      <c r="AD89" s="138"/>
      <c r="AE89" s="138"/>
      <c r="AF89" s="199"/>
    </row>
    <row r="90" spans="15:32" x14ac:dyDescent="0.2">
      <c r="O90" s="370">
        <f t="shared" si="8"/>
        <v>90</v>
      </c>
      <c r="Q90" s="155"/>
      <c r="R90" s="358">
        <v>9</v>
      </c>
      <c r="S90" s="371">
        <f t="shared" si="13"/>
        <v>90</v>
      </c>
      <c r="T90" s="373">
        <f t="shared" si="9"/>
        <v>90</v>
      </c>
      <c r="U90" s="373">
        <f t="shared" si="10"/>
        <v>90</v>
      </c>
      <c r="V90" s="373">
        <f t="shared" si="11"/>
        <v>90</v>
      </c>
      <c r="W90" s="373">
        <f t="shared" si="12"/>
        <v>90</v>
      </c>
      <c r="X90" s="373">
        <f t="shared" si="7"/>
        <v>90</v>
      </c>
      <c r="Y90" s="338"/>
      <c r="Z90" s="141"/>
      <c r="AA90" s="138"/>
      <c r="AB90" s="138"/>
      <c r="AC90" s="138"/>
      <c r="AD90" s="138"/>
      <c r="AE90" s="138"/>
      <c r="AF90" s="199"/>
    </row>
    <row r="91" spans="15:32" x14ac:dyDescent="0.2">
      <c r="O91" s="370">
        <f t="shared" si="8"/>
        <v>90</v>
      </c>
      <c r="Q91" s="155"/>
      <c r="R91" s="358">
        <v>10</v>
      </c>
      <c r="S91" s="371">
        <f t="shared" si="13"/>
        <v>90</v>
      </c>
      <c r="T91" s="373">
        <f t="shared" si="9"/>
        <v>90</v>
      </c>
      <c r="U91" s="373">
        <f t="shared" si="10"/>
        <v>90</v>
      </c>
      <c r="V91" s="373">
        <f t="shared" si="11"/>
        <v>90</v>
      </c>
      <c r="W91" s="373">
        <f t="shared" si="12"/>
        <v>90</v>
      </c>
      <c r="X91" s="373">
        <f t="shared" si="7"/>
        <v>90</v>
      </c>
      <c r="Y91" s="338"/>
      <c r="Z91" s="141"/>
      <c r="AA91" s="138"/>
      <c r="AB91" s="138"/>
      <c r="AC91" s="138"/>
      <c r="AD91" s="138"/>
      <c r="AE91" s="138"/>
      <c r="AF91" s="199"/>
    </row>
    <row r="92" spans="15:32" x14ac:dyDescent="0.2">
      <c r="O92" s="370">
        <f t="shared" si="8"/>
        <v>90</v>
      </c>
      <c r="Q92" s="155"/>
      <c r="R92" s="358">
        <v>11</v>
      </c>
      <c r="S92" s="371">
        <f t="shared" si="13"/>
        <v>90</v>
      </c>
      <c r="T92" s="373">
        <f t="shared" si="9"/>
        <v>90</v>
      </c>
      <c r="U92" s="373">
        <f t="shared" si="10"/>
        <v>90</v>
      </c>
      <c r="V92" s="373">
        <f t="shared" si="11"/>
        <v>90</v>
      </c>
      <c r="W92" s="373">
        <f t="shared" si="12"/>
        <v>90</v>
      </c>
      <c r="X92" s="373">
        <f t="shared" si="7"/>
        <v>90</v>
      </c>
      <c r="Y92" s="338"/>
      <c r="Z92" s="141"/>
      <c r="AA92" s="138"/>
      <c r="AB92" s="138"/>
      <c r="AC92" s="138"/>
      <c r="AD92" s="138"/>
      <c r="AE92" s="138"/>
      <c r="AF92" s="199"/>
    </row>
    <row r="93" spans="15:32" x14ac:dyDescent="0.2">
      <c r="O93" s="370">
        <f t="shared" si="8"/>
        <v>90</v>
      </c>
      <c r="Q93" s="155"/>
      <c r="R93" s="358">
        <v>12</v>
      </c>
      <c r="S93" s="371">
        <f t="shared" si="13"/>
        <v>90</v>
      </c>
      <c r="T93" s="373">
        <f t="shared" si="9"/>
        <v>90</v>
      </c>
      <c r="U93" s="373">
        <f t="shared" si="10"/>
        <v>90</v>
      </c>
      <c r="V93" s="373">
        <f t="shared" si="11"/>
        <v>90</v>
      </c>
      <c r="W93" s="373">
        <f t="shared" si="12"/>
        <v>90</v>
      </c>
      <c r="X93" s="373">
        <f t="shared" si="7"/>
        <v>90</v>
      </c>
      <c r="Y93" s="338"/>
      <c r="Z93" s="141"/>
      <c r="AA93" s="138"/>
      <c r="AB93" s="138"/>
      <c r="AC93" s="138"/>
      <c r="AD93" s="138"/>
      <c r="AE93" s="138"/>
      <c r="AF93" s="199"/>
    </row>
    <row r="94" spans="15:32" x14ac:dyDescent="0.2">
      <c r="O94" s="370">
        <f t="shared" si="8"/>
        <v>90</v>
      </c>
      <c r="Q94" s="155"/>
      <c r="R94" s="358">
        <v>13</v>
      </c>
      <c r="S94" s="371">
        <f t="shared" si="13"/>
        <v>90</v>
      </c>
      <c r="T94" s="373">
        <f t="shared" si="9"/>
        <v>90</v>
      </c>
      <c r="U94" s="373">
        <f t="shared" si="10"/>
        <v>90</v>
      </c>
      <c r="V94" s="373">
        <f t="shared" si="11"/>
        <v>90</v>
      </c>
      <c r="W94" s="373">
        <f t="shared" si="12"/>
        <v>90</v>
      </c>
      <c r="X94" s="373">
        <f t="shared" si="7"/>
        <v>90</v>
      </c>
      <c r="Y94" s="338"/>
      <c r="Z94" s="141"/>
      <c r="AA94" s="138"/>
      <c r="AB94" s="138"/>
      <c r="AC94" s="138"/>
      <c r="AD94" s="138"/>
      <c r="AE94" s="138"/>
      <c r="AF94" s="199"/>
    </row>
    <row r="95" spans="15:32" x14ac:dyDescent="0.2">
      <c r="O95" s="370">
        <f t="shared" si="8"/>
        <v>90</v>
      </c>
      <c r="Q95" s="155"/>
      <c r="R95" s="358">
        <v>14</v>
      </c>
      <c r="S95" s="371">
        <f t="shared" si="13"/>
        <v>90</v>
      </c>
      <c r="T95" s="373">
        <f t="shared" si="9"/>
        <v>90</v>
      </c>
      <c r="U95" s="373">
        <f t="shared" si="10"/>
        <v>90</v>
      </c>
      <c r="V95" s="373">
        <f t="shared" si="11"/>
        <v>90</v>
      </c>
      <c r="W95" s="373">
        <f t="shared" si="12"/>
        <v>90</v>
      </c>
      <c r="X95" s="373">
        <f t="shared" si="7"/>
        <v>90</v>
      </c>
      <c r="Y95" s="338"/>
      <c r="Z95" s="141"/>
      <c r="AA95" s="138"/>
      <c r="AB95" s="138"/>
      <c r="AC95" s="138"/>
      <c r="AD95" s="138"/>
      <c r="AE95" s="138"/>
      <c r="AF95" s="199"/>
    </row>
    <row r="96" spans="15:32" x14ac:dyDescent="0.2">
      <c r="Q96" s="155"/>
      <c r="R96" s="374"/>
      <c r="S96" s="375"/>
      <c r="T96" s="375"/>
      <c r="U96" s="375"/>
      <c r="V96" s="375"/>
      <c r="W96" s="375"/>
      <c r="X96" s="375"/>
      <c r="Y96" s="375"/>
      <c r="Z96" s="375"/>
      <c r="AA96" s="376"/>
      <c r="AB96" s="193"/>
      <c r="AC96" s="376"/>
      <c r="AD96" s="376"/>
      <c r="AE96" s="376"/>
      <c r="AF96" s="426"/>
    </row>
    <row r="97" spans="1:24" x14ac:dyDescent="0.2">
      <c r="Q97" s="140"/>
    </row>
    <row r="101" spans="1:24" ht="11.45" customHeight="1" x14ac:dyDescent="0.2">
      <c r="A101" s="558"/>
      <c r="B101" s="140"/>
      <c r="C101" s="140"/>
      <c r="D101" s="140"/>
      <c r="E101" s="140"/>
      <c r="F101" s="140"/>
      <c r="G101" s="140"/>
      <c r="H101" s="140"/>
      <c r="I101" s="141"/>
      <c r="J101" s="140"/>
      <c r="K101" s="141"/>
      <c r="L101" s="140"/>
      <c r="M101" s="140"/>
      <c r="N101" s="140"/>
      <c r="O101" s="140"/>
    </row>
    <row r="102" spans="1:24" ht="11.45" customHeight="1" x14ac:dyDescent="0.2">
      <c r="A102" s="558"/>
      <c r="B102" s="332" t="s">
        <v>350</v>
      </c>
      <c r="C102" s="140"/>
      <c r="D102" s="140"/>
      <c r="E102" s="140"/>
      <c r="F102" s="140"/>
      <c r="G102" s="140"/>
      <c r="H102" s="140"/>
      <c r="I102" s="141"/>
      <c r="J102" s="140"/>
      <c r="K102" s="141"/>
      <c r="L102" s="140"/>
      <c r="M102" s="140"/>
      <c r="N102" s="140"/>
      <c r="O102" s="140"/>
      <c r="P102" s="377">
        <f>IF(AND(F7=0,G7=0,H7=0),0,IF(OR('3R Rating Summary'!D13=7,'3R Rating Summary'!D13=8),P106,P112))</f>
        <v>0</v>
      </c>
      <c r="Q102" s="142" t="s">
        <v>125</v>
      </c>
    </row>
    <row r="103" spans="1:24" ht="11.45" customHeight="1" x14ac:dyDescent="0.2">
      <c r="A103" s="558"/>
      <c r="B103" s="140"/>
      <c r="C103" s="140"/>
      <c r="D103" s="140"/>
      <c r="E103" s="140"/>
      <c r="F103" s="140"/>
      <c r="G103" s="140"/>
      <c r="H103" s="140"/>
      <c r="I103" s="141"/>
      <c r="J103" s="140"/>
      <c r="K103" s="141"/>
      <c r="L103" s="140"/>
      <c r="M103" s="140"/>
      <c r="N103" s="140"/>
      <c r="O103" s="140"/>
    </row>
    <row r="104" spans="1:24" ht="11.45" customHeight="1" x14ac:dyDescent="0.2">
      <c r="A104" s="558"/>
      <c r="B104" s="138"/>
      <c r="C104" s="140" t="s">
        <v>49</v>
      </c>
      <c r="D104" s="140"/>
      <c r="E104" s="140"/>
      <c r="F104" s="140"/>
      <c r="G104" s="140"/>
      <c r="H104" s="140"/>
      <c r="I104" s="141"/>
      <c r="J104" s="140"/>
      <c r="K104" s="141"/>
      <c r="L104" s="140"/>
      <c r="M104" s="140"/>
      <c r="N104" s="140"/>
      <c r="O104" s="140"/>
      <c r="P104" s="253"/>
      <c r="Q104" s="378" t="s">
        <v>112</v>
      </c>
      <c r="R104" s="253"/>
    </row>
    <row r="105" spans="1:24" ht="11.45" customHeight="1" x14ac:dyDescent="0.2">
      <c r="A105" s="558"/>
      <c r="B105" s="138"/>
      <c r="C105" s="138"/>
      <c r="D105" s="140" t="s">
        <v>62</v>
      </c>
      <c r="E105" s="140"/>
      <c r="F105" s="140"/>
      <c r="G105" s="140"/>
      <c r="H105" s="140"/>
      <c r="I105" s="141"/>
      <c r="J105" s="140"/>
      <c r="K105" s="141"/>
      <c r="L105" s="140"/>
      <c r="M105" s="140"/>
      <c r="N105" s="140"/>
      <c r="O105" s="140"/>
      <c r="P105" s="141"/>
      <c r="Q105" s="151"/>
      <c r="R105" s="151"/>
    </row>
    <row r="106" spans="1:24" ht="11.45" customHeight="1" x14ac:dyDescent="0.2">
      <c r="A106" s="558"/>
      <c r="B106" s="138"/>
      <c r="C106" s="138"/>
      <c r="D106" s="140"/>
      <c r="E106" s="140"/>
      <c r="F106" s="140"/>
      <c r="G106" s="140"/>
      <c r="H106" s="140"/>
      <c r="I106" s="141"/>
      <c r="J106" s="140"/>
      <c r="K106" s="141"/>
      <c r="L106" s="140"/>
      <c r="M106" s="140"/>
      <c r="N106" s="140"/>
      <c r="O106" s="140"/>
      <c r="P106" s="151">
        <f>IF(Geometry!R56&lt;&gt;0,Q106,P107)</f>
        <v>7</v>
      </c>
      <c r="Q106" s="151">
        <f>IF(Geometry!R53&lt;400,D112,R106)</f>
        <v>7</v>
      </c>
      <c r="R106" s="151">
        <f>IF(Geometry!R53&lt;2001,E112,F112)</f>
        <v>6</v>
      </c>
    </row>
    <row r="107" spans="1:24" ht="11.45" customHeight="1" x14ac:dyDescent="0.2">
      <c r="A107" s="558"/>
      <c r="B107" s="140"/>
      <c r="C107" s="379" t="s">
        <v>63</v>
      </c>
      <c r="D107" s="379"/>
      <c r="E107" s="379"/>
      <c r="F107" s="379"/>
      <c r="G107" s="140"/>
      <c r="H107" s="140"/>
      <c r="I107" s="141"/>
      <c r="J107" s="140"/>
      <c r="K107" s="141"/>
      <c r="L107" s="140"/>
      <c r="M107" s="140"/>
      <c r="N107" s="140"/>
      <c r="O107" s="140"/>
      <c r="P107" s="151">
        <f>IF(Geometry!R57&lt;&gt;0,Q107,P108)</f>
        <v>9</v>
      </c>
      <c r="Q107" s="151">
        <f>IF(Geometry!R53&lt;400,D113,R107)</f>
        <v>9</v>
      </c>
      <c r="R107" s="151">
        <f>IF(Geometry!R53&lt;2001,E113,F113)</f>
        <v>8</v>
      </c>
      <c r="S107" s="138"/>
      <c r="T107" s="138"/>
      <c r="U107" s="138"/>
    </row>
    <row r="108" spans="1:24" ht="11.45" customHeight="1" x14ac:dyDescent="0.2">
      <c r="A108" s="558"/>
      <c r="B108" s="140"/>
      <c r="D108" s="140"/>
      <c r="E108" s="140"/>
      <c r="F108" s="140"/>
      <c r="G108" s="140"/>
      <c r="H108" s="140"/>
      <c r="I108" s="379" t="s">
        <v>64</v>
      </c>
      <c r="J108" s="379"/>
      <c r="K108" s="379"/>
      <c r="L108" s="379"/>
      <c r="M108" s="379"/>
      <c r="N108" s="379"/>
      <c r="O108" s="155"/>
      <c r="P108" s="151">
        <f>IF(Geometry!R58&lt;&gt;0,Q108,0)</f>
        <v>12</v>
      </c>
      <c r="Q108" s="151">
        <f>IF(Geometry!R53&lt;400,D114,R108)</f>
        <v>12</v>
      </c>
      <c r="R108" s="151">
        <f>IF(Geometry!R53&lt;2001,E114,F114)</f>
        <v>10</v>
      </c>
      <c r="S108" s="339"/>
      <c r="T108" s="339"/>
      <c r="U108" s="339"/>
      <c r="V108" s="253"/>
    </row>
    <row r="109" spans="1:24" ht="11.45" customHeight="1" x14ac:dyDescent="0.2">
      <c r="A109" s="558"/>
      <c r="B109" s="155"/>
      <c r="C109" s="155"/>
      <c r="D109" s="253"/>
      <c r="E109" s="346" t="s">
        <v>112</v>
      </c>
      <c r="F109" s="253"/>
      <c r="G109" s="155"/>
      <c r="H109" s="155"/>
      <c r="I109" s="151"/>
      <c r="J109" s="155"/>
      <c r="K109" s="151"/>
      <c r="L109" s="155"/>
      <c r="M109" s="155"/>
      <c r="N109" s="155"/>
      <c r="O109" s="155"/>
      <c r="S109" s="140"/>
      <c r="T109" s="140"/>
      <c r="U109" s="140"/>
      <c r="V109" s="253"/>
    </row>
    <row r="110" spans="1:24" ht="11.45" customHeight="1" x14ac:dyDescent="0.2">
      <c r="A110" s="558"/>
      <c r="B110" s="269" t="s">
        <v>65</v>
      </c>
      <c r="D110" s="253"/>
      <c r="E110" s="380" t="s">
        <v>156</v>
      </c>
      <c r="F110" s="253"/>
      <c r="G110" s="155"/>
      <c r="I110" s="155" t="s">
        <v>114</v>
      </c>
      <c r="J110" s="155" t="s">
        <v>115</v>
      </c>
      <c r="K110" s="155"/>
      <c r="L110" s="246" t="s">
        <v>114</v>
      </c>
      <c r="M110" s="155" t="s">
        <v>115</v>
      </c>
      <c r="N110" s="155"/>
      <c r="O110" s="155"/>
      <c r="Q110" s="381" t="s">
        <v>113</v>
      </c>
      <c r="S110" s="140"/>
      <c r="T110" s="140"/>
      <c r="U110" s="140"/>
      <c r="V110" s="253"/>
      <c r="W110" s="382">
        <f>IF(AND(F7=0,G7=0,H7=0),0,IF(Geometry!V59=I114,J114,W111))</f>
        <v>0</v>
      </c>
      <c r="X110" s="142" t="s">
        <v>136</v>
      </c>
    </row>
    <row r="111" spans="1:24" ht="11.45" customHeight="1" x14ac:dyDescent="0.2">
      <c r="A111" s="558"/>
      <c r="B111" s="155" t="s">
        <v>67</v>
      </c>
      <c r="C111" s="155"/>
      <c r="D111" s="383" t="s">
        <v>54</v>
      </c>
      <c r="E111" s="383" t="s">
        <v>109</v>
      </c>
      <c r="F111" s="383" t="s">
        <v>56</v>
      </c>
      <c r="G111" s="155"/>
      <c r="I111" s="154" t="s">
        <v>116</v>
      </c>
      <c r="J111" s="154" t="s">
        <v>117</v>
      </c>
      <c r="K111" s="151"/>
      <c r="L111" s="154" t="s">
        <v>116</v>
      </c>
      <c r="M111" s="154" t="s">
        <v>117</v>
      </c>
      <c r="O111" s="155"/>
      <c r="P111" s="141"/>
      <c r="Q111" s="151"/>
      <c r="R111" s="151"/>
      <c r="S111" s="140"/>
      <c r="T111" s="140"/>
      <c r="U111" s="140"/>
      <c r="W111" s="142" t="str">
        <f>IF(Geometry!V59=I116,J116,W112)</f>
        <v/>
      </c>
    </row>
    <row r="112" spans="1:24" ht="11.45" customHeight="1" x14ac:dyDescent="0.2">
      <c r="A112" s="558"/>
      <c r="B112" s="155" t="s">
        <v>69</v>
      </c>
      <c r="C112" s="155"/>
      <c r="D112" s="253">
        <v>7</v>
      </c>
      <c r="E112" s="253">
        <v>6</v>
      </c>
      <c r="F112" s="346">
        <v>5</v>
      </c>
      <c r="I112" s="151">
        <v>10</v>
      </c>
      <c r="J112" s="384" t="s">
        <v>118</v>
      </c>
      <c r="K112" s="151"/>
      <c r="L112" s="151">
        <v>35</v>
      </c>
      <c r="M112" s="384">
        <v>250</v>
      </c>
      <c r="O112" s="155"/>
      <c r="P112" s="151">
        <f>IF(Geometry!R56&lt;&gt;0,Q112,P113)</f>
        <v>5</v>
      </c>
      <c r="Q112" s="151">
        <f>IF(Geometry!R53&lt;400,D119,R112)</f>
        <v>5</v>
      </c>
      <c r="R112" s="151">
        <f>IF(Geometry!R53&lt;2001,E119,F119)</f>
        <v>4</v>
      </c>
      <c r="S112" s="138"/>
      <c r="T112" s="138"/>
      <c r="U112" s="138"/>
      <c r="W112" s="142" t="str">
        <f>IF(Geometry!V59=L113,M113,W113)</f>
        <v/>
      </c>
    </row>
    <row r="113" spans="1:28" ht="11.45" customHeight="1" x14ac:dyDescent="0.2">
      <c r="A113" s="558"/>
      <c r="B113" s="155" t="s">
        <v>70</v>
      </c>
      <c r="C113" s="155"/>
      <c r="D113" s="253">
        <v>9</v>
      </c>
      <c r="E113" s="253">
        <v>8</v>
      </c>
      <c r="F113" s="253">
        <v>7</v>
      </c>
      <c r="G113" s="155"/>
      <c r="I113" s="151">
        <v>15</v>
      </c>
      <c r="J113" s="384">
        <v>80</v>
      </c>
      <c r="K113" s="151"/>
      <c r="L113" s="151">
        <v>40</v>
      </c>
      <c r="M113" s="384">
        <v>305</v>
      </c>
      <c r="N113" s="155"/>
      <c r="O113" s="155"/>
      <c r="P113" s="151">
        <f>IF(Geometry!R57&lt;&gt;0,Q113,P114)</f>
        <v>6</v>
      </c>
      <c r="Q113" s="151">
        <f>IF(Geometry!R53&lt;400,D120,R113)</f>
        <v>6</v>
      </c>
      <c r="R113" s="151">
        <f>IF(Geometry!R53&lt;2001,E120,F120)</f>
        <v>5</v>
      </c>
      <c r="S113" s="138"/>
      <c r="T113" s="222"/>
      <c r="U113" s="138"/>
      <c r="W113" s="142" t="str">
        <f>IF(Geometry!V59=L115,M115,W114)</f>
        <v/>
      </c>
    </row>
    <row r="114" spans="1:28" ht="11.45" customHeight="1" x14ac:dyDescent="0.2">
      <c r="A114" s="558"/>
      <c r="B114" s="155" t="s">
        <v>71</v>
      </c>
      <c r="C114" s="155"/>
      <c r="D114" s="253">
        <v>12</v>
      </c>
      <c r="E114" s="253">
        <v>10</v>
      </c>
      <c r="F114" s="253">
        <v>10</v>
      </c>
      <c r="G114" s="155"/>
      <c r="I114" s="151">
        <v>20</v>
      </c>
      <c r="J114" s="384">
        <v>115</v>
      </c>
      <c r="K114" s="151"/>
      <c r="L114" s="151">
        <v>45</v>
      </c>
      <c r="M114" s="384">
        <v>360</v>
      </c>
      <c r="N114" s="385"/>
      <c r="O114" s="155"/>
      <c r="P114" s="151">
        <f>IF(Geometry!R58&lt;&gt;0,Q114,0)</f>
        <v>8</v>
      </c>
      <c r="Q114" s="151">
        <f>IF(Geometry!R53&lt;400,D121,R114)</f>
        <v>8</v>
      </c>
      <c r="R114" s="151">
        <f>IF(Geometry!R53&lt;2001,E121,F121)</f>
        <v>7</v>
      </c>
      <c r="S114" s="138"/>
      <c r="T114" s="141"/>
      <c r="U114" s="138"/>
      <c r="W114" s="142" t="str">
        <f>IF(Geometry!V59=L117,M117,"")</f>
        <v/>
      </c>
    </row>
    <row r="115" spans="1:28" ht="11.45" customHeight="1" x14ac:dyDescent="0.2">
      <c r="A115" s="558"/>
      <c r="G115" s="155"/>
      <c r="I115" s="151">
        <v>25</v>
      </c>
      <c r="J115" s="384">
        <v>155</v>
      </c>
      <c r="K115" s="151"/>
      <c r="L115" s="151">
        <v>50</v>
      </c>
      <c r="M115" s="384">
        <v>425</v>
      </c>
      <c r="O115" s="155"/>
      <c r="P115" s="360"/>
      <c r="Q115" s="360"/>
      <c r="R115" s="360"/>
      <c r="S115" s="346"/>
      <c r="T115" s="346"/>
      <c r="U115" s="346"/>
    </row>
    <row r="116" spans="1:28" ht="11.45" customHeight="1" x14ac:dyDescent="0.2">
      <c r="A116" s="558"/>
      <c r="D116" s="141"/>
      <c r="E116" s="346" t="s">
        <v>113</v>
      </c>
      <c r="F116" s="141"/>
      <c r="I116" s="151">
        <v>30</v>
      </c>
      <c r="J116" s="384">
        <v>200</v>
      </c>
      <c r="K116" s="151"/>
      <c r="L116" s="151">
        <v>55</v>
      </c>
      <c r="M116" s="384">
        <v>495</v>
      </c>
      <c r="N116" s="385"/>
      <c r="O116" s="155"/>
      <c r="P116" s="360"/>
      <c r="Q116" s="360"/>
      <c r="R116" s="360"/>
      <c r="S116" s="346"/>
      <c r="T116" s="346"/>
      <c r="U116" s="346"/>
    </row>
    <row r="117" spans="1:28" ht="11.45" customHeight="1" x14ac:dyDescent="0.2">
      <c r="A117" s="558"/>
      <c r="D117" s="141"/>
      <c r="E117" s="380" t="s">
        <v>157</v>
      </c>
      <c r="F117" s="141"/>
      <c r="G117" s="155"/>
      <c r="I117" s="155"/>
      <c r="J117" s="155"/>
      <c r="K117" s="155"/>
      <c r="L117" s="151">
        <v>60</v>
      </c>
      <c r="M117" s="384">
        <v>570</v>
      </c>
      <c r="O117" s="155"/>
      <c r="P117" s="360"/>
      <c r="Q117" s="360"/>
      <c r="R117" s="386" t="s">
        <v>129</v>
      </c>
      <c r="W117" s="360"/>
      <c r="X117" s="360"/>
      <c r="Y117" s="386" t="s">
        <v>131</v>
      </c>
    </row>
    <row r="118" spans="1:28" ht="11.45" customHeight="1" x14ac:dyDescent="0.2">
      <c r="A118" s="558"/>
      <c r="D118" s="387" t="s">
        <v>66</v>
      </c>
      <c r="E118" s="387" t="s">
        <v>55</v>
      </c>
      <c r="F118" s="387" t="s">
        <v>56</v>
      </c>
      <c r="G118" s="155"/>
      <c r="H118" s="155"/>
      <c r="I118" s="151"/>
      <c r="J118" s="155"/>
      <c r="K118" s="151"/>
      <c r="L118" s="155"/>
      <c r="M118" s="155"/>
      <c r="N118" s="155"/>
      <c r="O118" s="155"/>
      <c r="P118" s="360"/>
      <c r="Q118" s="360"/>
      <c r="R118" s="360"/>
      <c r="W118" s="360"/>
      <c r="X118" s="360"/>
      <c r="Y118" s="360"/>
    </row>
    <row r="119" spans="1:28" ht="11.45" customHeight="1" x14ac:dyDescent="0.2">
      <c r="A119" s="558"/>
      <c r="B119" s="155" t="s">
        <v>69</v>
      </c>
      <c r="D119" s="346">
        <v>5</v>
      </c>
      <c r="E119" s="346">
        <v>4</v>
      </c>
      <c r="F119" s="346">
        <v>3</v>
      </c>
      <c r="G119" s="155"/>
      <c r="H119" s="155"/>
      <c r="I119" s="151"/>
      <c r="J119" s="155"/>
      <c r="K119" s="151"/>
      <c r="L119" s="155"/>
      <c r="M119" s="155"/>
      <c r="N119" s="155"/>
      <c r="O119" s="155"/>
      <c r="Q119" s="142" t="s">
        <v>132</v>
      </c>
      <c r="R119" s="142" t="s">
        <v>97</v>
      </c>
      <c r="S119" s="151" t="s">
        <v>126</v>
      </c>
      <c r="T119" s="142" t="s">
        <v>127</v>
      </c>
      <c r="U119" s="388" t="s">
        <v>354</v>
      </c>
      <c r="X119" s="142" t="s">
        <v>133</v>
      </c>
      <c r="Y119" s="142" t="s">
        <v>97</v>
      </c>
      <c r="Z119" s="151" t="s">
        <v>126</v>
      </c>
      <c r="AA119" s="142" t="s">
        <v>127</v>
      </c>
      <c r="AB119" s="388" t="s">
        <v>354</v>
      </c>
    </row>
    <row r="120" spans="1:28" ht="11.45" customHeight="1" x14ac:dyDescent="0.2">
      <c r="A120" s="558"/>
      <c r="B120" s="155" t="s">
        <v>70</v>
      </c>
      <c r="D120" s="346">
        <v>6</v>
      </c>
      <c r="E120" s="346">
        <v>5</v>
      </c>
      <c r="F120" s="346">
        <v>4</v>
      </c>
      <c r="G120" s="155"/>
      <c r="H120" s="155"/>
      <c r="I120" s="151"/>
      <c r="J120" s="155"/>
      <c r="K120" s="151"/>
      <c r="L120" s="155"/>
      <c r="M120" s="155"/>
      <c r="N120" s="155"/>
      <c r="O120" s="155"/>
      <c r="Q120" s="142" t="s">
        <v>124</v>
      </c>
      <c r="R120" s="142" t="s">
        <v>123</v>
      </c>
      <c r="S120" s="151" t="s">
        <v>121</v>
      </c>
      <c r="T120" s="151" t="s">
        <v>124</v>
      </c>
      <c r="U120" s="389" t="s">
        <v>355</v>
      </c>
      <c r="V120" s="155"/>
      <c r="X120" s="142" t="s">
        <v>124</v>
      </c>
      <c r="Y120" s="142" t="s">
        <v>130</v>
      </c>
      <c r="Z120" s="151" t="s">
        <v>130</v>
      </c>
      <c r="AA120" s="151" t="s">
        <v>124</v>
      </c>
      <c r="AB120" s="388" t="s">
        <v>355</v>
      </c>
    </row>
    <row r="121" spans="1:28" ht="11.45" customHeight="1" x14ac:dyDescent="0.2">
      <c r="A121" s="558"/>
      <c r="B121" s="155" t="s">
        <v>71</v>
      </c>
      <c r="D121" s="346">
        <v>8</v>
      </c>
      <c r="E121" s="346">
        <v>7</v>
      </c>
      <c r="F121" s="346">
        <v>6</v>
      </c>
      <c r="G121" s="155"/>
      <c r="H121" s="155"/>
      <c r="I121" s="151"/>
      <c r="J121" s="155"/>
      <c r="K121" s="151"/>
      <c r="L121" s="155"/>
      <c r="M121" s="155"/>
      <c r="N121" s="155"/>
      <c r="O121" s="155"/>
      <c r="P121" s="192">
        <v>1</v>
      </c>
      <c r="Q121" s="247">
        <f>Geometry!I19</f>
        <v>0</v>
      </c>
      <c r="R121" s="247">
        <f>Geometry!H19</f>
        <v>0</v>
      </c>
      <c r="S121" s="390">
        <f>P102</f>
        <v>0</v>
      </c>
      <c r="T121" s="151">
        <f t="shared" ref="T121:T130" si="14">IF(R121&gt;S121,Q121,0)</f>
        <v>0</v>
      </c>
      <c r="U121" s="389">
        <f>IF(R121&gt;Geometry!J19,Geometry!T121,0)</f>
        <v>0</v>
      </c>
      <c r="V121" s="154"/>
      <c r="W121" s="192">
        <v>1</v>
      </c>
      <c r="X121" s="247">
        <f>Geometry!N19</f>
        <v>0</v>
      </c>
      <c r="Y121" s="247">
        <f>Geometry!M19</f>
        <v>0</v>
      </c>
      <c r="Z121" s="377">
        <f>W110</f>
        <v>0</v>
      </c>
      <c r="AA121" s="151">
        <f t="shared" ref="AA121:AA130" si="15">IF(Y121&lt;Z121,X121,0)</f>
        <v>0</v>
      </c>
      <c r="AB121" s="389">
        <f>IF(Y121&lt;Geometry!O19,Geometry!X121,0)</f>
        <v>0</v>
      </c>
    </row>
    <row r="122" spans="1:28" ht="11.45" customHeight="1" x14ac:dyDescent="0.2">
      <c r="A122" s="558"/>
      <c r="F122" s="155"/>
      <c r="G122" s="155"/>
      <c r="H122" s="155"/>
      <c r="I122" s="151"/>
      <c r="J122" s="155"/>
      <c r="K122" s="151"/>
      <c r="L122" s="155"/>
      <c r="M122" s="155"/>
      <c r="N122" s="155"/>
      <c r="O122" s="155"/>
      <c r="P122" s="192">
        <v>2</v>
      </c>
      <c r="Q122" s="247">
        <f>Geometry!I20</f>
        <v>0</v>
      </c>
      <c r="R122" s="247">
        <f>Geometry!H20</f>
        <v>0</v>
      </c>
      <c r="S122" s="390">
        <f>P102</f>
        <v>0</v>
      </c>
      <c r="T122" s="151">
        <f t="shared" si="14"/>
        <v>0</v>
      </c>
      <c r="U122" s="389">
        <f>IF(R122&gt;Geometry!J20,Geometry!T122,0)</f>
        <v>0</v>
      </c>
      <c r="V122" s="154"/>
      <c r="W122" s="192">
        <v>2</v>
      </c>
      <c r="X122" s="247">
        <f>Geometry!N20</f>
        <v>0</v>
      </c>
      <c r="Y122" s="247">
        <f>Geometry!M20</f>
        <v>0</v>
      </c>
      <c r="Z122" s="377">
        <f>W110</f>
        <v>0</v>
      </c>
      <c r="AA122" s="151">
        <f t="shared" si="15"/>
        <v>0</v>
      </c>
      <c r="AB122" s="389">
        <f>IF(Y122&lt;Geometry!O20,Geometry!X122,0)</f>
        <v>0</v>
      </c>
    </row>
    <row r="123" spans="1:28" ht="11.45" customHeight="1" x14ac:dyDescent="0.2">
      <c r="A123" s="558"/>
      <c r="C123" s="269" t="s">
        <v>358</v>
      </c>
      <c r="E123" s="269" t="s">
        <v>72</v>
      </c>
      <c r="F123" s="155"/>
      <c r="G123" s="155"/>
      <c r="H123" s="155"/>
      <c r="I123" s="151"/>
      <c r="J123" s="155"/>
      <c r="K123" s="151"/>
      <c r="L123" s="155"/>
      <c r="M123" s="155"/>
      <c r="N123" s="155"/>
      <c r="O123" s="155"/>
      <c r="P123" s="192">
        <v>3</v>
      </c>
      <c r="Q123" s="247">
        <f>Geometry!I21</f>
        <v>0</v>
      </c>
      <c r="R123" s="247">
        <f>Geometry!H21</f>
        <v>0</v>
      </c>
      <c r="S123" s="390">
        <f>P102</f>
        <v>0</v>
      </c>
      <c r="T123" s="151">
        <f t="shared" si="14"/>
        <v>0</v>
      </c>
      <c r="U123" s="389">
        <f>IF(R123&gt;Geometry!J21,Geometry!T123,0)</f>
        <v>0</v>
      </c>
      <c r="V123" s="154"/>
      <c r="W123" s="192">
        <v>3</v>
      </c>
      <c r="X123" s="247">
        <f>Geometry!N21</f>
        <v>0</v>
      </c>
      <c r="Y123" s="247">
        <f>Geometry!M21</f>
        <v>0</v>
      </c>
      <c r="Z123" s="377">
        <f>W110</f>
        <v>0</v>
      </c>
      <c r="AA123" s="151">
        <f t="shared" si="15"/>
        <v>0</v>
      </c>
      <c r="AB123" s="389">
        <f>IF(Y123&lt;Geometry!O21,Geometry!X123,0)</f>
        <v>0</v>
      </c>
    </row>
    <row r="124" spans="1:28" ht="11.45" customHeight="1" x14ac:dyDescent="0.2">
      <c r="A124" s="558"/>
      <c r="C124" s="269"/>
      <c r="E124" s="269"/>
      <c r="F124" s="155"/>
      <c r="G124" s="155"/>
      <c r="H124" s="155"/>
      <c r="I124" s="151"/>
      <c r="J124" s="155"/>
      <c r="K124" s="151"/>
      <c r="L124" s="155"/>
      <c r="M124" s="155"/>
      <c r="N124" s="155"/>
      <c r="O124" s="155"/>
      <c r="P124" s="192">
        <v>4</v>
      </c>
      <c r="Q124" s="247">
        <f>Geometry!I22</f>
        <v>0</v>
      </c>
      <c r="R124" s="247">
        <f>Geometry!H22</f>
        <v>0</v>
      </c>
      <c r="S124" s="390">
        <f>P102</f>
        <v>0</v>
      </c>
      <c r="T124" s="151">
        <f t="shared" si="14"/>
        <v>0</v>
      </c>
      <c r="U124" s="389">
        <f>IF(R124&gt;Geometry!J22,Geometry!T124,0)</f>
        <v>0</v>
      </c>
      <c r="V124" s="154"/>
      <c r="W124" s="192">
        <v>4</v>
      </c>
      <c r="X124" s="247">
        <f>Geometry!N22</f>
        <v>0</v>
      </c>
      <c r="Y124" s="247">
        <f>Geometry!M22</f>
        <v>0</v>
      </c>
      <c r="Z124" s="377">
        <f>W110</f>
        <v>0</v>
      </c>
      <c r="AA124" s="151">
        <f t="shared" si="15"/>
        <v>0</v>
      </c>
      <c r="AB124" s="389">
        <f>IF(Y124&lt;Geometry!O22,Geometry!X124,0)</f>
        <v>0</v>
      </c>
    </row>
    <row r="125" spans="1:28" ht="11.45" customHeight="1" x14ac:dyDescent="0.2">
      <c r="A125" s="558"/>
      <c r="C125" s="151">
        <v>0</v>
      </c>
      <c r="D125" s="155"/>
      <c r="E125" s="155" t="s">
        <v>88</v>
      </c>
      <c r="F125" s="155"/>
      <c r="G125" s="155"/>
      <c r="H125" s="155"/>
      <c r="I125" s="151"/>
      <c r="J125" s="155"/>
      <c r="K125" s="151"/>
      <c r="L125" s="155"/>
      <c r="M125" s="155"/>
      <c r="N125" s="155"/>
      <c r="O125" s="155"/>
      <c r="P125" s="192">
        <v>5</v>
      </c>
      <c r="Q125" s="247">
        <f>Geometry!I23</f>
        <v>0</v>
      </c>
      <c r="R125" s="247">
        <f>Geometry!H23</f>
        <v>0</v>
      </c>
      <c r="S125" s="390">
        <f>P102</f>
        <v>0</v>
      </c>
      <c r="T125" s="151">
        <f t="shared" si="14"/>
        <v>0</v>
      </c>
      <c r="U125" s="389">
        <f>IF(R125&gt;Geometry!J23,Geometry!T125,0)</f>
        <v>0</v>
      </c>
      <c r="V125" s="154"/>
      <c r="W125" s="192">
        <v>5</v>
      </c>
      <c r="X125" s="247">
        <f>Geometry!N23</f>
        <v>0</v>
      </c>
      <c r="Y125" s="247">
        <f>Geometry!M23</f>
        <v>0</v>
      </c>
      <c r="Z125" s="377">
        <f>W110</f>
        <v>0</v>
      </c>
      <c r="AA125" s="151">
        <f t="shared" si="15"/>
        <v>0</v>
      </c>
      <c r="AB125" s="389">
        <f>IF(Y125&lt;Geometry!O23,Geometry!X125,0)</f>
        <v>0</v>
      </c>
    </row>
    <row r="126" spans="1:28" ht="11.45" customHeight="1" x14ac:dyDescent="0.2">
      <c r="A126" s="558"/>
      <c r="C126" s="151">
        <v>1</v>
      </c>
      <c r="D126" s="155"/>
      <c r="E126" s="155" t="s">
        <v>89</v>
      </c>
      <c r="F126" s="155"/>
      <c r="G126" s="155"/>
      <c r="H126" s="155"/>
      <c r="I126" s="151"/>
      <c r="J126" s="155"/>
      <c r="K126" s="151"/>
      <c r="L126" s="155"/>
      <c r="M126" s="155"/>
      <c r="N126" s="155"/>
      <c r="O126" s="155"/>
      <c r="P126" s="192">
        <v>6</v>
      </c>
      <c r="Q126" s="247">
        <f>Geometry!I24</f>
        <v>0</v>
      </c>
      <c r="R126" s="247">
        <f>Geometry!H24</f>
        <v>0</v>
      </c>
      <c r="S126" s="390">
        <f>P102</f>
        <v>0</v>
      </c>
      <c r="T126" s="151">
        <f t="shared" si="14"/>
        <v>0</v>
      </c>
      <c r="U126" s="389">
        <f>IF(R126&gt;Geometry!J24,Geometry!T126,0)</f>
        <v>0</v>
      </c>
      <c r="V126" s="154"/>
      <c r="W126" s="192">
        <v>6</v>
      </c>
      <c r="X126" s="247">
        <f>Geometry!N24</f>
        <v>0</v>
      </c>
      <c r="Y126" s="247">
        <f>Geometry!M24</f>
        <v>0</v>
      </c>
      <c r="Z126" s="377">
        <f>W110</f>
        <v>0</v>
      </c>
      <c r="AA126" s="151">
        <f t="shared" si="15"/>
        <v>0</v>
      </c>
      <c r="AB126" s="389">
        <f>IF(Y126&lt;Geometry!O24,Geometry!X126,0)</f>
        <v>0</v>
      </c>
    </row>
    <row r="127" spans="1:28" ht="11.45" customHeight="1" x14ac:dyDescent="0.2">
      <c r="A127" s="558"/>
      <c r="C127" s="151">
        <v>1.5</v>
      </c>
      <c r="D127" s="155"/>
      <c r="E127" s="155" t="s">
        <v>90</v>
      </c>
      <c r="F127" s="155"/>
      <c r="G127" s="155"/>
      <c r="H127" s="155"/>
      <c r="I127" s="151"/>
      <c r="J127" s="155"/>
      <c r="K127" s="151"/>
      <c r="L127" s="155"/>
      <c r="M127" s="155"/>
      <c r="N127" s="155"/>
      <c r="O127" s="155"/>
      <c r="P127" s="192">
        <v>7</v>
      </c>
      <c r="Q127" s="247">
        <f>Geometry!I25</f>
        <v>0</v>
      </c>
      <c r="R127" s="247">
        <f>Geometry!H25</f>
        <v>0</v>
      </c>
      <c r="S127" s="390">
        <f>P102</f>
        <v>0</v>
      </c>
      <c r="T127" s="151">
        <f t="shared" si="14"/>
        <v>0</v>
      </c>
      <c r="U127" s="389">
        <f>IF(R127&gt;Geometry!J25,Geometry!T127,0)</f>
        <v>0</v>
      </c>
      <c r="V127" s="384"/>
      <c r="W127" s="192">
        <v>7</v>
      </c>
      <c r="X127" s="247">
        <f>Geometry!N25</f>
        <v>0</v>
      </c>
      <c r="Y127" s="247">
        <f>Geometry!M25</f>
        <v>0</v>
      </c>
      <c r="Z127" s="377">
        <f>W110</f>
        <v>0</v>
      </c>
      <c r="AA127" s="151">
        <f t="shared" si="15"/>
        <v>0</v>
      </c>
      <c r="AB127" s="389">
        <f>IF(Y127&lt;Geometry!O25,Geometry!X127,0)</f>
        <v>0</v>
      </c>
    </row>
    <row r="128" spans="1:28" ht="11.45" customHeight="1" x14ac:dyDescent="0.2">
      <c r="A128" s="558"/>
      <c r="B128" s="151"/>
      <c r="C128" s="151">
        <v>2</v>
      </c>
      <c r="D128" s="155"/>
      <c r="E128" s="155" t="s">
        <v>91</v>
      </c>
      <c r="F128" s="155"/>
      <c r="G128" s="155"/>
      <c r="H128" s="155"/>
      <c r="I128" s="151"/>
      <c r="J128" s="155"/>
      <c r="K128" s="151"/>
      <c r="L128" s="155"/>
      <c r="M128" s="155"/>
      <c r="N128" s="155"/>
      <c r="O128" s="155"/>
      <c r="P128" s="192">
        <v>8</v>
      </c>
      <c r="Q128" s="247">
        <f>Geometry!I26</f>
        <v>0</v>
      </c>
      <c r="R128" s="247">
        <f>Geometry!H26</f>
        <v>0</v>
      </c>
      <c r="S128" s="390">
        <f>P102</f>
        <v>0</v>
      </c>
      <c r="T128" s="151">
        <f t="shared" si="14"/>
        <v>0</v>
      </c>
      <c r="U128" s="389">
        <f>IF(R128&gt;Geometry!J26,Geometry!T128,0)</f>
        <v>0</v>
      </c>
      <c r="V128" s="384"/>
      <c r="W128" s="192">
        <v>8</v>
      </c>
      <c r="X128" s="247">
        <f>Geometry!N26</f>
        <v>0</v>
      </c>
      <c r="Y128" s="247">
        <f>Geometry!M26</f>
        <v>0</v>
      </c>
      <c r="Z128" s="377">
        <f>W110</f>
        <v>0</v>
      </c>
      <c r="AA128" s="151">
        <f t="shared" si="15"/>
        <v>0</v>
      </c>
      <c r="AB128" s="389">
        <f>IF(Y128&lt;Geometry!O26,Geometry!X128,0)</f>
        <v>0</v>
      </c>
    </row>
    <row r="129" spans="1:28" ht="11.45" customHeight="1" x14ac:dyDescent="0.2">
      <c r="A129" s="558"/>
      <c r="B129" s="155" t="s">
        <v>13</v>
      </c>
      <c r="C129" s="155"/>
      <c r="D129" s="155"/>
      <c r="E129" s="155"/>
      <c r="F129" s="155"/>
      <c r="G129" s="155"/>
      <c r="H129" s="155"/>
      <c r="I129" s="151"/>
      <c r="J129" s="155"/>
      <c r="K129" s="151"/>
      <c r="L129" s="155"/>
      <c r="M129" s="155"/>
      <c r="N129" s="155"/>
      <c r="O129" s="155"/>
      <c r="P129" s="192">
        <v>9</v>
      </c>
      <c r="Q129" s="247">
        <f>Geometry!I27</f>
        <v>0</v>
      </c>
      <c r="R129" s="247">
        <f>Geometry!H27</f>
        <v>0</v>
      </c>
      <c r="S129" s="390">
        <f>P102</f>
        <v>0</v>
      </c>
      <c r="T129" s="151">
        <f t="shared" si="14"/>
        <v>0</v>
      </c>
      <c r="U129" s="389">
        <f>IF(R129&gt;Geometry!J27,Geometry!T129,0)</f>
        <v>0</v>
      </c>
      <c r="V129" s="384"/>
      <c r="W129" s="192">
        <v>9</v>
      </c>
      <c r="X129" s="247">
        <f>Geometry!N27</f>
        <v>0</v>
      </c>
      <c r="Y129" s="247">
        <f>Geometry!M27</f>
        <v>0</v>
      </c>
      <c r="Z129" s="377">
        <f>W110</f>
        <v>0</v>
      </c>
      <c r="AA129" s="151">
        <f t="shared" si="15"/>
        <v>0</v>
      </c>
      <c r="AB129" s="389">
        <f>IF(Y129&lt;Geometry!O27,Geometry!X129,0)</f>
        <v>0</v>
      </c>
    </row>
    <row r="130" spans="1:28" ht="11.45" customHeight="1" x14ac:dyDescent="0.2">
      <c r="A130" s="558"/>
      <c r="B130" s="155"/>
      <c r="D130" s="155"/>
      <c r="E130" s="155"/>
      <c r="F130" s="155"/>
      <c r="G130" s="265" t="s">
        <v>73</v>
      </c>
      <c r="J130" s="155"/>
      <c r="K130" s="151"/>
      <c r="L130" s="155"/>
      <c r="M130" s="155"/>
      <c r="N130" s="267">
        <f>V141</f>
        <v>0</v>
      </c>
      <c r="O130" s="155"/>
      <c r="P130" s="192">
        <v>10</v>
      </c>
      <c r="Q130" s="247">
        <f>Geometry!I28</f>
        <v>0</v>
      </c>
      <c r="R130" s="247">
        <f>Geometry!H28</f>
        <v>0</v>
      </c>
      <c r="S130" s="390">
        <f>P102</f>
        <v>0</v>
      </c>
      <c r="T130" s="151">
        <f t="shared" si="14"/>
        <v>0</v>
      </c>
      <c r="U130" s="389">
        <f>IF(R130&gt;Geometry!J28,Geometry!T130,0)</f>
        <v>0</v>
      </c>
      <c r="V130" s="384"/>
      <c r="W130" s="192">
        <v>10</v>
      </c>
      <c r="X130" s="247">
        <f>Geometry!N28</f>
        <v>0</v>
      </c>
      <c r="Y130" s="247">
        <f>Geometry!M28</f>
        <v>0</v>
      </c>
      <c r="Z130" s="377">
        <f>W110</f>
        <v>0</v>
      </c>
      <c r="AA130" s="151">
        <f t="shared" si="15"/>
        <v>0</v>
      </c>
      <c r="AB130" s="389">
        <f>IF(Y130&lt;Geometry!O28,Geometry!X130,0)</f>
        <v>0</v>
      </c>
    </row>
    <row r="131" spans="1:28" ht="11.45" customHeight="1" x14ac:dyDescent="0.2">
      <c r="A131" s="558"/>
      <c r="B131" s="155"/>
      <c r="C131" s="155" t="s">
        <v>13</v>
      </c>
      <c r="D131" s="155"/>
      <c r="E131" s="155"/>
      <c r="F131" s="155"/>
      <c r="G131" s="155"/>
      <c r="H131" s="155"/>
      <c r="I131" s="151"/>
      <c r="J131" s="155"/>
      <c r="L131" s="155"/>
      <c r="M131" s="155"/>
      <c r="O131" s="155"/>
      <c r="P131" s="141"/>
      <c r="Q131" s="141"/>
      <c r="R131" s="141"/>
      <c r="S131" s="391"/>
      <c r="T131" s="141"/>
      <c r="U131" s="141"/>
      <c r="V131" s="392"/>
      <c r="W131" s="141"/>
      <c r="X131" s="141"/>
      <c r="Y131" s="141"/>
      <c r="Z131" s="393"/>
      <c r="AA131" s="141"/>
      <c r="AB131" s="141"/>
    </row>
    <row r="132" spans="1:28" ht="11.45" customHeight="1" x14ac:dyDescent="0.2">
      <c r="A132" s="558"/>
      <c r="B132" s="155"/>
      <c r="C132" s="155"/>
      <c r="D132" s="155"/>
      <c r="E132" s="155"/>
      <c r="F132" s="155"/>
      <c r="G132" s="155"/>
      <c r="H132" s="155"/>
      <c r="I132" s="151"/>
      <c r="J132" s="155"/>
      <c r="L132" s="155"/>
      <c r="M132" s="155"/>
      <c r="N132" s="155"/>
      <c r="O132" s="155"/>
      <c r="P132" s="141"/>
      <c r="Q132" s="141"/>
      <c r="R132" s="141"/>
      <c r="S132" s="391"/>
      <c r="T132" s="141"/>
      <c r="U132" s="141"/>
      <c r="V132" s="392"/>
      <c r="W132" s="141"/>
      <c r="X132" s="141"/>
      <c r="Y132" s="141"/>
      <c r="Z132" s="393"/>
      <c r="AA132" s="141"/>
      <c r="AB132" s="141"/>
    </row>
    <row r="133" spans="1:28" ht="11.45" customHeight="1" x14ac:dyDescent="0.2">
      <c r="A133" s="558"/>
      <c r="B133" s="155"/>
      <c r="C133" s="155"/>
      <c r="D133" s="155"/>
      <c r="E133" s="155"/>
      <c r="F133" s="155"/>
      <c r="G133" s="155"/>
      <c r="H133" s="155"/>
      <c r="I133" s="151"/>
      <c r="J133" s="155"/>
      <c r="K133" s="155"/>
      <c r="M133" s="155"/>
      <c r="N133" s="155"/>
      <c r="O133" s="155"/>
      <c r="P133" s="141"/>
      <c r="Q133" s="141"/>
      <c r="R133" s="141"/>
      <c r="S133" s="391"/>
      <c r="T133" s="141"/>
      <c r="U133" s="141"/>
      <c r="V133" s="138"/>
      <c r="W133" s="141"/>
      <c r="X133" s="141"/>
      <c r="Y133" s="141"/>
      <c r="Z133" s="393"/>
      <c r="AA133" s="141"/>
      <c r="AB133" s="141"/>
    </row>
    <row r="134" spans="1:28" ht="11.45" customHeight="1" x14ac:dyDescent="0.2">
      <c r="A134" s="558"/>
      <c r="B134" s="155"/>
      <c r="C134" s="155"/>
      <c r="D134" s="155"/>
      <c r="E134" s="155"/>
      <c r="F134" s="155"/>
      <c r="G134" s="155"/>
      <c r="H134" s="155"/>
      <c r="I134" s="151"/>
      <c r="J134" s="155"/>
      <c r="K134" s="155"/>
      <c r="M134" s="155"/>
      <c r="N134" s="155"/>
      <c r="O134" s="155"/>
      <c r="P134" s="141"/>
      <c r="Q134" s="141"/>
      <c r="R134" s="141"/>
      <c r="S134" s="391"/>
      <c r="T134" s="141"/>
      <c r="U134" s="141"/>
      <c r="V134" s="138"/>
      <c r="W134" s="141"/>
      <c r="X134" s="141"/>
      <c r="Y134" s="141"/>
      <c r="Z134" s="393"/>
      <c r="AA134" s="141"/>
      <c r="AB134" s="141"/>
    </row>
    <row r="135" spans="1:28" ht="11.45" customHeight="1" x14ac:dyDescent="0.2">
      <c r="A135" s="558"/>
      <c r="B135" s="155"/>
      <c r="C135" s="155"/>
      <c r="D135" s="155"/>
      <c r="E135" s="155"/>
      <c r="F135" s="155"/>
      <c r="G135" s="155"/>
      <c r="H135" s="155"/>
      <c r="I135" s="151"/>
      <c r="J135" s="155"/>
      <c r="K135" s="155"/>
      <c r="M135" s="155"/>
      <c r="N135" s="155"/>
      <c r="O135" s="155"/>
    </row>
    <row r="136" spans="1:28" ht="11.45" customHeight="1" x14ac:dyDescent="0.2">
      <c r="A136" s="558"/>
      <c r="B136" s="155"/>
      <c r="C136" s="155"/>
      <c r="D136" s="155"/>
      <c r="E136" s="155"/>
      <c r="F136" s="155"/>
      <c r="G136" s="155"/>
      <c r="H136" s="155"/>
      <c r="I136" s="151"/>
      <c r="J136" s="155"/>
      <c r="K136" s="155"/>
      <c r="M136" s="155"/>
      <c r="N136" s="155"/>
      <c r="O136" s="155"/>
      <c r="S136" s="142" t="s">
        <v>128</v>
      </c>
      <c r="T136" s="247">
        <f>SUM(T121:T130)</f>
        <v>0</v>
      </c>
      <c r="U136" s="394">
        <f>SUM(U121:U130)</f>
        <v>0</v>
      </c>
      <c r="Z136" s="142" t="s">
        <v>128</v>
      </c>
      <c r="AA136" s="247">
        <f>SUM(AA121:AA130)</f>
        <v>0</v>
      </c>
      <c r="AB136" s="394">
        <f>SUM(AB121:AB130)</f>
        <v>0</v>
      </c>
    </row>
    <row r="137" spans="1:28" ht="11.45" customHeight="1" x14ac:dyDescent="0.2">
      <c r="A137" s="558"/>
      <c r="B137" s="155"/>
      <c r="C137" s="155"/>
      <c r="D137" s="155"/>
      <c r="E137" s="155"/>
      <c r="F137" s="155"/>
      <c r="G137" s="155"/>
      <c r="H137" s="155"/>
      <c r="I137" s="151"/>
      <c r="J137" s="155"/>
      <c r="K137" s="155"/>
      <c r="M137" s="155"/>
      <c r="N137" s="155"/>
      <c r="O137" s="155"/>
      <c r="S137" s="142" t="s">
        <v>127</v>
      </c>
      <c r="U137" s="388" t="s">
        <v>354</v>
      </c>
      <c r="Z137" s="142" t="s">
        <v>127</v>
      </c>
      <c r="AB137" s="388" t="s">
        <v>354</v>
      </c>
    </row>
    <row r="138" spans="1:28" ht="11.45" customHeight="1" x14ac:dyDescent="0.2">
      <c r="A138" s="558"/>
      <c r="B138" s="155"/>
      <c r="C138" s="155"/>
      <c r="D138" s="155"/>
      <c r="E138" s="155"/>
      <c r="F138" s="155"/>
      <c r="G138" s="155"/>
      <c r="H138" s="155"/>
      <c r="I138" s="151"/>
      <c r="J138" s="155"/>
      <c r="K138" s="155"/>
      <c r="M138" s="155"/>
      <c r="N138" s="155"/>
      <c r="O138" s="155"/>
      <c r="S138" s="142" t="s">
        <v>124</v>
      </c>
      <c r="Z138" s="142" t="s">
        <v>124</v>
      </c>
    </row>
    <row r="139" spans="1:28" ht="11.45" customHeight="1" x14ac:dyDescent="0.2">
      <c r="A139" s="558"/>
      <c r="B139" s="155"/>
      <c r="C139" s="155"/>
      <c r="D139" s="155"/>
      <c r="E139" s="155"/>
      <c r="F139" s="155"/>
      <c r="G139" s="155"/>
      <c r="H139" s="155"/>
      <c r="I139" s="151"/>
      <c r="J139" s="155"/>
      <c r="K139" s="155"/>
      <c r="M139" s="155"/>
      <c r="N139" s="155"/>
      <c r="O139" s="155"/>
    </row>
    <row r="140" spans="1:28" ht="11.45" customHeight="1" x14ac:dyDescent="0.2">
      <c r="A140" s="558"/>
      <c r="B140" s="155"/>
      <c r="C140" s="155"/>
      <c r="D140" s="155"/>
      <c r="E140" s="155"/>
      <c r="F140" s="155"/>
      <c r="G140" s="155"/>
      <c r="H140" s="155"/>
      <c r="I140" s="151"/>
      <c r="J140" s="155"/>
      <c r="K140" s="155"/>
      <c r="M140" s="155"/>
      <c r="N140" s="155"/>
      <c r="O140" s="155"/>
      <c r="P140" s="155"/>
    </row>
    <row r="141" spans="1:28" ht="11.45" customHeight="1" x14ac:dyDescent="0.2">
      <c r="A141" s="558"/>
      <c r="B141" s="155"/>
      <c r="C141" s="155"/>
      <c r="D141" s="155"/>
      <c r="E141" s="155"/>
      <c r="F141" s="155"/>
      <c r="G141" s="155"/>
      <c r="H141" s="155"/>
      <c r="I141" s="151"/>
      <c r="J141" s="155"/>
      <c r="K141" s="151"/>
      <c r="L141" s="155"/>
      <c r="M141" s="155"/>
      <c r="N141" s="155"/>
      <c r="O141" s="155"/>
      <c r="P141" s="395">
        <f>'3R Rating Summary'!D11*5280</f>
        <v>0</v>
      </c>
      <c r="Q141" s="142" t="s">
        <v>135</v>
      </c>
      <c r="V141" s="396">
        <f>IF(P143=0,0,V142)</f>
        <v>0</v>
      </c>
      <c r="W141" s="142" t="s">
        <v>24</v>
      </c>
    </row>
    <row r="142" spans="1:28" ht="11.45" customHeight="1" x14ac:dyDescent="0.2">
      <c r="A142" s="558"/>
      <c r="B142" s="155"/>
      <c r="C142" s="155"/>
      <c r="D142" s="155"/>
      <c r="E142" s="155"/>
      <c r="F142" s="155"/>
      <c r="G142" s="155"/>
      <c r="H142" s="155"/>
      <c r="I142" s="151"/>
      <c r="J142" s="155"/>
      <c r="K142" s="151"/>
      <c r="L142" s="155"/>
      <c r="M142" s="155"/>
      <c r="N142" s="155"/>
      <c r="O142" s="155"/>
      <c r="P142" s="397">
        <f>SUM(U136,AB136)</f>
        <v>0</v>
      </c>
      <c r="Q142" s="144" t="s">
        <v>356</v>
      </c>
      <c r="V142" s="398" t="str">
        <f>IF(AND(P143&lt;&gt;0,P143&lt;0.05),1,V143)</f>
        <v/>
      </c>
    </row>
    <row r="143" spans="1:28" ht="11.45" customHeight="1" x14ac:dyDescent="0.2">
      <c r="A143" s="558"/>
      <c r="B143" s="155"/>
      <c r="C143" s="155"/>
      <c r="D143" s="155"/>
      <c r="E143" s="155"/>
      <c r="F143" s="155"/>
      <c r="G143" s="155"/>
      <c r="H143" s="155"/>
      <c r="I143" s="151"/>
      <c r="J143" s="155"/>
      <c r="K143" s="151"/>
      <c r="L143" s="155"/>
      <c r="M143" s="155"/>
      <c r="N143" s="155"/>
      <c r="O143" s="155"/>
      <c r="P143" s="399">
        <f>IF(P141=0,0,P142/P141)</f>
        <v>0</v>
      </c>
      <c r="Q143" s="142" t="s">
        <v>134</v>
      </c>
      <c r="V143" s="398" t="str">
        <f>IF(AND(P143&gt;=0.05,P143&lt;0.1),1.5,V144)</f>
        <v/>
      </c>
    </row>
    <row r="144" spans="1:28" ht="11.45" customHeight="1" x14ac:dyDescent="0.2">
      <c r="A144" s="558"/>
      <c r="B144" s="155"/>
      <c r="C144" s="155"/>
      <c r="D144" s="155"/>
      <c r="E144" s="155"/>
      <c r="F144" s="155"/>
      <c r="G144" s="155"/>
      <c r="H144" s="155"/>
      <c r="I144" s="151"/>
      <c r="J144" s="155"/>
      <c r="K144" s="151"/>
      <c r="L144" s="155"/>
      <c r="M144" s="155"/>
      <c r="N144" s="155"/>
      <c r="V144" s="151" t="str">
        <f>IF(P143&gt;=0.1,2,"")</f>
        <v/>
      </c>
    </row>
    <row r="150" spans="1:40" x14ac:dyDescent="0.2">
      <c r="C150" s="241" t="s">
        <v>228</v>
      </c>
      <c r="D150" s="155"/>
      <c r="E150" s="155"/>
      <c r="F150" s="155"/>
      <c r="G150" s="155"/>
      <c r="H150" s="155"/>
      <c r="I150" s="155"/>
      <c r="J150" s="151"/>
      <c r="K150" s="155"/>
      <c r="L150" s="151"/>
      <c r="M150" s="155"/>
      <c r="N150" s="155"/>
      <c r="O150" s="155"/>
      <c r="P150" s="155"/>
    </row>
    <row r="151" spans="1:40" x14ac:dyDescent="0.2">
      <c r="C151" s="155"/>
      <c r="D151" s="155"/>
      <c r="E151" s="155"/>
      <c r="F151" s="155"/>
      <c r="G151" s="155"/>
      <c r="H151" s="155"/>
      <c r="I151" s="155"/>
      <c r="J151" s="151"/>
      <c r="K151" s="155"/>
      <c r="L151" s="151"/>
      <c r="M151" s="155"/>
      <c r="N151" s="155"/>
      <c r="O151" s="155"/>
      <c r="P151" s="155"/>
    </row>
    <row r="152" spans="1:40" x14ac:dyDescent="0.2">
      <c r="C152" s="155" t="s">
        <v>236</v>
      </c>
      <c r="D152" s="155"/>
      <c r="E152" s="155"/>
      <c r="F152" s="155"/>
      <c r="G152" s="155"/>
      <c r="H152" s="155"/>
      <c r="I152" s="155"/>
      <c r="J152" s="151"/>
      <c r="K152" s="155"/>
      <c r="L152" s="151"/>
      <c r="M152" s="155"/>
      <c r="N152" s="155"/>
      <c r="O152" s="155"/>
      <c r="P152" s="155"/>
    </row>
    <row r="153" spans="1:40" x14ac:dyDescent="0.2">
      <c r="C153" s="155" t="s">
        <v>83</v>
      </c>
      <c r="D153" s="155"/>
      <c r="E153" s="155"/>
      <c r="F153" s="155"/>
      <c r="G153" s="155"/>
      <c r="H153" s="155"/>
      <c r="I153" s="155"/>
      <c r="J153" s="151"/>
      <c r="K153" s="155"/>
      <c r="L153" s="151"/>
      <c r="M153" s="155"/>
      <c r="N153" s="155"/>
      <c r="O153" s="155"/>
      <c r="P153" s="155"/>
      <c r="AD153" s="155"/>
      <c r="AE153" s="155"/>
      <c r="AF153" s="155"/>
      <c r="AG153" s="155"/>
      <c r="AH153" s="155"/>
      <c r="AI153" s="155"/>
      <c r="AJ153" s="155"/>
      <c r="AK153" s="155"/>
      <c r="AL153" s="155"/>
      <c r="AM153" s="155"/>
      <c r="AN153" s="155"/>
    </row>
    <row r="154" spans="1:40" x14ac:dyDescent="0.2">
      <c r="C154" s="155"/>
      <c r="D154" s="155"/>
      <c r="E154" s="155"/>
      <c r="F154" s="155"/>
      <c r="G154" s="155"/>
      <c r="H154" s="155"/>
      <c r="I154" s="155"/>
      <c r="J154" s="151"/>
      <c r="K154" s="155"/>
      <c r="L154" s="151"/>
      <c r="M154" s="155"/>
      <c r="N154" s="155"/>
      <c r="O154" s="155"/>
      <c r="P154" s="155"/>
      <c r="Q154" s="155"/>
      <c r="AD154" s="151"/>
      <c r="AE154" s="247">
        <f>'3R Rating Summary'!D13</f>
        <v>0</v>
      </c>
      <c r="AF154" s="155" t="s">
        <v>119</v>
      </c>
      <c r="AG154" s="151"/>
      <c r="AH154" s="151"/>
      <c r="AI154" s="151"/>
      <c r="AJ154" s="151"/>
      <c r="AK154" s="155"/>
      <c r="AL154" s="155"/>
      <c r="AM154" s="155"/>
      <c r="AN154" s="155"/>
    </row>
    <row r="155" spans="1:40" x14ac:dyDescent="0.2">
      <c r="C155" s="155"/>
      <c r="D155" s="155"/>
      <c r="E155" s="155"/>
      <c r="F155" s="155"/>
      <c r="G155" s="155"/>
      <c r="H155" s="155"/>
      <c r="I155" s="155"/>
      <c r="J155" s="151"/>
      <c r="K155" s="155"/>
      <c r="L155" s="151"/>
      <c r="M155" s="155"/>
      <c r="N155" s="155"/>
      <c r="O155" s="155"/>
      <c r="P155" s="155"/>
      <c r="Q155" s="155"/>
      <c r="AD155" s="151"/>
      <c r="AE155" s="141"/>
      <c r="AF155" s="155"/>
      <c r="AG155" s="151"/>
      <c r="AH155" s="151"/>
      <c r="AI155" s="151"/>
      <c r="AJ155" s="151"/>
      <c r="AK155" s="155"/>
      <c r="AL155" s="155"/>
      <c r="AM155" s="155"/>
      <c r="AN155" s="155"/>
    </row>
    <row r="156" spans="1:40" x14ac:dyDescent="0.2">
      <c r="C156" s="155"/>
      <c r="D156" s="155"/>
      <c r="E156" s="155"/>
      <c r="F156" s="155"/>
      <c r="G156" s="155"/>
      <c r="H156" s="155"/>
      <c r="I156" s="155"/>
      <c r="J156" s="151"/>
      <c r="K156" s="155"/>
      <c r="L156" s="151"/>
      <c r="M156" s="155"/>
      <c r="N156" s="155"/>
      <c r="O156" s="155"/>
      <c r="P156" s="155"/>
      <c r="Q156" s="155"/>
      <c r="AD156" s="155"/>
      <c r="AE156" s="155"/>
      <c r="AF156" s="155"/>
      <c r="AG156" s="155"/>
      <c r="AH156" s="155"/>
      <c r="AI156" s="155"/>
      <c r="AJ156" s="155"/>
      <c r="AK156" s="155"/>
      <c r="AL156" s="155"/>
      <c r="AM156" s="155"/>
      <c r="AN156" s="155"/>
    </row>
    <row r="157" spans="1:40" ht="19.5" x14ac:dyDescent="0.35">
      <c r="A157" s="557"/>
      <c r="C157" s="155"/>
      <c r="E157" s="140"/>
      <c r="F157" s="140"/>
      <c r="G157" s="140"/>
      <c r="H157" s="138"/>
      <c r="I157" s="400" t="s">
        <v>234</v>
      </c>
      <c r="J157" s="400"/>
      <c r="K157" s="400"/>
      <c r="L157" s="400"/>
      <c r="M157" s="140"/>
      <c r="N157" s="140"/>
      <c r="O157" s="140"/>
      <c r="P157" s="155"/>
      <c r="Q157" s="155"/>
      <c r="AD157" s="140" t="s">
        <v>190</v>
      </c>
      <c r="AF157" s="140"/>
      <c r="AG157" s="140"/>
      <c r="AH157" s="140"/>
      <c r="AI157" s="247">
        <f>IF(OR(AE154=7,AE154=8),AD162,AJ162)</f>
        <v>22</v>
      </c>
      <c r="AJ157" s="140" t="s">
        <v>191</v>
      </c>
      <c r="AK157" s="140"/>
      <c r="AL157" s="155"/>
      <c r="AM157" s="155"/>
      <c r="AN157" s="155"/>
    </row>
    <row r="158" spans="1:40" ht="19.5" x14ac:dyDescent="0.35">
      <c r="A158" s="557"/>
      <c r="C158" s="247">
        <f>Geometry!E33</f>
        <v>0</v>
      </c>
      <c r="D158" s="401" t="s">
        <v>231</v>
      </c>
      <c r="E158" s="140"/>
      <c r="F158" s="140"/>
      <c r="G158" s="140"/>
      <c r="H158" s="140"/>
      <c r="I158" s="400"/>
      <c r="J158" s="400"/>
      <c r="K158" s="400"/>
      <c r="L158" s="400"/>
      <c r="M158" s="140"/>
      <c r="N158" s="140"/>
      <c r="O158" s="140"/>
      <c r="P158" s="155"/>
      <c r="Q158" s="155"/>
      <c r="W158" s="247">
        <f>V162</f>
        <v>5</v>
      </c>
      <c r="X158" s="142" t="s">
        <v>142</v>
      </c>
      <c r="AD158" s="222"/>
      <c r="AE158" s="141"/>
      <c r="AF158" s="140"/>
      <c r="AG158" s="140"/>
      <c r="AH158" s="140"/>
      <c r="AI158" s="140"/>
      <c r="AJ158" s="140"/>
      <c r="AK158" s="140"/>
      <c r="AL158" s="155"/>
      <c r="AM158" s="155"/>
      <c r="AN158" s="155"/>
    </row>
    <row r="159" spans="1:40" ht="19.5" x14ac:dyDescent="0.35">
      <c r="A159" s="557"/>
      <c r="C159" s="247">
        <f>Geometry!E34</f>
        <v>0</v>
      </c>
      <c r="D159" s="401" t="s">
        <v>150</v>
      </c>
      <c r="E159" s="154"/>
      <c r="F159" s="154"/>
      <c r="G159" s="154"/>
      <c r="H159" s="154"/>
      <c r="I159" s="400" t="s">
        <v>229</v>
      </c>
      <c r="J159" s="400"/>
      <c r="K159" s="400"/>
      <c r="L159" s="400"/>
      <c r="N159" s="154"/>
      <c r="O159" s="151"/>
      <c r="P159" s="155"/>
      <c r="Q159" s="155"/>
      <c r="R159" s="155"/>
      <c r="AD159" s="222"/>
      <c r="AE159" s="402" t="s">
        <v>192</v>
      </c>
      <c r="AF159" s="403"/>
      <c r="AG159" s="140"/>
      <c r="AH159" s="140"/>
      <c r="AI159" s="155"/>
      <c r="AJ159" s="402" t="s">
        <v>193</v>
      </c>
      <c r="AK159" s="402"/>
      <c r="AL159" s="402"/>
      <c r="AM159" s="155"/>
      <c r="AN159" s="155"/>
    </row>
    <row r="160" spans="1:40" ht="19.5" x14ac:dyDescent="0.35">
      <c r="A160" s="557"/>
      <c r="C160" s="247">
        <f>SUM(C158,(C159*2))</f>
        <v>0</v>
      </c>
      <c r="D160" s="401" t="s">
        <v>232</v>
      </c>
      <c r="E160" s="151"/>
      <c r="F160" s="151"/>
      <c r="G160" s="155"/>
      <c r="H160" s="151"/>
      <c r="I160" s="400"/>
      <c r="J160" s="400"/>
      <c r="K160" s="400"/>
      <c r="L160" s="400"/>
      <c r="N160" s="151"/>
      <c r="O160" s="151"/>
      <c r="P160" s="155"/>
      <c r="Q160" s="155"/>
      <c r="R160" s="155"/>
      <c r="W160" s="378" t="s">
        <v>143</v>
      </c>
      <c r="X160" s="378"/>
      <c r="Y160" s="253"/>
      <c r="AD160" s="222"/>
      <c r="AE160" s="579" t="s">
        <v>194</v>
      </c>
      <c r="AF160" s="579" t="s">
        <v>195</v>
      </c>
      <c r="AG160" s="140"/>
      <c r="AH160" s="140"/>
      <c r="AI160" s="155"/>
      <c r="AJ160" s="140"/>
      <c r="AK160" s="579" t="s">
        <v>197</v>
      </c>
      <c r="AL160" s="140"/>
      <c r="AM160" s="155"/>
      <c r="AN160" s="155"/>
    </row>
    <row r="161" spans="1:40" x14ac:dyDescent="0.2">
      <c r="A161" s="557"/>
      <c r="E161" s="151"/>
      <c r="F161" s="151"/>
      <c r="G161" s="155"/>
      <c r="H161" s="151"/>
      <c r="I161" s="154" t="s">
        <v>235</v>
      </c>
      <c r="J161" s="154"/>
      <c r="K161" s="154" t="s">
        <v>230</v>
      </c>
      <c r="L161" s="154"/>
      <c r="M161" s="151" t="s">
        <v>230</v>
      </c>
      <c r="N161" s="151"/>
      <c r="O161" s="151"/>
      <c r="P161" s="155"/>
      <c r="Q161" s="155"/>
      <c r="R161" s="155"/>
      <c r="W161" s="141"/>
      <c r="X161" s="151"/>
      <c r="Y161" s="151"/>
      <c r="AD161" s="193" t="s">
        <v>54</v>
      </c>
      <c r="AE161" s="580"/>
      <c r="AF161" s="580"/>
      <c r="AG161" s="193" t="s">
        <v>56</v>
      </c>
      <c r="AH161" s="140"/>
      <c r="AI161" s="155"/>
      <c r="AJ161" s="193" t="s">
        <v>196</v>
      </c>
      <c r="AK161" s="580"/>
      <c r="AL161" s="193" t="s">
        <v>56</v>
      </c>
      <c r="AM161" s="155"/>
      <c r="AN161" s="155"/>
    </row>
    <row r="162" spans="1:40" x14ac:dyDescent="0.2">
      <c r="A162" s="557"/>
      <c r="C162" s="247">
        <f>Geometry!F35</f>
        <v>0</v>
      </c>
      <c r="D162" s="401" t="s">
        <v>233</v>
      </c>
      <c r="E162" s="151"/>
      <c r="F162" s="151"/>
      <c r="G162" s="155"/>
      <c r="H162" s="151"/>
      <c r="I162" s="151">
        <v>2</v>
      </c>
      <c r="J162" s="151"/>
      <c r="K162" s="151">
        <v>2</v>
      </c>
      <c r="L162" s="151"/>
      <c r="M162" s="247">
        <f>IF(C162-C160&lt;2,0,M163)</f>
        <v>0</v>
      </c>
      <c r="N162" s="151"/>
      <c r="O162" s="151"/>
      <c r="P162" s="155"/>
      <c r="Q162" s="155"/>
      <c r="R162" s="155"/>
      <c r="V162" s="247">
        <f>IF(Geometry!R53&lt;400,W162,V163)</f>
        <v>5</v>
      </c>
      <c r="W162" s="404">
        <f>IF(C158&lt;20,5,X162)</f>
        <v>5</v>
      </c>
      <c r="X162" s="404">
        <f>IF(C158&lt;=22,2,Y162)</f>
        <v>2</v>
      </c>
      <c r="Y162" s="404" t="str">
        <f>IF(C158&gt;22,0,"")</f>
        <v/>
      </c>
      <c r="AD162" s="141">
        <f>IF(AND(Geometry!V59&lt;=50,Geometry!R53&lt;400),20,AD163)</f>
        <v>20</v>
      </c>
      <c r="AE162" s="141">
        <f>IF(AND(Geometry!V59&lt;=30,Geometry!R53&lt;1501),20,AE163)</f>
        <v>20</v>
      </c>
      <c r="AF162" s="141">
        <f>IF(AND(Geometry!V59&lt;=50,Geometry!R53&lt;=2000),22,AF163)</f>
        <v>22</v>
      </c>
      <c r="AG162" s="141">
        <f>IF(Geometry!R53&gt;2000,24,0)</f>
        <v>0</v>
      </c>
      <c r="AH162" s="140"/>
      <c r="AI162" s="155"/>
      <c r="AJ162" s="141">
        <f>IF(AND(Geometry!V59&lt;60,Geometry!R53&lt;1501),22,AJ163)</f>
        <v>22</v>
      </c>
      <c r="AK162" s="141">
        <f>IF(AND(Geometry!V59&lt;50,Geometry!R53&lt;2001),22,AK163)</f>
        <v>22</v>
      </c>
      <c r="AL162" s="141">
        <f>IF(Geometry!R53&gt;2000,24,0)</f>
        <v>0</v>
      </c>
      <c r="AM162" s="155"/>
      <c r="AN162" s="155"/>
    </row>
    <row r="163" spans="1:40" x14ac:dyDescent="0.2">
      <c r="A163" s="557"/>
      <c r="C163" s="151"/>
      <c r="D163" s="151"/>
      <c r="E163" s="151"/>
      <c r="F163" s="151"/>
      <c r="G163" s="155"/>
      <c r="H163" s="151"/>
      <c r="I163" s="151">
        <v>4</v>
      </c>
      <c r="J163" s="151"/>
      <c r="K163" s="151">
        <v>4</v>
      </c>
      <c r="L163" s="151"/>
      <c r="M163" s="156">
        <f>IF(C162-C160&lt;4,2,M164)</f>
        <v>2</v>
      </c>
      <c r="N163" s="151"/>
      <c r="O163" s="151"/>
      <c r="P163" s="155"/>
      <c r="Q163" s="155"/>
      <c r="R163" s="155"/>
      <c r="V163" s="151">
        <f>IF(Geometry!R53&lt;2001,W163,V164)</f>
        <v>5</v>
      </c>
      <c r="W163" s="404">
        <f>IF(C158&lt;20,5,X162)</f>
        <v>5</v>
      </c>
      <c r="X163" s="404">
        <f>IF(C158&lt;=22,2,Y162)</f>
        <v>2</v>
      </c>
      <c r="Y163" s="404" t="str">
        <f>IF(C158&gt;22,0,"")</f>
        <v/>
      </c>
      <c r="AD163" s="141">
        <f>IF(AND(Geometry!V59&gt;50,Geometry!R53&lt;400),22,AE162)</f>
        <v>20</v>
      </c>
      <c r="AE163" s="141">
        <f>IF(AND(Geometry!V59&gt;=35,Geometry!R53&lt;=1500),22,AF162)</f>
        <v>22</v>
      </c>
      <c r="AF163" s="141">
        <f>IF(AND(Geometry!V59&gt;=55,Geometry!R53&lt;=2001),24,AG162)</f>
        <v>0</v>
      </c>
      <c r="AG163" s="222"/>
      <c r="AH163" s="140"/>
      <c r="AI163" s="155"/>
      <c r="AJ163" s="141">
        <f>IF(AND(Geometry!V59&gt;55,Geometry!R53&lt;1501),24,AK162)</f>
        <v>22</v>
      </c>
      <c r="AK163" s="141">
        <f>IF(AND(Geometry!V59&gt;=50,Geometry!R53&lt;=2001),24,AL162)</f>
        <v>0</v>
      </c>
      <c r="AL163" s="141"/>
      <c r="AM163" s="155"/>
      <c r="AN163" s="155"/>
    </row>
    <row r="164" spans="1:40" x14ac:dyDescent="0.2">
      <c r="A164" s="557"/>
      <c r="E164" s="155"/>
      <c r="F164" s="155"/>
      <c r="G164" s="155"/>
      <c r="H164" s="155"/>
      <c r="I164" s="151">
        <v>6</v>
      </c>
      <c r="J164" s="151"/>
      <c r="K164" s="151">
        <v>8</v>
      </c>
      <c r="L164" s="151"/>
      <c r="M164" s="405">
        <f>IF(C162-C160&lt;6,4,M165)</f>
        <v>4</v>
      </c>
      <c r="N164" s="155"/>
      <c r="O164" s="155"/>
      <c r="P164" s="155"/>
      <c r="R164" s="155"/>
      <c r="V164" s="151" t="str">
        <f>IF(Geometry!R53&gt;=2001,W164,"")</f>
        <v/>
      </c>
      <c r="W164" s="151">
        <f>IF(C158&lt;22,5,X164)</f>
        <v>5</v>
      </c>
      <c r="X164" s="151">
        <f>IF(C158&lt;=24,2,Y164)</f>
        <v>2</v>
      </c>
      <c r="Y164" s="151" t="str">
        <f>IF(C158&gt;24,0,"")</f>
        <v/>
      </c>
      <c r="AD164" s="141"/>
      <c r="AE164" s="141"/>
      <c r="AF164" s="141"/>
      <c r="AG164" s="222"/>
      <c r="AH164" s="140"/>
      <c r="AI164" s="155"/>
      <c r="AJ164" s="141"/>
      <c r="AK164" s="141"/>
      <c r="AL164" s="141"/>
      <c r="AM164" s="155"/>
      <c r="AN164" s="155"/>
    </row>
    <row r="165" spans="1:40" x14ac:dyDescent="0.2">
      <c r="A165" s="557"/>
      <c r="E165" s="155"/>
      <c r="F165" s="155"/>
      <c r="G165" s="155"/>
      <c r="H165" s="155"/>
      <c r="I165" s="151">
        <v>8</v>
      </c>
      <c r="J165" s="151"/>
      <c r="K165" s="151">
        <v>10</v>
      </c>
      <c r="L165" s="151"/>
      <c r="M165" s="405">
        <f>IF(C162-C160&lt;8,8,M166)</f>
        <v>8</v>
      </c>
      <c r="N165" s="155"/>
      <c r="O165" s="155"/>
      <c r="P165" s="155"/>
      <c r="AD165" s="141"/>
      <c r="AE165" s="141"/>
      <c r="AF165" s="141"/>
      <c r="AG165" s="222"/>
      <c r="AH165" s="140"/>
      <c r="AI165" s="155"/>
      <c r="AJ165" s="141"/>
      <c r="AK165" s="141"/>
      <c r="AL165" s="141"/>
      <c r="AM165" s="155"/>
      <c r="AN165" s="155"/>
    </row>
    <row r="166" spans="1:40" x14ac:dyDescent="0.2">
      <c r="A166" s="557"/>
      <c r="E166" s="155"/>
      <c r="F166" s="155"/>
      <c r="G166" s="155"/>
      <c r="H166" s="155"/>
      <c r="I166" s="151">
        <v>10</v>
      </c>
      <c r="J166" s="151"/>
      <c r="K166" s="151">
        <v>12</v>
      </c>
      <c r="L166" s="151"/>
      <c r="M166" s="405">
        <f>IF(C162-C160&lt;10,10,M167)</f>
        <v>10</v>
      </c>
      <c r="N166" s="155"/>
      <c r="O166" s="155"/>
      <c r="P166" s="155"/>
      <c r="W166" s="154" t="s">
        <v>144</v>
      </c>
      <c r="X166" s="154"/>
      <c r="AD166" s="140"/>
      <c r="AE166" s="141"/>
      <c r="AF166" s="141"/>
      <c r="AG166" s="141"/>
      <c r="AH166" s="141"/>
      <c r="AI166" s="140"/>
      <c r="AJ166" s="141"/>
      <c r="AK166" s="141"/>
      <c r="AL166" s="151"/>
      <c r="AM166" s="155"/>
      <c r="AN166" s="155"/>
    </row>
    <row r="167" spans="1:40" x14ac:dyDescent="0.2">
      <c r="A167" s="557"/>
      <c r="E167" s="155"/>
      <c r="H167" s="155"/>
      <c r="I167" s="151">
        <v>12</v>
      </c>
      <c r="J167" s="151"/>
      <c r="K167" s="151">
        <v>15</v>
      </c>
      <c r="L167" s="151"/>
      <c r="M167" s="156">
        <f>IF(C162-C160&lt;12,12,M168)</f>
        <v>12</v>
      </c>
      <c r="N167" s="155" t="s">
        <v>74</v>
      </c>
      <c r="O167" s="155"/>
      <c r="P167" s="155"/>
      <c r="W167" s="141"/>
      <c r="X167" s="151"/>
      <c r="Y167" s="151"/>
      <c r="AD167" s="222"/>
      <c r="AE167" s="140" t="s">
        <v>198</v>
      </c>
      <c r="AF167" s="141"/>
      <c r="AG167" s="141"/>
      <c r="AH167" s="141"/>
      <c r="AI167" s="247">
        <f>IF(OR(AE154=7,AE154=8),AD172,AJ172)</f>
        <v>4</v>
      </c>
      <c r="AJ167" s="140" t="s">
        <v>199</v>
      </c>
      <c r="AK167" s="141"/>
      <c r="AL167" s="151"/>
      <c r="AM167" s="155"/>
      <c r="AN167" s="155"/>
    </row>
    <row r="168" spans="1:40" x14ac:dyDescent="0.2">
      <c r="A168" s="557"/>
      <c r="E168" s="155"/>
      <c r="H168" s="155"/>
      <c r="M168" s="156">
        <f>IF(C162-C160&gt;=12,15,0)</f>
        <v>0</v>
      </c>
      <c r="N168" s="155"/>
      <c r="O168" s="155"/>
      <c r="P168" s="140"/>
      <c r="V168" s="247">
        <f>IF(Geometry!R53&lt;400,W168,V169)</f>
        <v>10</v>
      </c>
      <c r="W168" s="404">
        <f>IF(C159&lt;2,10,X168)</f>
        <v>10</v>
      </c>
      <c r="X168" s="404">
        <f>IF(C159&lt;=3,5,Y168)</f>
        <v>5</v>
      </c>
      <c r="Y168" s="404" t="str">
        <f>IF(C159&gt;3,0,"")</f>
        <v/>
      </c>
      <c r="AD168" s="222"/>
      <c r="AE168" s="140"/>
      <c r="AF168" s="140"/>
      <c r="AG168" s="140"/>
      <c r="AH168" s="222"/>
      <c r="AI168" s="140"/>
      <c r="AJ168" s="141"/>
      <c r="AK168" s="141"/>
      <c r="AL168" s="151"/>
      <c r="AM168" s="155"/>
      <c r="AN168" s="155"/>
    </row>
    <row r="169" spans="1:40" x14ac:dyDescent="0.2">
      <c r="A169" s="557"/>
      <c r="E169" s="155"/>
      <c r="H169" s="155"/>
      <c r="K169" s="266" t="s">
        <v>75</v>
      </c>
      <c r="L169" s="267">
        <f>M162</f>
        <v>0</v>
      </c>
      <c r="N169" s="155"/>
      <c r="O169" s="155"/>
      <c r="P169" s="155"/>
      <c r="V169" s="151">
        <f>IF(Geometry!R53&lt;2001,W169,V170)</f>
        <v>10</v>
      </c>
      <c r="W169" s="404">
        <f>IF(C159&lt;4,10,X168)</f>
        <v>10</v>
      </c>
      <c r="X169" s="404">
        <f>IF(C159&lt;=6,5,Y168)</f>
        <v>5</v>
      </c>
      <c r="Y169" s="404" t="str">
        <f>IF(C159&gt;6,0,"")</f>
        <v/>
      </c>
      <c r="AD169" s="573" t="s">
        <v>192</v>
      </c>
      <c r="AE169" s="573"/>
      <c r="AF169" s="573"/>
      <c r="AG169" s="140"/>
      <c r="AH169" s="140"/>
      <c r="AI169" s="155"/>
      <c r="AJ169" s="573" t="s">
        <v>193</v>
      </c>
      <c r="AK169" s="573"/>
      <c r="AL169" s="573"/>
      <c r="AM169" s="574"/>
      <c r="AN169" s="155"/>
    </row>
    <row r="170" spans="1:40" x14ac:dyDescent="0.2">
      <c r="A170" s="557"/>
      <c r="E170" s="155"/>
      <c r="H170" s="155"/>
      <c r="K170" s="266"/>
      <c r="L170" s="360"/>
      <c r="N170" s="155"/>
      <c r="O170" s="155"/>
      <c r="P170" s="155"/>
      <c r="V170" s="151" t="str">
        <f>IF(Geometry!R53&gt;=2001,W170,"")</f>
        <v/>
      </c>
      <c r="W170" s="151">
        <f>IF(C159&lt;6,10,X170)</f>
        <v>10</v>
      </c>
      <c r="X170" s="151">
        <f>IF(C159&lt;=8,5,Y170)</f>
        <v>5</v>
      </c>
      <c r="Y170" s="151" t="str">
        <f>IF(C159&gt;8,0,"")</f>
        <v/>
      </c>
      <c r="AD170" s="155"/>
      <c r="AE170" s="579" t="s">
        <v>194</v>
      </c>
      <c r="AF170" s="579" t="s">
        <v>195</v>
      </c>
      <c r="AG170" s="151"/>
      <c r="AH170" s="151"/>
      <c r="AI170" s="151"/>
      <c r="AJ170" s="151"/>
      <c r="AK170" s="579" t="s">
        <v>194</v>
      </c>
      <c r="AL170" s="151"/>
      <c r="AM170" s="155"/>
      <c r="AN170" s="155"/>
    </row>
    <row r="171" spans="1:40" x14ac:dyDescent="0.2">
      <c r="E171" s="155"/>
      <c r="H171" s="155"/>
      <c r="K171" s="266"/>
      <c r="L171" s="360"/>
      <c r="N171" s="155"/>
      <c r="O171" s="155"/>
      <c r="P171" s="155"/>
      <c r="AD171" s="193" t="s">
        <v>54</v>
      </c>
      <c r="AE171" s="580"/>
      <c r="AF171" s="580"/>
      <c r="AG171" s="193" t="s">
        <v>56</v>
      </c>
      <c r="AH171" s="155"/>
      <c r="AI171" s="151"/>
      <c r="AJ171" s="193" t="s">
        <v>54</v>
      </c>
      <c r="AK171" s="580"/>
      <c r="AL171" s="193" t="s">
        <v>56</v>
      </c>
      <c r="AM171" s="155"/>
      <c r="AN171" s="155"/>
    </row>
    <row r="172" spans="1:40" x14ac:dyDescent="0.2">
      <c r="E172" s="155"/>
      <c r="H172" s="155"/>
      <c r="K172" s="266"/>
      <c r="L172" s="360"/>
      <c r="N172" s="155"/>
      <c r="O172" s="155"/>
      <c r="P172" s="155"/>
      <c r="AD172" s="141">
        <f>IF(Geometry!R53&lt;400,2,AE172)</f>
        <v>2</v>
      </c>
      <c r="AE172" s="141">
        <f>IF(Geometry!R53&lt;1501,4,AF172)</f>
        <v>4</v>
      </c>
      <c r="AF172" s="141">
        <f>IF(Geometry!R53&lt;2001,6,AG172)</f>
        <v>6</v>
      </c>
      <c r="AG172" s="141">
        <f>IF(Geometry!R53&gt;2000,8,0)</f>
        <v>0</v>
      </c>
      <c r="AH172" s="155"/>
      <c r="AI172" s="151"/>
      <c r="AJ172" s="141">
        <f>IF(Geometry!R53&lt;400,4,AK172)</f>
        <v>4</v>
      </c>
      <c r="AK172" s="141">
        <f>IF(Geometry!R53&lt;2001,6,AL172)</f>
        <v>6</v>
      </c>
      <c r="AL172" s="141">
        <f>IF(Geometry!R53&gt;2000,8,0)</f>
        <v>0</v>
      </c>
      <c r="AM172" s="155"/>
      <c r="AN172" s="155"/>
    </row>
    <row r="173" spans="1:40" x14ac:dyDescent="0.2">
      <c r="E173" s="155"/>
      <c r="H173" s="155"/>
      <c r="K173" s="266"/>
      <c r="L173" s="360"/>
      <c r="N173" s="155"/>
      <c r="O173" s="155"/>
      <c r="P173" s="155"/>
      <c r="AD173" s="140"/>
      <c r="AE173" s="155"/>
      <c r="AF173" s="155"/>
      <c r="AG173" s="141"/>
      <c r="AH173" s="141"/>
      <c r="AI173" s="151"/>
      <c r="AJ173" s="141"/>
      <c r="AK173" s="151"/>
      <c r="AL173" s="151"/>
      <c r="AM173" s="155"/>
      <c r="AN173" s="155"/>
    </row>
    <row r="174" spans="1:40" x14ac:dyDescent="0.2">
      <c r="E174" s="155"/>
      <c r="H174" s="155"/>
      <c r="K174" s="266"/>
      <c r="L174" s="360"/>
      <c r="N174" s="155"/>
      <c r="O174" s="155"/>
      <c r="P174" s="155"/>
      <c r="AD174" s="140"/>
      <c r="AE174" s="155"/>
      <c r="AF174" s="155"/>
      <c r="AG174" s="141"/>
      <c r="AH174" s="141"/>
      <c r="AI174" s="151"/>
      <c r="AJ174" s="141"/>
      <c r="AK174" s="151"/>
      <c r="AL174" s="151"/>
      <c r="AM174" s="155"/>
      <c r="AN174" s="155"/>
    </row>
    <row r="175" spans="1:40" x14ac:dyDescent="0.2">
      <c r="E175" s="155"/>
      <c r="H175" s="155"/>
      <c r="K175" s="266"/>
      <c r="L175" s="360"/>
      <c r="N175" s="155"/>
      <c r="O175" s="155"/>
      <c r="P175" s="155"/>
      <c r="AD175" s="155"/>
      <c r="AE175" s="155"/>
      <c r="AF175" s="155"/>
      <c r="AG175" s="155"/>
      <c r="AH175" s="155"/>
      <c r="AI175" s="155"/>
      <c r="AJ175" s="155"/>
      <c r="AK175" s="155"/>
      <c r="AL175" s="155"/>
      <c r="AM175" s="155"/>
      <c r="AN175" s="155"/>
    </row>
    <row r="181" spans="2:12" x14ac:dyDescent="0.2">
      <c r="B181" s="155"/>
      <c r="C181" s="155"/>
      <c r="D181" s="155"/>
      <c r="E181" s="155"/>
      <c r="F181" s="155"/>
      <c r="G181" s="155"/>
      <c r="H181" s="155"/>
      <c r="I181" s="155"/>
      <c r="J181" s="155"/>
      <c r="K181" s="155"/>
      <c r="L181" s="155"/>
    </row>
    <row r="182" spans="2:12" x14ac:dyDescent="0.2">
      <c r="B182" s="155"/>
      <c r="C182" s="155"/>
      <c r="D182" s="155"/>
      <c r="E182" s="576" t="s">
        <v>200</v>
      </c>
      <c r="F182" s="576"/>
      <c r="G182" s="576"/>
      <c r="H182" s="576"/>
      <c r="I182" s="155"/>
      <c r="J182" s="155"/>
      <c r="K182" s="155"/>
      <c r="L182" s="155"/>
    </row>
    <row r="183" spans="2:12" x14ac:dyDescent="0.2">
      <c r="B183" s="155"/>
      <c r="C183" s="155"/>
      <c r="D183" s="155"/>
      <c r="E183" s="155"/>
      <c r="F183" s="155"/>
      <c r="G183" s="155"/>
      <c r="H183" s="155"/>
      <c r="I183" s="155"/>
      <c r="J183" s="155"/>
      <c r="K183" s="155"/>
      <c r="L183" s="155"/>
    </row>
    <row r="184" spans="2:12" x14ac:dyDescent="0.2">
      <c r="B184" s="155"/>
      <c r="C184" s="151"/>
      <c r="D184" s="406" t="s">
        <v>192</v>
      </c>
      <c r="E184" s="151"/>
      <c r="F184" s="151"/>
      <c r="G184" s="155"/>
      <c r="H184" s="155"/>
      <c r="I184" s="151"/>
      <c r="J184" s="406" t="s">
        <v>192</v>
      </c>
      <c r="K184" s="151"/>
      <c r="L184" s="151"/>
    </row>
    <row r="185" spans="2:12" x14ac:dyDescent="0.2">
      <c r="B185" s="407" t="s">
        <v>201</v>
      </c>
      <c r="C185" s="408"/>
      <c r="D185" s="409" t="s">
        <v>202</v>
      </c>
      <c r="E185" s="410"/>
      <c r="F185" s="410"/>
      <c r="G185" s="408"/>
      <c r="H185" s="407" t="s">
        <v>201</v>
      </c>
      <c r="I185" s="408"/>
      <c r="J185" s="409" t="s">
        <v>203</v>
      </c>
      <c r="K185" s="410"/>
      <c r="L185" s="410"/>
    </row>
    <row r="186" spans="2:12" x14ac:dyDescent="0.2">
      <c r="D186" s="581" t="s">
        <v>395</v>
      </c>
      <c r="E186" s="581" t="s">
        <v>396</v>
      </c>
      <c r="J186" s="581" t="s">
        <v>194</v>
      </c>
      <c r="K186" s="581" t="s">
        <v>195</v>
      </c>
    </row>
    <row r="187" spans="2:12" x14ac:dyDescent="0.2">
      <c r="B187" s="407" t="s">
        <v>204</v>
      </c>
      <c r="C187" s="411" t="s">
        <v>54</v>
      </c>
      <c r="D187" s="582"/>
      <c r="E187" s="582"/>
      <c r="F187" s="411" t="s">
        <v>56</v>
      </c>
      <c r="G187" s="408"/>
      <c r="H187" s="407" t="s">
        <v>204</v>
      </c>
      <c r="I187" s="411" t="s">
        <v>54</v>
      </c>
      <c r="J187" s="582"/>
      <c r="K187" s="582"/>
      <c r="L187" s="411" t="s">
        <v>56</v>
      </c>
    </row>
    <row r="188" spans="2:12" x14ac:dyDescent="0.2">
      <c r="B188" s="408"/>
      <c r="C188" s="408"/>
      <c r="D188" s="408"/>
      <c r="E188" s="408"/>
      <c r="F188" s="408"/>
      <c r="G188" s="408"/>
      <c r="H188" s="408"/>
      <c r="I188" s="408"/>
      <c r="J188" s="408"/>
      <c r="K188" s="408"/>
      <c r="L188" s="408"/>
    </row>
    <row r="189" spans="2:12" x14ac:dyDescent="0.2">
      <c r="B189" s="151">
        <v>20</v>
      </c>
      <c r="C189" s="151">
        <v>20</v>
      </c>
      <c r="D189" s="151">
        <v>20</v>
      </c>
      <c r="E189" s="151">
        <v>22</v>
      </c>
      <c r="F189" s="151">
        <v>24</v>
      </c>
      <c r="G189" s="155"/>
      <c r="H189" s="246" t="s">
        <v>205</v>
      </c>
      <c r="I189" s="151">
        <v>2</v>
      </c>
      <c r="J189" s="151">
        <v>4</v>
      </c>
      <c r="K189" s="151">
        <v>6</v>
      </c>
      <c r="L189" s="151">
        <v>8</v>
      </c>
    </row>
    <row r="190" spans="2:12" x14ac:dyDescent="0.2">
      <c r="B190" s="151">
        <v>25</v>
      </c>
      <c r="C190" s="151">
        <v>20</v>
      </c>
      <c r="D190" s="151">
        <v>20</v>
      </c>
      <c r="E190" s="151">
        <v>22</v>
      </c>
      <c r="F190" s="151">
        <v>24</v>
      </c>
      <c r="G190" s="155"/>
      <c r="H190" s="151"/>
      <c r="I190" s="151"/>
      <c r="J190" s="151"/>
      <c r="K190" s="151"/>
      <c r="L190" s="151"/>
    </row>
    <row r="191" spans="2:12" x14ac:dyDescent="0.2">
      <c r="B191" s="151">
        <v>30</v>
      </c>
      <c r="C191" s="151">
        <v>20</v>
      </c>
      <c r="D191" s="151">
        <v>20</v>
      </c>
      <c r="E191" s="151">
        <v>22</v>
      </c>
      <c r="F191" s="151">
        <v>24</v>
      </c>
      <c r="G191" s="155"/>
      <c r="H191" s="151"/>
      <c r="I191" s="151"/>
      <c r="J191" s="151"/>
      <c r="K191" s="151"/>
      <c r="L191" s="151"/>
    </row>
    <row r="192" spans="2:12" x14ac:dyDescent="0.2">
      <c r="B192" s="141">
        <v>35</v>
      </c>
      <c r="C192" s="151">
        <v>20</v>
      </c>
      <c r="D192" s="151">
        <v>22</v>
      </c>
      <c r="E192" s="151">
        <v>22</v>
      </c>
      <c r="F192" s="151">
        <v>24</v>
      </c>
      <c r="G192" s="155"/>
      <c r="H192" s="141"/>
      <c r="I192" s="151"/>
      <c r="J192" s="151"/>
      <c r="K192" s="151"/>
      <c r="L192" s="151"/>
    </row>
    <row r="193" spans="2:12" x14ac:dyDescent="0.2">
      <c r="B193" s="151">
        <v>40</v>
      </c>
      <c r="C193" s="151">
        <v>20</v>
      </c>
      <c r="D193" s="151">
        <v>22</v>
      </c>
      <c r="E193" s="151">
        <v>22</v>
      </c>
      <c r="F193" s="151">
        <v>24</v>
      </c>
      <c r="G193" s="155"/>
      <c r="H193" s="151"/>
      <c r="I193" s="151"/>
      <c r="J193" s="151"/>
      <c r="K193" s="151"/>
      <c r="L193" s="151"/>
    </row>
    <row r="194" spans="2:12" x14ac:dyDescent="0.2">
      <c r="B194" s="151">
        <v>45</v>
      </c>
      <c r="C194" s="151">
        <v>20</v>
      </c>
      <c r="D194" s="151">
        <v>22</v>
      </c>
      <c r="E194" s="151">
        <v>22</v>
      </c>
      <c r="F194" s="151">
        <v>24</v>
      </c>
      <c r="G194" s="155"/>
      <c r="H194" s="151"/>
      <c r="I194" s="151"/>
      <c r="J194" s="151"/>
      <c r="K194" s="151"/>
      <c r="L194" s="151"/>
    </row>
    <row r="195" spans="2:12" x14ac:dyDescent="0.2">
      <c r="B195" s="151">
        <v>50</v>
      </c>
      <c r="C195" s="151">
        <v>20</v>
      </c>
      <c r="D195" s="151">
        <v>22</v>
      </c>
      <c r="E195" s="151">
        <v>22</v>
      </c>
      <c r="F195" s="151">
        <v>24</v>
      </c>
      <c r="G195" s="155"/>
      <c r="H195" s="151"/>
      <c r="I195" s="151"/>
      <c r="J195" s="151"/>
      <c r="K195" s="151"/>
      <c r="L195" s="151"/>
    </row>
    <row r="196" spans="2:12" x14ac:dyDescent="0.2">
      <c r="B196" s="151">
        <v>55</v>
      </c>
      <c r="C196" s="151">
        <v>22</v>
      </c>
      <c r="D196" s="151">
        <v>22</v>
      </c>
      <c r="E196" s="151">
        <v>24</v>
      </c>
      <c r="F196" s="151">
        <v>24</v>
      </c>
      <c r="G196" s="155"/>
      <c r="H196" s="151"/>
      <c r="I196" s="151"/>
      <c r="J196" s="151"/>
      <c r="K196" s="151"/>
      <c r="L196" s="151"/>
    </row>
    <row r="197" spans="2:12" x14ac:dyDescent="0.2">
      <c r="B197" s="151">
        <v>60</v>
      </c>
      <c r="C197" s="151">
        <v>22</v>
      </c>
      <c r="D197" s="151">
        <v>22</v>
      </c>
      <c r="E197" s="151">
        <v>24</v>
      </c>
      <c r="F197" s="151">
        <v>24</v>
      </c>
      <c r="G197" s="155"/>
      <c r="H197" s="151"/>
      <c r="I197" s="151"/>
      <c r="J197" s="151"/>
      <c r="K197" s="151"/>
      <c r="L197" s="151"/>
    </row>
    <row r="198" spans="2:12" x14ac:dyDescent="0.2">
      <c r="B198" s="155"/>
      <c r="C198" s="155"/>
      <c r="D198" s="155"/>
      <c r="E198" s="155"/>
      <c r="F198" s="155"/>
      <c r="G198" s="155"/>
      <c r="H198" s="155"/>
      <c r="I198" s="155"/>
      <c r="J198" s="155"/>
      <c r="K198" s="155"/>
      <c r="L198" s="155"/>
    </row>
    <row r="201" spans="2:12" x14ac:dyDescent="0.2">
      <c r="B201" s="155"/>
      <c r="C201" s="151"/>
      <c r="D201" s="406" t="s">
        <v>193</v>
      </c>
      <c r="E201" s="151"/>
      <c r="F201" s="151"/>
      <c r="G201" s="155"/>
      <c r="H201" s="155"/>
      <c r="I201" s="151"/>
      <c r="J201" s="406" t="s">
        <v>193</v>
      </c>
      <c r="K201" s="151"/>
      <c r="L201" s="151"/>
    </row>
    <row r="202" spans="2:12" x14ac:dyDescent="0.2">
      <c r="B202" s="412" t="s">
        <v>201</v>
      </c>
      <c r="C202" s="413"/>
      <c r="D202" s="414" t="s">
        <v>202</v>
      </c>
      <c r="E202" s="415"/>
      <c r="F202" s="415"/>
      <c r="G202" s="155"/>
      <c r="H202" s="412" t="s">
        <v>201</v>
      </c>
      <c r="I202" s="413"/>
      <c r="J202" s="414" t="s">
        <v>203</v>
      </c>
      <c r="K202" s="415"/>
      <c r="L202" s="415"/>
    </row>
    <row r="203" spans="2:12" x14ac:dyDescent="0.2">
      <c r="D203" s="577" t="s">
        <v>194</v>
      </c>
      <c r="E203" s="577" t="s">
        <v>195</v>
      </c>
      <c r="J203" s="577" t="s">
        <v>194</v>
      </c>
      <c r="K203" s="577" t="s">
        <v>195</v>
      </c>
    </row>
    <row r="204" spans="2:12" x14ac:dyDescent="0.2">
      <c r="B204" s="412" t="s">
        <v>204</v>
      </c>
      <c r="C204" s="416" t="s">
        <v>54</v>
      </c>
      <c r="D204" s="578"/>
      <c r="E204" s="578"/>
      <c r="F204" s="416" t="s">
        <v>56</v>
      </c>
      <c r="G204" s="155"/>
      <c r="H204" s="412" t="s">
        <v>204</v>
      </c>
      <c r="I204" s="416" t="s">
        <v>54</v>
      </c>
      <c r="J204" s="578"/>
      <c r="K204" s="578"/>
      <c r="L204" s="416" t="s">
        <v>56</v>
      </c>
    </row>
    <row r="205" spans="2:12" x14ac:dyDescent="0.2">
      <c r="B205" s="155"/>
      <c r="C205" s="155"/>
      <c r="D205" s="155"/>
      <c r="E205" s="155"/>
      <c r="F205" s="155"/>
      <c r="G205" s="155"/>
      <c r="H205" s="155"/>
      <c r="I205" s="155"/>
      <c r="J205" s="155"/>
      <c r="K205" s="155"/>
      <c r="L205" s="155"/>
    </row>
    <row r="206" spans="2:12" x14ac:dyDescent="0.2">
      <c r="B206" s="151">
        <v>40</v>
      </c>
      <c r="C206" s="151">
        <v>22</v>
      </c>
      <c r="D206" s="151">
        <v>22</v>
      </c>
      <c r="E206" s="151">
        <v>22</v>
      </c>
      <c r="F206" s="151">
        <v>24</v>
      </c>
      <c r="G206" s="155"/>
      <c r="H206" s="246" t="s">
        <v>205</v>
      </c>
      <c r="I206" s="151">
        <v>4</v>
      </c>
      <c r="J206" s="151">
        <v>6</v>
      </c>
      <c r="K206" s="151">
        <v>6</v>
      </c>
      <c r="L206" s="151">
        <v>8</v>
      </c>
    </row>
    <row r="207" spans="2:12" x14ac:dyDescent="0.2">
      <c r="B207" s="151">
        <v>45</v>
      </c>
      <c r="C207" s="151">
        <v>22</v>
      </c>
      <c r="D207" s="151">
        <v>22</v>
      </c>
      <c r="E207" s="151">
        <v>22</v>
      </c>
      <c r="F207" s="151">
        <v>24</v>
      </c>
      <c r="G207" s="155"/>
      <c r="H207" s="151"/>
      <c r="I207" s="151"/>
      <c r="J207" s="151"/>
      <c r="K207" s="151"/>
      <c r="L207" s="151"/>
    </row>
    <row r="208" spans="2:12" x14ac:dyDescent="0.2">
      <c r="B208" s="151">
        <v>50</v>
      </c>
      <c r="C208" s="151">
        <v>22</v>
      </c>
      <c r="D208" s="151">
        <v>22</v>
      </c>
      <c r="E208" s="151">
        <v>24</v>
      </c>
      <c r="F208" s="151">
        <v>24</v>
      </c>
      <c r="G208" s="155"/>
      <c r="H208" s="151"/>
      <c r="I208" s="151"/>
      <c r="J208" s="151"/>
      <c r="K208" s="151"/>
      <c r="L208" s="151"/>
    </row>
    <row r="209" spans="2:12" x14ac:dyDescent="0.2">
      <c r="B209" s="151">
        <v>55</v>
      </c>
      <c r="C209" s="151">
        <v>22</v>
      </c>
      <c r="D209" s="151">
        <v>22</v>
      </c>
      <c r="E209" s="151">
        <v>24</v>
      </c>
      <c r="F209" s="151">
        <v>24</v>
      </c>
      <c r="G209" s="155"/>
      <c r="H209" s="151"/>
      <c r="I209" s="151"/>
      <c r="J209" s="151"/>
      <c r="K209" s="151"/>
      <c r="L209" s="151"/>
    </row>
    <row r="210" spans="2:12" x14ac:dyDescent="0.2">
      <c r="B210" s="151">
        <v>60</v>
      </c>
      <c r="C210" s="151">
        <v>24</v>
      </c>
      <c r="D210" s="151">
        <v>24</v>
      </c>
      <c r="E210" s="151">
        <v>24</v>
      </c>
      <c r="F210" s="151">
        <v>24</v>
      </c>
      <c r="G210" s="155"/>
      <c r="H210" s="151"/>
      <c r="I210" s="151"/>
      <c r="J210" s="151"/>
      <c r="K210" s="151"/>
      <c r="L210" s="151"/>
    </row>
    <row r="211" spans="2:12" x14ac:dyDescent="0.2">
      <c r="B211" s="151">
        <v>65</v>
      </c>
      <c r="C211" s="151">
        <v>24</v>
      </c>
      <c r="D211" s="151">
        <v>24</v>
      </c>
      <c r="E211" s="151">
        <v>24</v>
      </c>
      <c r="F211" s="151">
        <v>24</v>
      </c>
      <c r="G211" s="155"/>
      <c r="H211" s="151"/>
      <c r="I211" s="151"/>
      <c r="J211" s="151"/>
      <c r="K211" s="151"/>
      <c r="L211" s="151"/>
    </row>
    <row r="212" spans="2:12" x14ac:dyDescent="0.2">
      <c r="B212" s="151">
        <v>70</v>
      </c>
      <c r="C212" s="151">
        <v>24</v>
      </c>
      <c r="D212" s="151">
        <v>24</v>
      </c>
      <c r="E212" s="151">
        <v>24</v>
      </c>
      <c r="F212" s="151">
        <v>24</v>
      </c>
      <c r="G212" s="155"/>
      <c r="H212" s="151"/>
      <c r="I212" s="151"/>
      <c r="J212" s="151"/>
      <c r="K212" s="151"/>
      <c r="L212" s="151"/>
    </row>
    <row r="213" spans="2:12" x14ac:dyDescent="0.2">
      <c r="B213" s="151">
        <v>75</v>
      </c>
      <c r="C213" s="151">
        <v>24</v>
      </c>
      <c r="D213" s="151">
        <v>24</v>
      </c>
      <c r="E213" s="151">
        <v>24</v>
      </c>
      <c r="F213" s="151">
        <v>24</v>
      </c>
      <c r="G213" s="155"/>
      <c r="H213" s="151"/>
      <c r="I213" s="151"/>
      <c r="J213" s="151"/>
      <c r="K213" s="151"/>
      <c r="L213" s="151"/>
    </row>
  </sheetData>
  <sheetProtection algorithmName="SHA-512" hashValue="FRNXqX+kEgLwf8CbCq5m95RbifIJ+0p66pEJzNG23vUueSWVSnuk01zaDiFwg3CCqib8gIzJavUpTTwoYcM/CQ==" saltValue="uSjPB1OQ6Mvfd5mBmCSmcg==" spinCount="100000" sheet="1" selectLockedCells="1"/>
  <mergeCells count="35">
    <mergeCell ref="D203:D204"/>
    <mergeCell ref="D186:D187"/>
    <mergeCell ref="E186:E187"/>
    <mergeCell ref="J203:J204"/>
    <mergeCell ref="K203:K204"/>
    <mergeCell ref="J186:J187"/>
    <mergeCell ref="K186:K187"/>
    <mergeCell ref="AJ169:AM169"/>
    <mergeCell ref="M10:P10"/>
    <mergeCell ref="E182:H182"/>
    <mergeCell ref="E203:E204"/>
    <mergeCell ref="AE160:AE161"/>
    <mergeCell ref="AF160:AF161"/>
    <mergeCell ref="AE170:AE171"/>
    <mergeCell ref="AF170:AF171"/>
    <mergeCell ref="AK170:AK171"/>
    <mergeCell ref="AK160:AK161"/>
    <mergeCell ref="AD169:AF169"/>
    <mergeCell ref="U61:W63"/>
    <mergeCell ref="H10:J10"/>
    <mergeCell ref="C4:E4"/>
    <mergeCell ref="F6:H6"/>
    <mergeCell ref="K14:L14"/>
    <mergeCell ref="R77:R80"/>
    <mergeCell ref="A49:A77"/>
    <mergeCell ref="K15:L15"/>
    <mergeCell ref="L35:M35"/>
    <mergeCell ref="A157:A170"/>
    <mergeCell ref="A101:A144"/>
    <mergeCell ref="C15:C18"/>
    <mergeCell ref="D15:E15"/>
    <mergeCell ref="I44:J44"/>
    <mergeCell ref="I45:J45"/>
    <mergeCell ref="I46:J46"/>
    <mergeCell ref="I42:J42"/>
  </mergeCells>
  <conditionalFormatting sqref="K32 K34:K35 N15 O13">
    <cfRule type="expression" dxfId="4" priority="7" stopIfTrue="1">
      <formula>ISERROR($C$100)</formula>
    </cfRule>
  </conditionalFormatting>
  <conditionalFormatting sqref="M30:M34 K29 P29">
    <cfRule type="expression" dxfId="3" priority="8" stopIfTrue="1">
      <formula>ISERROR($E$147)</formula>
    </cfRule>
  </conditionalFormatting>
  <conditionalFormatting sqref="F19:F28">
    <cfRule type="expression" dxfId="2" priority="9" stopIfTrue="1">
      <formula>ISERROR($M$71)</formula>
    </cfRule>
  </conditionalFormatting>
  <conditionalFormatting sqref="I30">
    <cfRule type="expression" dxfId="1" priority="4" stopIfTrue="1">
      <formula>ISERROR($E$147)</formula>
    </cfRule>
  </conditionalFormatting>
  <conditionalFormatting sqref="K14:L14">
    <cfRule type="containsErrors" dxfId="0" priority="1">
      <formula>ISERROR(K14)</formula>
    </cfRule>
  </conditionalFormatting>
  <hyperlinks>
    <hyperlink ref="L35" location="'3R'!A182" display="3R" xr:uid="{00000000-0004-0000-0300-000000000000}"/>
    <hyperlink ref="D15" location="Geometry!A47" display="See below" xr:uid="{00000000-0004-0000-0300-000001000000}"/>
    <hyperlink ref="K15" location="'3R'!A146" display="3R" xr:uid="{00000000-0004-0000-0300-000002000000}"/>
    <hyperlink ref="K15:L15" location="Geometry!A101" display="See below" xr:uid="{00000000-0004-0000-0300-000003000000}"/>
    <hyperlink ref="D15:E15" location="Geometry!A49" display="See below" xr:uid="{00000000-0004-0000-0300-000004000000}"/>
    <hyperlink ref="L35:M35" location="Geometry!A157" display="See Below" xr:uid="{00000000-0004-0000-0300-000005000000}"/>
  </hyperlinks>
  <pageMargins left="0.7" right="0.7" top="0.75" bottom="0.75" header="0.3" footer="0.3"/>
  <pageSetup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W55"/>
  <sheetViews>
    <sheetView showGridLines="0" zoomScale="84" zoomScaleNormal="84" workbookViewId="0">
      <selection activeCell="I49" sqref="I49"/>
    </sheetView>
  </sheetViews>
  <sheetFormatPr defaultRowHeight="12.75" x14ac:dyDescent="0.2"/>
  <cols>
    <col min="1" max="1" width="9.140625" style="142"/>
    <col min="2" max="2" width="3.85546875" style="142" customWidth="1"/>
    <col min="3" max="11" width="9.140625" style="142"/>
    <col min="12" max="12" width="9.85546875" style="142" customWidth="1"/>
    <col min="13" max="16384" width="9.140625" style="142"/>
  </cols>
  <sheetData>
    <row r="1" spans="2:23" ht="12.75" customHeight="1" x14ac:dyDescent="0.35">
      <c r="B1" s="150"/>
      <c r="D1" s="155"/>
      <c r="E1" s="166"/>
      <c r="F1" s="166"/>
      <c r="G1" s="166"/>
      <c r="H1" s="166"/>
      <c r="I1" s="166"/>
    </row>
    <row r="2" spans="2:23" ht="13.5" thickBot="1" x14ac:dyDescent="0.25">
      <c r="B2" s="139"/>
      <c r="C2" s="140"/>
      <c r="G2" s="138"/>
      <c r="H2" s="140"/>
      <c r="I2" s="140"/>
      <c r="J2" s="138"/>
      <c r="K2" s="138"/>
    </row>
    <row r="3" spans="2:23" x14ac:dyDescent="0.2">
      <c r="B3" s="417"/>
      <c r="C3" s="102"/>
      <c r="D3" s="76"/>
      <c r="E3" s="76"/>
      <c r="F3" s="76"/>
      <c r="G3" s="76"/>
      <c r="H3" s="103"/>
      <c r="I3" s="103"/>
      <c r="J3" s="76"/>
      <c r="K3" s="76"/>
      <c r="L3" s="77"/>
    </row>
    <row r="4" spans="2:23" ht="23.25" x14ac:dyDescent="0.35">
      <c r="B4" s="230"/>
      <c r="C4" s="45"/>
      <c r="D4" s="45"/>
      <c r="E4" s="45"/>
      <c r="F4" s="45"/>
      <c r="G4" s="45"/>
      <c r="H4" s="45"/>
      <c r="I4" s="45"/>
      <c r="J4" s="45"/>
      <c r="K4" s="45"/>
      <c r="L4" s="79"/>
      <c r="P4" s="586" t="s">
        <v>285</v>
      </c>
      <c r="Q4" s="586"/>
      <c r="R4" s="586"/>
      <c r="S4" s="586"/>
      <c r="T4" s="586"/>
      <c r="U4" s="586"/>
      <c r="V4" s="60"/>
      <c r="W4" s="29"/>
    </row>
    <row r="5" spans="2:23" ht="23.25" x14ac:dyDescent="0.35">
      <c r="B5" s="230"/>
      <c r="C5" s="45"/>
      <c r="D5" s="55"/>
      <c r="E5" s="55"/>
      <c r="F5" s="45"/>
      <c r="G5" s="45"/>
      <c r="H5" s="45"/>
      <c r="I5" s="45"/>
      <c r="J5" s="45"/>
      <c r="K5" s="45"/>
      <c r="L5" s="79"/>
      <c r="P5" s="586"/>
      <c r="Q5" s="586"/>
      <c r="R5" s="586"/>
      <c r="S5" s="586"/>
      <c r="T5" s="586"/>
      <c r="U5" s="586"/>
      <c r="V5" s="60"/>
      <c r="W5" s="29"/>
    </row>
    <row r="6" spans="2:23" x14ac:dyDescent="0.2">
      <c r="B6" s="230"/>
      <c r="C6" s="104" t="s">
        <v>262</v>
      </c>
      <c r="D6" s="21"/>
      <c r="E6" s="21"/>
      <c r="F6" s="21"/>
      <c r="G6" s="105"/>
      <c r="H6" s="21"/>
      <c r="I6" s="45"/>
      <c r="J6" s="104"/>
      <c r="K6" s="45"/>
      <c r="L6" s="108"/>
      <c r="P6" s="29"/>
      <c r="Q6" s="29"/>
      <c r="R6" s="29"/>
      <c r="S6" s="29"/>
      <c r="T6" s="29"/>
      <c r="U6" s="29"/>
      <c r="V6" s="29"/>
      <c r="W6" s="29"/>
    </row>
    <row r="7" spans="2:23" x14ac:dyDescent="0.2">
      <c r="B7" s="170"/>
      <c r="C7" s="106" t="s">
        <v>247</v>
      </c>
      <c r="D7" s="21"/>
      <c r="E7" s="21"/>
      <c r="F7" s="21"/>
      <c r="G7" s="105"/>
      <c r="H7" s="21"/>
      <c r="I7" s="45"/>
      <c r="J7" s="61"/>
      <c r="K7" s="45"/>
      <c r="L7" s="108"/>
      <c r="P7" s="28"/>
      <c r="Q7" s="584" t="s">
        <v>227</v>
      </c>
      <c r="R7" s="584"/>
      <c r="S7" s="584"/>
      <c r="T7" s="584"/>
      <c r="U7" s="29"/>
      <c r="V7" s="29"/>
      <c r="W7" s="29"/>
    </row>
    <row r="8" spans="2:23" x14ac:dyDescent="0.2">
      <c r="B8" s="170"/>
      <c r="C8" s="106"/>
      <c r="D8" s="21"/>
      <c r="E8" s="21"/>
      <c r="F8" s="21"/>
      <c r="G8" s="105"/>
      <c r="H8" s="21"/>
      <c r="I8" s="45"/>
      <c r="J8" s="61"/>
      <c r="K8" s="45"/>
      <c r="L8" s="108"/>
      <c r="P8" s="28"/>
      <c r="Q8" s="28"/>
      <c r="R8" s="28"/>
      <c r="S8" s="28"/>
      <c r="T8" s="29"/>
      <c r="U8" s="29"/>
      <c r="V8" s="29"/>
      <c r="W8" s="29"/>
    </row>
    <row r="9" spans="2:23" x14ac:dyDescent="0.2">
      <c r="B9" s="170"/>
      <c r="C9" s="21"/>
      <c r="D9" s="21"/>
      <c r="E9" s="21"/>
      <c r="F9" s="21"/>
      <c r="G9" s="9" t="s">
        <v>257</v>
      </c>
      <c r="H9" s="21"/>
      <c r="I9" s="45"/>
      <c r="J9" s="107"/>
      <c r="K9" s="45"/>
      <c r="L9" s="117"/>
      <c r="P9" s="28" t="s">
        <v>286</v>
      </c>
      <c r="Q9" s="28"/>
      <c r="R9" s="28"/>
      <c r="S9" s="28"/>
      <c r="T9" s="28"/>
      <c r="U9" s="28"/>
      <c r="V9" s="28"/>
      <c r="W9" s="28"/>
    </row>
    <row r="10" spans="2:23" x14ac:dyDescent="0.2">
      <c r="B10" s="170"/>
      <c r="C10" s="21"/>
      <c r="D10" s="21"/>
      <c r="E10" s="21"/>
      <c r="F10" s="21"/>
      <c r="G10" s="9" t="s">
        <v>258</v>
      </c>
      <c r="H10" s="45" t="s">
        <v>141</v>
      </c>
      <c r="I10" s="45"/>
      <c r="J10" s="107"/>
      <c r="K10" s="45"/>
      <c r="L10" s="117"/>
      <c r="P10" s="29" t="s">
        <v>287</v>
      </c>
      <c r="Q10" s="29"/>
      <c r="R10" s="29"/>
      <c r="S10" s="29"/>
      <c r="T10" s="28"/>
      <c r="U10" s="28"/>
      <c r="V10" s="28"/>
      <c r="W10" s="28"/>
    </row>
    <row r="11" spans="2:23" x14ac:dyDescent="0.2">
      <c r="B11" s="171">
        <v>1</v>
      </c>
      <c r="C11" s="13" t="s">
        <v>249</v>
      </c>
      <c r="D11" s="110"/>
      <c r="E11" s="111"/>
      <c r="F11" s="21"/>
      <c r="G11" s="37"/>
      <c r="H11" s="22" t="str">
        <f>IF(G11&lt;&gt;0,10,"")</f>
        <v/>
      </c>
      <c r="I11" s="45"/>
      <c r="J11" s="107"/>
      <c r="K11" s="45"/>
      <c r="L11" s="172"/>
      <c r="P11" s="29" t="s">
        <v>288</v>
      </c>
      <c r="Q11" s="29"/>
      <c r="R11" s="29"/>
      <c r="S11" s="29"/>
      <c r="T11" s="28"/>
      <c r="U11" s="28"/>
      <c r="V11" s="28"/>
      <c r="W11" s="28"/>
    </row>
    <row r="12" spans="2:23" x14ac:dyDescent="0.2">
      <c r="B12" s="171">
        <v>2</v>
      </c>
      <c r="C12" s="13" t="s">
        <v>248</v>
      </c>
      <c r="D12" s="110"/>
      <c r="E12" s="111"/>
      <c r="F12" s="21"/>
      <c r="G12" s="37"/>
      <c r="H12" s="38" t="str">
        <f>IF(G12&lt;&gt;0,5,"")</f>
        <v/>
      </c>
      <c r="I12" s="58"/>
      <c r="J12" s="110"/>
      <c r="K12" s="58"/>
      <c r="L12" s="173"/>
      <c r="P12" s="28"/>
      <c r="Q12" s="28"/>
      <c r="R12" s="28"/>
      <c r="S12" s="587" t="s">
        <v>289</v>
      </c>
      <c r="T12" s="588"/>
      <c r="U12" s="588"/>
      <c r="V12" s="28"/>
      <c r="W12" s="28"/>
    </row>
    <row r="13" spans="2:23" x14ac:dyDescent="0.2">
      <c r="B13" s="171">
        <v>3</v>
      </c>
      <c r="C13" s="13" t="s">
        <v>250</v>
      </c>
      <c r="D13" s="110"/>
      <c r="E13" s="111"/>
      <c r="F13" s="21"/>
      <c r="G13" s="167"/>
      <c r="H13" s="39" t="str">
        <f>IF(G13="New",5,I13)</f>
        <v/>
      </c>
      <c r="I13" s="109" t="str">
        <f>IF(G13="upgrade",2,"")</f>
        <v/>
      </c>
      <c r="J13" s="112" t="s">
        <v>261</v>
      </c>
      <c r="K13" s="113"/>
      <c r="L13" s="173"/>
      <c r="P13" s="30" t="s">
        <v>72</v>
      </c>
      <c r="Q13" s="28"/>
      <c r="R13" s="28"/>
      <c r="S13" s="588"/>
      <c r="T13" s="588"/>
      <c r="U13" s="588"/>
      <c r="V13" s="227" t="s">
        <v>149</v>
      </c>
      <c r="W13" s="28"/>
    </row>
    <row r="14" spans="2:23" x14ac:dyDescent="0.2">
      <c r="B14" s="171">
        <v>4</v>
      </c>
      <c r="C14" s="13" t="s">
        <v>251</v>
      </c>
      <c r="D14" s="110"/>
      <c r="E14" s="111"/>
      <c r="F14" s="21"/>
      <c r="G14" s="37"/>
      <c r="H14" s="39" t="str">
        <f>IF(G14&lt;&gt;0,4,"")</f>
        <v/>
      </c>
      <c r="I14" s="114"/>
      <c r="J14" s="69" t="s">
        <v>305</v>
      </c>
      <c r="K14" s="113"/>
      <c r="L14" s="174"/>
      <c r="P14" s="28"/>
      <c r="Q14" s="28"/>
      <c r="R14" s="28"/>
      <c r="S14" s="28"/>
      <c r="T14" s="28"/>
      <c r="U14" s="28"/>
      <c r="V14" s="228"/>
      <c r="W14" s="28"/>
    </row>
    <row r="15" spans="2:23" x14ac:dyDescent="0.2">
      <c r="B15" s="171">
        <v>5</v>
      </c>
      <c r="C15" s="13" t="s">
        <v>252</v>
      </c>
      <c r="D15" s="110"/>
      <c r="E15" s="111"/>
      <c r="F15" s="21"/>
      <c r="G15" s="37"/>
      <c r="H15" s="40" t="str">
        <f>IF(G15&lt;&gt;0,10,"")</f>
        <v/>
      </c>
      <c r="I15" s="115"/>
      <c r="J15" s="116"/>
      <c r="K15" s="113"/>
      <c r="L15" s="175"/>
      <c r="P15" s="31" t="s">
        <v>363</v>
      </c>
      <c r="Q15" s="28"/>
      <c r="R15" s="28"/>
      <c r="S15" s="28"/>
      <c r="T15" s="29"/>
      <c r="U15" s="28"/>
      <c r="V15" s="29"/>
      <c r="W15" s="28"/>
    </row>
    <row r="16" spans="2:23" x14ac:dyDescent="0.2">
      <c r="B16" s="171">
        <v>6</v>
      </c>
      <c r="C16" s="13" t="s">
        <v>253</v>
      </c>
      <c r="D16" s="110"/>
      <c r="E16" s="111"/>
      <c r="F16" s="21"/>
      <c r="G16" s="37"/>
      <c r="H16" s="41" t="str">
        <f>IF(G16&lt;&gt;0,5,"")</f>
        <v/>
      </c>
      <c r="I16" s="109"/>
      <c r="J16" s="112" t="s">
        <v>259</v>
      </c>
      <c r="K16" s="113"/>
      <c r="L16" s="175"/>
      <c r="P16" s="585" t="s">
        <v>290</v>
      </c>
      <c r="Q16" s="585"/>
      <c r="R16" s="585"/>
      <c r="S16" s="29"/>
      <c r="T16" s="32">
        <v>10</v>
      </c>
      <c r="U16" s="28"/>
      <c r="V16" s="228">
        <v>10</v>
      </c>
      <c r="W16" s="28"/>
    </row>
    <row r="17" spans="2:23" x14ac:dyDescent="0.2">
      <c r="B17" s="171">
        <v>7</v>
      </c>
      <c r="C17" s="13" t="s">
        <v>254</v>
      </c>
      <c r="D17" s="110"/>
      <c r="E17" s="110"/>
      <c r="F17" s="21"/>
      <c r="G17" s="37"/>
      <c r="H17" s="42" t="str">
        <f>IF(G17&lt;&gt;0,10,"")</f>
        <v/>
      </c>
      <c r="I17" s="113"/>
      <c r="J17" s="112" t="s">
        <v>260</v>
      </c>
      <c r="K17" s="112"/>
      <c r="L17" s="176"/>
      <c r="P17" s="585"/>
      <c r="Q17" s="585"/>
      <c r="R17" s="585"/>
      <c r="S17" s="29"/>
      <c r="T17" s="32"/>
      <c r="U17" s="28"/>
      <c r="V17" s="228"/>
      <c r="W17" s="28"/>
    </row>
    <row r="18" spans="2:23" x14ac:dyDescent="0.2">
      <c r="B18" s="177"/>
      <c r="C18" s="110"/>
      <c r="D18" s="110"/>
      <c r="E18" s="110"/>
      <c r="F18" s="54" t="s">
        <v>255</v>
      </c>
      <c r="G18" s="50">
        <v>10</v>
      </c>
      <c r="H18" s="23">
        <f>IF(SUM(H11:H17)&gt;10,10,SUM(H11:H17))</f>
        <v>0</v>
      </c>
      <c r="I18" s="45" t="s">
        <v>256</v>
      </c>
      <c r="J18" s="45"/>
      <c r="K18" s="28"/>
      <c r="L18" s="178"/>
      <c r="P18" s="585"/>
      <c r="Q18" s="585"/>
      <c r="R18" s="585"/>
      <c r="S18" s="29"/>
      <c r="T18" s="28" t="s">
        <v>291</v>
      </c>
      <c r="U18" s="28"/>
      <c r="V18" s="228"/>
      <c r="W18" s="28"/>
    </row>
    <row r="19" spans="2:23" x14ac:dyDescent="0.2">
      <c r="B19" s="129"/>
      <c r="C19" s="21"/>
      <c r="D19" s="21"/>
      <c r="E19" s="21"/>
      <c r="F19" s="21"/>
      <c r="G19" s="21"/>
      <c r="H19" s="21" t="s">
        <v>333</v>
      </c>
      <c r="I19" s="21"/>
      <c r="J19" s="28"/>
      <c r="K19" s="45"/>
      <c r="L19" s="117"/>
      <c r="P19" s="585"/>
      <c r="Q19" s="585"/>
      <c r="R19" s="585"/>
      <c r="S19" s="29"/>
      <c r="T19" s="33" t="s">
        <v>292</v>
      </c>
      <c r="U19" s="28"/>
      <c r="V19" s="228"/>
      <c r="W19" s="28"/>
    </row>
    <row r="20" spans="2:23" x14ac:dyDescent="0.2">
      <c r="B20" s="129"/>
      <c r="C20" s="21"/>
      <c r="D20" s="21"/>
      <c r="E20" s="21"/>
      <c r="F20" s="21"/>
      <c r="G20" s="21"/>
      <c r="H20" s="21"/>
      <c r="I20" s="21"/>
      <c r="J20" s="45"/>
      <c r="K20" s="45"/>
      <c r="L20" s="117"/>
      <c r="P20" s="585"/>
      <c r="Q20" s="585"/>
      <c r="R20" s="585"/>
      <c r="S20" s="29"/>
      <c r="T20" s="33" t="s">
        <v>293</v>
      </c>
      <c r="U20" s="28"/>
      <c r="V20" s="228"/>
      <c r="W20" s="28"/>
    </row>
    <row r="21" spans="2:23" x14ac:dyDescent="0.2">
      <c r="B21" s="78"/>
      <c r="C21" s="57"/>
      <c r="D21" s="45"/>
      <c r="E21" s="45"/>
      <c r="F21" s="45"/>
      <c r="G21" s="45"/>
      <c r="H21" s="45"/>
      <c r="I21" s="45"/>
      <c r="J21" s="45"/>
      <c r="K21" s="45"/>
      <c r="L21" s="117"/>
      <c r="P21" s="585"/>
      <c r="Q21" s="585"/>
      <c r="R21" s="585"/>
      <c r="S21" s="29"/>
      <c r="T21" s="32"/>
      <c r="U21" s="28"/>
      <c r="V21" s="228"/>
      <c r="W21" s="28"/>
    </row>
    <row r="22" spans="2:23" x14ac:dyDescent="0.2">
      <c r="B22" s="78"/>
      <c r="C22" s="45"/>
      <c r="D22" s="45"/>
      <c r="E22" s="45"/>
      <c r="F22" s="45"/>
      <c r="G22" s="45"/>
      <c r="H22" s="45"/>
      <c r="I22" s="45"/>
      <c r="J22" s="45"/>
      <c r="K22" s="45"/>
      <c r="L22" s="79"/>
      <c r="P22" s="585"/>
      <c r="Q22" s="585"/>
      <c r="R22" s="585"/>
      <c r="S22" s="29"/>
      <c r="T22" s="29"/>
      <c r="U22" s="29"/>
      <c r="V22" s="29"/>
      <c r="W22" s="28"/>
    </row>
    <row r="23" spans="2:23" x14ac:dyDescent="0.2">
      <c r="B23" s="230"/>
      <c r="C23" s="104" t="s">
        <v>263</v>
      </c>
      <c r="D23" s="45"/>
      <c r="E23" s="45"/>
      <c r="F23" s="45"/>
      <c r="G23" s="524" t="s">
        <v>409</v>
      </c>
      <c r="H23" s="45"/>
      <c r="I23" s="45"/>
      <c r="J23" s="45"/>
      <c r="K23" s="45"/>
      <c r="L23" s="79"/>
      <c r="P23" s="29"/>
      <c r="Q23" s="29"/>
      <c r="R23" s="29"/>
      <c r="S23" s="29"/>
      <c r="T23" s="29"/>
      <c r="U23" s="29"/>
      <c r="V23" s="29"/>
      <c r="W23" s="29"/>
    </row>
    <row r="24" spans="2:23" x14ac:dyDescent="0.2">
      <c r="B24" s="78"/>
      <c r="C24" s="118"/>
      <c r="D24" s="119"/>
      <c r="E24" s="119"/>
      <c r="F24" s="119"/>
      <c r="G24" s="168" t="s">
        <v>255</v>
      </c>
      <c r="H24" s="168" t="s">
        <v>264</v>
      </c>
      <c r="I24" s="9"/>
      <c r="J24" s="45"/>
      <c r="K24" s="45"/>
      <c r="L24" s="178"/>
      <c r="P24" s="34" t="s">
        <v>297</v>
      </c>
      <c r="Q24" s="28"/>
      <c r="R24" s="28"/>
      <c r="S24" s="28"/>
      <c r="T24" s="28"/>
      <c r="U24" s="28"/>
      <c r="V24" s="29"/>
      <c r="W24" s="28"/>
    </row>
    <row r="25" spans="2:23" x14ac:dyDescent="0.2">
      <c r="B25" s="179"/>
      <c r="C25" s="84"/>
      <c r="D25" s="45"/>
      <c r="E25" s="45"/>
      <c r="F25" s="84"/>
      <c r="G25" s="47" t="s">
        <v>24</v>
      </c>
      <c r="H25" s="47" t="s">
        <v>24</v>
      </c>
      <c r="I25" s="9"/>
      <c r="J25" s="120" t="s">
        <v>265</v>
      </c>
      <c r="K25" s="45"/>
      <c r="L25" s="178"/>
      <c r="P25" s="585" t="s">
        <v>294</v>
      </c>
      <c r="Q25" s="585"/>
      <c r="R25" s="585"/>
      <c r="S25" s="29"/>
      <c r="T25" s="32">
        <v>10</v>
      </c>
      <c r="U25" s="28"/>
      <c r="V25" s="228">
        <v>10</v>
      </c>
      <c r="W25" s="28"/>
    </row>
    <row r="26" spans="2:23" x14ac:dyDescent="0.2">
      <c r="B26" s="180"/>
      <c r="C26" s="84"/>
      <c r="D26" s="45"/>
      <c r="E26" s="84"/>
      <c r="F26" s="84"/>
      <c r="G26" s="27"/>
      <c r="H26" s="225"/>
      <c r="I26" s="225"/>
      <c r="J26" s="45"/>
      <c r="K26" s="45"/>
      <c r="L26" s="178"/>
      <c r="P26" s="585"/>
      <c r="Q26" s="585"/>
      <c r="R26" s="585"/>
      <c r="S26" s="29"/>
      <c r="T26" s="32"/>
      <c r="U26" s="28"/>
      <c r="V26" s="228"/>
      <c r="W26" s="28"/>
    </row>
    <row r="27" spans="2:23" x14ac:dyDescent="0.2">
      <c r="B27" s="181">
        <v>1</v>
      </c>
      <c r="C27" s="110" t="s">
        <v>402</v>
      </c>
      <c r="D27" s="121"/>
      <c r="E27" s="84"/>
      <c r="F27" s="84"/>
      <c r="G27" s="226">
        <v>10</v>
      </c>
      <c r="H27" s="72">
        <f>IF('3R Rating Summary'!D11=0,0,IF(((I27/'3R Rating Summary'!D11)*10)&gt;10,10,(I27/'3R Rating Summary'!D11)*10))</f>
        <v>0</v>
      </c>
      <c r="I27" s="7"/>
      <c r="J27" s="45" t="s">
        <v>266</v>
      </c>
      <c r="K27" s="45"/>
      <c r="L27" s="178"/>
      <c r="P27" s="585"/>
      <c r="Q27" s="585"/>
      <c r="R27" s="585"/>
      <c r="S27" s="29"/>
      <c r="T27" s="32"/>
      <c r="U27" s="28"/>
      <c r="V27" s="228"/>
      <c r="W27" s="28"/>
    </row>
    <row r="28" spans="2:23" x14ac:dyDescent="0.2">
      <c r="B28" s="182"/>
      <c r="C28" s="583" t="s">
        <v>267</v>
      </c>
      <c r="D28" s="583"/>
      <c r="E28" s="589" t="s">
        <v>403</v>
      </c>
      <c r="F28" s="589"/>
      <c r="G28" s="27"/>
      <c r="H28" s="73"/>
      <c r="I28" s="48" t="s">
        <v>269</v>
      </c>
      <c r="J28" s="45" t="s">
        <v>268</v>
      </c>
      <c r="K28" s="45"/>
      <c r="L28" s="178"/>
      <c r="P28" s="585"/>
      <c r="Q28" s="585"/>
      <c r="R28" s="585"/>
      <c r="S28" s="29"/>
      <c r="T28" s="32"/>
      <c r="U28" s="28"/>
      <c r="V28" s="228"/>
      <c r="W28" s="28"/>
    </row>
    <row r="29" spans="2:23" x14ac:dyDescent="0.2">
      <c r="B29" s="182"/>
      <c r="C29" s="583"/>
      <c r="D29" s="583"/>
      <c r="E29" s="589"/>
      <c r="F29" s="589"/>
      <c r="G29" s="27"/>
      <c r="H29" s="9"/>
      <c r="I29" s="67" t="s">
        <v>342</v>
      </c>
      <c r="J29" s="123"/>
      <c r="K29" s="45"/>
      <c r="L29" s="178"/>
      <c r="P29" s="585"/>
      <c r="Q29" s="585"/>
      <c r="R29" s="585"/>
      <c r="S29" s="29"/>
      <c r="T29" s="29"/>
      <c r="U29" s="29"/>
      <c r="V29" s="29"/>
      <c r="W29" s="28"/>
    </row>
    <row r="30" spans="2:23" x14ac:dyDescent="0.2">
      <c r="B30" s="182"/>
      <c r="C30" s="21" t="s">
        <v>270</v>
      </c>
      <c r="D30" s="21"/>
      <c r="E30" s="26"/>
      <c r="F30" s="26"/>
      <c r="G30" s="27"/>
      <c r="H30" s="9"/>
      <c r="I30" s="9"/>
      <c r="J30" s="45"/>
      <c r="K30" s="45"/>
      <c r="L30" s="178"/>
      <c r="P30" s="29"/>
      <c r="Q30" s="29"/>
      <c r="R30" s="29"/>
      <c r="S30" s="29"/>
      <c r="T30" s="29"/>
      <c r="U30" s="29"/>
      <c r="V30" s="29"/>
      <c r="W30" s="29"/>
    </row>
    <row r="31" spans="2:23" x14ac:dyDescent="0.2">
      <c r="B31" s="182"/>
      <c r="C31" s="21"/>
      <c r="D31" s="21"/>
      <c r="E31" s="26"/>
      <c r="F31" s="26"/>
      <c r="G31" s="27"/>
      <c r="H31" s="9"/>
      <c r="I31" s="9"/>
      <c r="J31" s="45"/>
      <c r="K31" s="45"/>
      <c r="L31" s="178"/>
      <c r="P31" s="34" t="s">
        <v>298</v>
      </c>
      <c r="Q31" s="28"/>
      <c r="R31" s="28"/>
      <c r="S31" s="28"/>
      <c r="T31" s="29"/>
      <c r="U31" s="28"/>
      <c r="V31" s="29"/>
      <c r="W31" s="28"/>
    </row>
    <row r="32" spans="2:23" x14ac:dyDescent="0.2">
      <c r="B32" s="183"/>
      <c r="C32" s="45"/>
      <c r="D32" s="45"/>
      <c r="E32" s="45"/>
      <c r="F32" s="45"/>
      <c r="G32" s="9"/>
      <c r="H32" s="9"/>
      <c r="I32" s="9"/>
      <c r="J32" s="45"/>
      <c r="K32" s="45"/>
      <c r="L32" s="178"/>
      <c r="P32" s="585" t="s">
        <v>295</v>
      </c>
      <c r="Q32" s="585"/>
      <c r="R32" s="585"/>
      <c r="S32" s="29"/>
      <c r="T32" s="32">
        <v>5</v>
      </c>
      <c r="U32" s="28"/>
      <c r="V32" s="228">
        <v>5</v>
      </c>
      <c r="W32" s="28"/>
    </row>
    <row r="33" spans="2:23" x14ac:dyDescent="0.2">
      <c r="B33" s="181">
        <v>2</v>
      </c>
      <c r="C33" s="84" t="s">
        <v>271</v>
      </c>
      <c r="D33" s="124"/>
      <c r="E33" s="125"/>
      <c r="F33" s="125"/>
      <c r="G33" s="226">
        <v>10</v>
      </c>
      <c r="H33" s="36">
        <f>IF('3R Rating Summary'!D11=0,0,IF(((I33/'3R Rating Summary'!D11)*10)&gt;10,10,(I33/'3R Rating Summary'!D11)*10))</f>
        <v>0</v>
      </c>
      <c r="I33" s="6"/>
      <c r="J33" s="45" t="s">
        <v>272</v>
      </c>
      <c r="K33" s="45"/>
      <c r="L33" s="178"/>
      <c r="P33" s="585"/>
      <c r="Q33" s="585"/>
      <c r="R33" s="585"/>
      <c r="S33" s="28"/>
      <c r="T33" s="29"/>
      <c r="U33" s="28"/>
      <c r="V33" s="228"/>
      <c r="W33" s="28"/>
    </row>
    <row r="34" spans="2:23" ht="14.25" x14ac:dyDescent="0.2">
      <c r="B34" s="181"/>
      <c r="C34" s="21" t="s">
        <v>273</v>
      </c>
      <c r="D34" s="124"/>
      <c r="E34" s="125"/>
      <c r="F34" s="125"/>
      <c r="G34" s="27"/>
      <c r="H34" s="25"/>
      <c r="I34" s="48" t="s">
        <v>269</v>
      </c>
      <c r="J34" s="45" t="s">
        <v>274</v>
      </c>
      <c r="K34" s="45"/>
      <c r="L34" s="178"/>
      <c r="P34" s="29"/>
      <c r="Q34" s="29"/>
      <c r="R34" s="29"/>
      <c r="S34" s="28"/>
      <c r="T34" s="29"/>
      <c r="U34" s="29"/>
      <c r="V34" s="29"/>
      <c r="W34" s="29"/>
    </row>
    <row r="35" spans="2:23" x14ac:dyDescent="0.2">
      <c r="B35" s="181"/>
      <c r="C35" s="45"/>
      <c r="D35" s="45"/>
      <c r="E35" s="122"/>
      <c r="F35" s="125"/>
      <c r="G35" s="27"/>
      <c r="H35" s="9"/>
      <c r="I35" s="67" t="s">
        <v>342</v>
      </c>
      <c r="J35" s="45" t="s">
        <v>275</v>
      </c>
      <c r="K35" s="45"/>
      <c r="L35" s="178"/>
      <c r="P35" s="34" t="s">
        <v>299</v>
      </c>
      <c r="Q35" s="28"/>
      <c r="R35" s="28"/>
      <c r="S35" s="28"/>
      <c r="T35" s="29"/>
      <c r="U35" s="28"/>
      <c r="V35" s="29"/>
      <c r="W35" s="28"/>
    </row>
    <row r="36" spans="2:23" x14ac:dyDescent="0.2">
      <c r="B36" s="181"/>
      <c r="C36" s="45"/>
      <c r="D36" s="126" t="s">
        <v>304</v>
      </c>
      <c r="E36" s="45"/>
      <c r="F36" s="125"/>
      <c r="G36" s="27"/>
      <c r="H36" s="9"/>
      <c r="I36" s="9"/>
      <c r="J36" s="45" t="s">
        <v>276</v>
      </c>
      <c r="K36" s="45"/>
      <c r="L36" s="178"/>
      <c r="P36" s="585" t="s">
        <v>296</v>
      </c>
      <c r="Q36" s="585"/>
      <c r="R36" s="585"/>
      <c r="S36" s="29"/>
      <c r="T36" s="32">
        <v>5</v>
      </c>
      <c r="U36" s="28"/>
      <c r="V36" s="228">
        <v>5</v>
      </c>
      <c r="W36" s="28"/>
    </row>
    <row r="37" spans="2:23" x14ac:dyDescent="0.2">
      <c r="B37" s="181"/>
      <c r="C37" s="45"/>
      <c r="D37" s="126" t="s">
        <v>277</v>
      </c>
      <c r="E37" s="45"/>
      <c r="F37" s="125"/>
      <c r="G37" s="27"/>
      <c r="H37" s="9"/>
      <c r="I37" s="9"/>
      <c r="J37" s="45"/>
      <c r="K37" s="45"/>
      <c r="L37" s="178"/>
      <c r="P37" s="585"/>
      <c r="Q37" s="585"/>
      <c r="R37" s="585"/>
      <c r="S37" s="29"/>
      <c r="T37" s="32"/>
      <c r="U37" s="28"/>
      <c r="V37" s="29"/>
      <c r="W37" s="28"/>
    </row>
    <row r="38" spans="2:23" x14ac:dyDescent="0.2">
      <c r="B38" s="181"/>
      <c r="C38" s="84"/>
      <c r="D38" s="9"/>
      <c r="E38" s="45"/>
      <c r="F38" s="125"/>
      <c r="G38" s="27"/>
      <c r="H38" s="9"/>
      <c r="I38" s="9"/>
      <c r="J38" s="45"/>
      <c r="K38" s="45"/>
      <c r="L38" s="178"/>
      <c r="P38" s="585"/>
      <c r="Q38" s="585"/>
      <c r="R38" s="585"/>
      <c r="S38" s="29"/>
      <c r="T38" s="32"/>
      <c r="U38" s="28"/>
      <c r="V38" s="228"/>
      <c r="W38" s="28"/>
    </row>
    <row r="39" spans="2:23" x14ac:dyDescent="0.2">
      <c r="B39" s="183"/>
      <c r="C39" s="45"/>
      <c r="D39" s="45"/>
      <c r="E39" s="45"/>
      <c r="F39" s="45"/>
      <c r="G39" s="9"/>
      <c r="H39" s="9"/>
      <c r="I39" s="9"/>
      <c r="J39" s="45"/>
      <c r="K39" s="45"/>
      <c r="L39" s="178"/>
      <c r="P39" s="585"/>
      <c r="Q39" s="585"/>
      <c r="R39" s="585"/>
      <c r="S39" s="29"/>
      <c r="T39" s="32"/>
      <c r="U39" s="28"/>
      <c r="V39" s="228"/>
      <c r="W39" s="28"/>
    </row>
    <row r="40" spans="2:23" x14ac:dyDescent="0.2">
      <c r="B40" s="181">
        <v>3</v>
      </c>
      <c r="C40" s="84" t="s">
        <v>278</v>
      </c>
      <c r="D40" s="45"/>
      <c r="E40" s="84"/>
      <c r="F40" s="84"/>
      <c r="G40" s="9"/>
      <c r="H40" s="9"/>
      <c r="I40" s="9"/>
      <c r="J40" s="45"/>
      <c r="K40" s="45"/>
      <c r="L40" s="178"/>
      <c r="P40" s="28"/>
      <c r="Q40" s="28"/>
      <c r="R40" s="28"/>
      <c r="S40" s="28"/>
      <c r="T40" s="32"/>
      <c r="U40" s="28"/>
      <c r="V40" s="228"/>
      <c r="W40" s="28"/>
    </row>
    <row r="41" spans="2:23" x14ac:dyDescent="0.2">
      <c r="B41" s="181"/>
      <c r="C41" s="84"/>
      <c r="D41" s="45" t="s">
        <v>279</v>
      </c>
      <c r="E41" s="84"/>
      <c r="F41" s="84"/>
      <c r="G41" s="226">
        <v>5</v>
      </c>
      <c r="H41" s="23">
        <f>IF(I41&lt;&gt;0,5,0)</f>
        <v>0</v>
      </c>
      <c r="I41" s="5"/>
      <c r="J41" s="45" t="s">
        <v>280</v>
      </c>
      <c r="K41" s="45"/>
      <c r="L41" s="178"/>
      <c r="P41" s="34" t="s">
        <v>300</v>
      </c>
      <c r="Q41" s="35"/>
      <c r="R41" s="32"/>
      <c r="S41" s="28"/>
      <c r="T41" s="29"/>
      <c r="U41" s="28"/>
      <c r="V41" s="29"/>
      <c r="W41" s="28"/>
    </row>
    <row r="42" spans="2:23" x14ac:dyDescent="0.2">
      <c r="B42" s="181"/>
      <c r="C42" s="84"/>
      <c r="D42" s="45"/>
      <c r="E42" s="84"/>
      <c r="F42" s="84"/>
      <c r="G42" s="27"/>
      <c r="H42" s="9"/>
      <c r="I42" s="9" t="s">
        <v>340</v>
      </c>
      <c r="J42" s="45"/>
      <c r="K42" s="45"/>
      <c r="L42" s="178"/>
      <c r="P42" s="585" t="s">
        <v>302</v>
      </c>
      <c r="Q42" s="585"/>
      <c r="R42" s="585"/>
      <c r="S42" s="29"/>
      <c r="T42" s="32">
        <v>5</v>
      </c>
      <c r="U42" s="28"/>
      <c r="V42" s="228">
        <v>5</v>
      </c>
      <c r="W42" s="28"/>
    </row>
    <row r="43" spans="2:23" x14ac:dyDescent="0.2">
      <c r="B43" s="183"/>
      <c r="C43" s="45"/>
      <c r="D43" s="45"/>
      <c r="E43" s="45"/>
      <c r="F43" s="45"/>
      <c r="G43" s="9"/>
      <c r="H43" s="9"/>
      <c r="I43" s="9"/>
      <c r="J43" s="45"/>
      <c r="K43" s="45"/>
      <c r="L43" s="178"/>
      <c r="P43" s="585"/>
      <c r="Q43" s="585"/>
      <c r="R43" s="585"/>
      <c r="S43" s="29"/>
      <c r="T43" s="32"/>
      <c r="U43" s="28"/>
      <c r="V43" s="228"/>
      <c r="W43" s="28"/>
    </row>
    <row r="44" spans="2:23" x14ac:dyDescent="0.2">
      <c r="B44" s="181">
        <v>4</v>
      </c>
      <c r="C44" s="84" t="s">
        <v>281</v>
      </c>
      <c r="D44" s="45"/>
      <c r="E44" s="84"/>
      <c r="F44" s="84"/>
      <c r="G44" s="226">
        <v>5</v>
      </c>
      <c r="H44" s="23">
        <f>IF(I44&lt;&gt;0,5,0)</f>
        <v>0</v>
      </c>
      <c r="I44" s="5"/>
      <c r="J44" s="45" t="s">
        <v>336</v>
      </c>
      <c r="K44" s="45"/>
      <c r="L44" s="178"/>
      <c r="P44" s="585"/>
      <c r="Q44" s="585"/>
      <c r="R44" s="585"/>
      <c r="S44" s="29"/>
      <c r="T44" s="32"/>
      <c r="U44" s="28"/>
      <c r="V44" s="228"/>
      <c r="W44" s="28"/>
    </row>
    <row r="45" spans="2:23" x14ac:dyDescent="0.2">
      <c r="B45" s="181"/>
      <c r="C45" s="84"/>
      <c r="D45" s="45"/>
      <c r="E45" s="126" t="s">
        <v>282</v>
      </c>
      <c r="F45" s="84"/>
      <c r="G45" s="27"/>
      <c r="H45" s="25"/>
      <c r="I45" s="25" t="s">
        <v>341</v>
      </c>
      <c r="J45" s="64" t="s">
        <v>337</v>
      </c>
      <c r="K45" s="45"/>
      <c r="L45" s="178"/>
      <c r="P45" s="585"/>
      <c r="Q45" s="585"/>
      <c r="R45" s="585"/>
      <c r="S45" s="29"/>
      <c r="T45" s="32"/>
      <c r="U45" s="28"/>
      <c r="V45" s="228"/>
      <c r="W45" s="28"/>
    </row>
    <row r="46" spans="2:23" x14ac:dyDescent="0.2">
      <c r="B46" s="181"/>
      <c r="C46" s="84"/>
      <c r="D46" s="45"/>
      <c r="E46" s="126" t="s">
        <v>283</v>
      </c>
      <c r="F46" s="84"/>
      <c r="G46" s="27"/>
      <c r="H46" s="9"/>
      <c r="I46" s="9"/>
      <c r="J46" s="64" t="s">
        <v>338</v>
      </c>
      <c r="K46" s="45"/>
      <c r="L46" s="178"/>
      <c r="P46" s="585"/>
      <c r="Q46" s="585"/>
      <c r="R46" s="585"/>
      <c r="S46" s="29"/>
      <c r="T46" s="32"/>
      <c r="U46" s="28"/>
      <c r="V46" s="29"/>
      <c r="W46" s="29"/>
    </row>
    <row r="47" spans="2:23" x14ac:dyDescent="0.2">
      <c r="B47" s="181"/>
      <c r="C47" s="84"/>
      <c r="D47" s="45"/>
      <c r="E47" s="126"/>
      <c r="F47" s="84"/>
      <c r="G47" s="27"/>
      <c r="H47" s="9"/>
      <c r="I47" s="9"/>
      <c r="J47" s="64" t="s">
        <v>339</v>
      </c>
      <c r="K47" s="45"/>
      <c r="L47" s="178"/>
      <c r="P47" s="28"/>
      <c r="Q47" s="35"/>
      <c r="R47" s="32"/>
      <c r="S47" s="28"/>
      <c r="T47" s="32"/>
      <c r="U47" s="61" t="s">
        <v>334</v>
      </c>
      <c r="V47" s="228">
        <f>SUM(V15:V42)</f>
        <v>35</v>
      </c>
      <c r="W47" s="28"/>
    </row>
    <row r="48" spans="2:23" x14ac:dyDescent="0.2">
      <c r="B48" s="181"/>
      <c r="C48" s="84"/>
      <c r="D48" s="45"/>
      <c r="E48" s="126"/>
      <c r="F48" s="84"/>
      <c r="G48" s="27"/>
      <c r="H48" s="9"/>
      <c r="I48" s="9"/>
      <c r="J48" s="45"/>
      <c r="K48" s="45"/>
      <c r="L48" s="178"/>
      <c r="P48" s="62"/>
      <c r="Q48" s="62"/>
      <c r="R48" s="62"/>
      <c r="S48" s="62"/>
      <c r="T48" s="62"/>
      <c r="U48" s="61" t="s">
        <v>335</v>
      </c>
      <c r="V48" s="62"/>
      <c r="W48" s="62"/>
    </row>
    <row r="49" spans="2:12" x14ac:dyDescent="0.2">
      <c r="B49" s="181">
        <v>5</v>
      </c>
      <c r="C49" s="84" t="s">
        <v>301</v>
      </c>
      <c r="D49" s="124"/>
      <c r="E49" s="125"/>
      <c r="F49" s="125"/>
      <c r="G49" s="169">
        <v>5</v>
      </c>
      <c r="H49" s="23">
        <f>I49</f>
        <v>0</v>
      </c>
      <c r="I49" s="5"/>
      <c r="J49" s="45" t="s">
        <v>303</v>
      </c>
      <c r="K49" s="45"/>
      <c r="L49" s="178"/>
    </row>
    <row r="50" spans="2:12" x14ac:dyDescent="0.2">
      <c r="B50" s="180"/>
      <c r="C50" s="84"/>
      <c r="D50" s="124"/>
      <c r="E50" s="125"/>
      <c r="F50" s="125"/>
      <c r="G50" s="27"/>
      <c r="H50" s="9"/>
      <c r="I50" s="9" t="s">
        <v>340</v>
      </c>
      <c r="J50" s="45"/>
      <c r="K50" s="45"/>
      <c r="L50" s="178"/>
    </row>
    <row r="51" spans="2:12" x14ac:dyDescent="0.2">
      <c r="B51" s="180"/>
      <c r="C51" s="84"/>
      <c r="D51" s="124"/>
      <c r="E51" s="125"/>
      <c r="F51" s="125"/>
      <c r="G51" s="27"/>
      <c r="H51" s="9"/>
      <c r="I51" s="9"/>
      <c r="J51" s="45"/>
      <c r="K51" s="45"/>
      <c r="L51" s="178"/>
    </row>
    <row r="52" spans="2:12" x14ac:dyDescent="0.2">
      <c r="B52" s="180"/>
      <c r="C52" s="127"/>
      <c r="D52" s="45"/>
      <c r="E52" s="127"/>
      <c r="F52" s="128" t="s">
        <v>284</v>
      </c>
      <c r="G52" s="53">
        <f>SUM(G27:G49)</f>
        <v>35</v>
      </c>
      <c r="H52" s="66">
        <f>IF(SUM(H27,H33:H49)&gt;20,20,SUM(H27,H33:H49))</f>
        <v>0</v>
      </c>
      <c r="I52" s="9"/>
      <c r="J52" s="45"/>
      <c r="K52" s="45"/>
      <c r="L52" s="178"/>
    </row>
    <row r="53" spans="2:12" x14ac:dyDescent="0.2">
      <c r="B53" s="78"/>
      <c r="C53" s="45"/>
      <c r="D53" s="45"/>
      <c r="E53" s="45"/>
      <c r="F53" s="45"/>
      <c r="G53" s="54" t="s">
        <v>145</v>
      </c>
      <c r="H53" s="9" t="s">
        <v>256</v>
      </c>
      <c r="I53" s="45"/>
      <c r="J53" s="45"/>
      <c r="K53" s="45"/>
      <c r="L53" s="178"/>
    </row>
    <row r="54" spans="2:12" x14ac:dyDescent="0.2">
      <c r="B54" s="78"/>
      <c r="C54" s="45"/>
      <c r="D54" s="45"/>
      <c r="E54" s="45"/>
      <c r="F54" s="45"/>
      <c r="G54" s="45"/>
      <c r="H54" s="45"/>
      <c r="I54" s="45"/>
      <c r="J54" s="45"/>
      <c r="K54" s="45"/>
      <c r="L54" s="178"/>
    </row>
    <row r="55" spans="2:12" ht="13.5" thickBot="1" x14ac:dyDescent="0.25">
      <c r="B55" s="80"/>
      <c r="C55" s="81"/>
      <c r="D55" s="81"/>
      <c r="E55" s="81"/>
      <c r="F55" s="81"/>
      <c r="G55" s="81"/>
      <c r="H55" s="81"/>
      <c r="I55" s="81"/>
      <c r="J55" s="81"/>
      <c r="K55" s="81"/>
      <c r="L55" s="418"/>
    </row>
  </sheetData>
  <sheetProtection password="EC65" sheet="1" objects="1" scenarios="1" selectLockedCells="1"/>
  <mergeCells count="10">
    <mergeCell ref="C28:D29"/>
    <mergeCell ref="Q7:T7"/>
    <mergeCell ref="P36:R39"/>
    <mergeCell ref="P42:R46"/>
    <mergeCell ref="P4:U5"/>
    <mergeCell ref="S12:U13"/>
    <mergeCell ref="P16:R22"/>
    <mergeCell ref="P25:R29"/>
    <mergeCell ref="P32:R33"/>
    <mergeCell ref="E28:F29"/>
  </mergeCells>
  <pageMargins left="0.45" right="0.45" top="0.75" bottom="0.75" header="0.3" footer="0.3"/>
  <pageSetup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workbookViewId="0">
      <selection activeCell="A44" sqref="A44:E44"/>
    </sheetView>
  </sheetViews>
  <sheetFormatPr defaultRowHeight="15" x14ac:dyDescent="0.2"/>
  <cols>
    <col min="1" max="1" width="3.28515625" style="1" customWidth="1"/>
    <col min="2" max="2" width="12" style="1" customWidth="1"/>
    <col min="3" max="3" width="3.7109375" style="1" customWidth="1"/>
    <col min="4" max="4" width="4.140625" style="1" customWidth="1"/>
    <col min="5" max="11" width="9.140625" style="1"/>
    <col min="12" max="12" width="3.28515625" style="1" customWidth="1"/>
    <col min="13" max="16384" width="9.140625" style="1"/>
  </cols>
  <sheetData>
    <row r="1" spans="1:12" ht="18.75" x14ac:dyDescent="0.3">
      <c r="A1" s="590" t="s">
        <v>158</v>
      </c>
      <c r="B1" s="590"/>
      <c r="C1" s="590"/>
      <c r="D1" s="590"/>
      <c r="E1" s="590"/>
      <c r="F1" s="590"/>
      <c r="G1" s="590"/>
      <c r="H1" s="590"/>
      <c r="I1" s="590"/>
      <c r="J1" s="590"/>
      <c r="K1" s="590"/>
      <c r="L1" s="590"/>
    </row>
    <row r="2" spans="1:12" ht="18.75" x14ac:dyDescent="0.3">
      <c r="A2" s="590" t="s">
        <v>159</v>
      </c>
      <c r="B2" s="590"/>
      <c r="C2" s="590"/>
      <c r="D2" s="590"/>
      <c r="E2" s="590"/>
      <c r="F2" s="590"/>
      <c r="G2" s="590"/>
      <c r="H2" s="590"/>
      <c r="I2" s="590"/>
      <c r="J2" s="590"/>
      <c r="K2" s="590"/>
      <c r="L2" s="590"/>
    </row>
    <row r="3" spans="1:12" ht="18.75" customHeight="1" x14ac:dyDescent="0.25">
      <c r="A3" s="591" t="s">
        <v>160</v>
      </c>
      <c r="B3" s="591"/>
      <c r="C3" s="591"/>
      <c r="D3" s="591"/>
      <c r="E3" s="591"/>
      <c r="F3" s="591"/>
      <c r="G3" s="591"/>
      <c r="H3" s="591"/>
      <c r="I3" s="591"/>
      <c r="J3" s="591"/>
      <c r="K3" s="591"/>
      <c r="L3" s="591"/>
    </row>
    <row r="7" spans="1:12" x14ac:dyDescent="0.2">
      <c r="A7" s="1" t="s">
        <v>161</v>
      </c>
      <c r="D7" s="592"/>
      <c r="E7" s="592"/>
      <c r="F7" s="592"/>
    </row>
    <row r="8" spans="1:12" x14ac:dyDescent="0.2">
      <c r="A8" s="1" t="s">
        <v>162</v>
      </c>
      <c r="D8" s="592"/>
      <c r="E8" s="592"/>
      <c r="F8" s="592"/>
      <c r="G8" s="592"/>
      <c r="H8" s="592"/>
    </row>
    <row r="9" spans="1:12" x14ac:dyDescent="0.2">
      <c r="A9" s="1" t="s">
        <v>163</v>
      </c>
      <c r="D9" s="595"/>
      <c r="E9" s="595"/>
      <c r="F9" s="595"/>
    </row>
    <row r="13" spans="1:12" x14ac:dyDescent="0.2">
      <c r="A13" s="1" t="s">
        <v>164</v>
      </c>
    </row>
    <row r="14" spans="1:12" x14ac:dyDescent="0.2">
      <c r="A14" s="1" t="s">
        <v>165</v>
      </c>
      <c r="E14" s="596"/>
      <c r="F14" s="596"/>
      <c r="G14" s="1" t="s">
        <v>166</v>
      </c>
    </row>
    <row r="15" spans="1:12" x14ac:dyDescent="0.2">
      <c r="A15" s="1" t="s">
        <v>167</v>
      </c>
    </row>
    <row r="17" spans="1:2" x14ac:dyDescent="0.2">
      <c r="A17" s="1" t="s">
        <v>168</v>
      </c>
    </row>
    <row r="18" spans="1:2" x14ac:dyDescent="0.2">
      <c r="A18" s="1" t="s">
        <v>169</v>
      </c>
    </row>
    <row r="20" spans="1:2" x14ac:dyDescent="0.2">
      <c r="B20" s="1" t="s">
        <v>170</v>
      </c>
    </row>
    <row r="21" spans="1:2" x14ac:dyDescent="0.2">
      <c r="B21" s="1" t="s">
        <v>171</v>
      </c>
    </row>
    <row r="22" spans="1:2" x14ac:dyDescent="0.2">
      <c r="B22" s="1" t="s">
        <v>172</v>
      </c>
    </row>
    <row r="23" spans="1:2" x14ac:dyDescent="0.2">
      <c r="B23" s="1" t="s">
        <v>173</v>
      </c>
    </row>
    <row r="24" spans="1:2" x14ac:dyDescent="0.2">
      <c r="B24" s="1" t="s">
        <v>174</v>
      </c>
    </row>
    <row r="25" spans="1:2" x14ac:dyDescent="0.2">
      <c r="B25" s="1" t="s">
        <v>175</v>
      </c>
    </row>
    <row r="27" spans="1:2" x14ac:dyDescent="0.2">
      <c r="A27" s="1" t="s">
        <v>176</v>
      </c>
    </row>
    <row r="29" spans="1:2" x14ac:dyDescent="0.2">
      <c r="B29" s="1" t="s">
        <v>177</v>
      </c>
    </row>
    <row r="30" spans="1:2" x14ac:dyDescent="0.2">
      <c r="B30" s="1" t="s">
        <v>178</v>
      </c>
    </row>
    <row r="31" spans="1:2" x14ac:dyDescent="0.2">
      <c r="B31" s="1" t="s">
        <v>179</v>
      </c>
    </row>
    <row r="32" spans="1:2" x14ac:dyDescent="0.2">
      <c r="B32" s="1" t="s">
        <v>180</v>
      </c>
    </row>
    <row r="33" spans="1:12" x14ac:dyDescent="0.2">
      <c r="B33" s="1" t="s">
        <v>181</v>
      </c>
    </row>
    <row r="34" spans="1:12" x14ac:dyDescent="0.2">
      <c r="B34" s="1" t="s">
        <v>182</v>
      </c>
    </row>
    <row r="35" spans="1:12" x14ac:dyDescent="0.2">
      <c r="B35" s="1" t="s">
        <v>183</v>
      </c>
    </row>
    <row r="37" spans="1:12" x14ac:dyDescent="0.2">
      <c r="A37" s="2" t="s">
        <v>184</v>
      </c>
      <c r="B37" s="3"/>
      <c r="C37" s="3"/>
      <c r="D37" s="3"/>
      <c r="E37" s="3"/>
      <c r="F37" s="3"/>
      <c r="G37" s="3"/>
      <c r="H37" s="3"/>
      <c r="I37" s="3"/>
      <c r="J37" s="3"/>
      <c r="K37" s="3"/>
      <c r="L37" s="3"/>
    </row>
    <row r="38" spans="1:12" x14ac:dyDescent="0.2">
      <c r="A38" s="2" t="s">
        <v>185</v>
      </c>
      <c r="B38" s="3"/>
      <c r="C38" s="3"/>
      <c r="D38" s="3"/>
      <c r="E38" s="3"/>
      <c r="F38" s="3"/>
      <c r="G38" s="3"/>
      <c r="H38" s="3"/>
      <c r="I38" s="3"/>
      <c r="J38" s="3"/>
      <c r="K38" s="3"/>
      <c r="L38" s="3"/>
    </row>
    <row r="39" spans="1:12" x14ac:dyDescent="0.2">
      <c r="A39" s="2" t="s">
        <v>186</v>
      </c>
      <c r="B39" s="3"/>
      <c r="C39" s="3"/>
      <c r="D39" s="3"/>
      <c r="E39" s="3"/>
      <c r="F39" s="3"/>
      <c r="G39" s="3"/>
      <c r="H39" s="3"/>
      <c r="I39" s="3"/>
      <c r="J39" s="3"/>
      <c r="K39" s="3"/>
      <c r="L39" s="3"/>
    </row>
    <row r="44" spans="1:12" x14ac:dyDescent="0.2">
      <c r="A44" s="596"/>
      <c r="B44" s="596"/>
      <c r="C44" s="596"/>
      <c r="D44" s="596"/>
      <c r="E44" s="596"/>
      <c r="H44" s="597"/>
      <c r="I44" s="597"/>
    </row>
    <row r="45" spans="1:12" x14ac:dyDescent="0.2">
      <c r="A45" s="593" t="s">
        <v>187</v>
      </c>
      <c r="B45" s="593"/>
      <c r="C45" s="593"/>
      <c r="D45" s="593"/>
      <c r="E45" s="593"/>
      <c r="H45" s="594" t="s">
        <v>188</v>
      </c>
      <c r="I45" s="594"/>
    </row>
    <row r="47" spans="1:12" x14ac:dyDescent="0.2">
      <c r="A47" s="4" t="s">
        <v>189</v>
      </c>
      <c r="B47" s="4"/>
    </row>
    <row r="48" spans="1:12" x14ac:dyDescent="0.2">
      <c r="A48" s="4"/>
      <c r="B48" s="4"/>
    </row>
  </sheetData>
  <sheetProtection sheet="1" objects="1" scenarios="1" selectLockedCells="1"/>
  <mergeCells count="11">
    <mergeCell ref="A1:L1"/>
    <mergeCell ref="A2:L2"/>
    <mergeCell ref="A3:L3"/>
    <mergeCell ref="D7:F7"/>
    <mergeCell ref="A45:E45"/>
    <mergeCell ref="H45:I45"/>
    <mergeCell ref="D8:H8"/>
    <mergeCell ref="D9:F9"/>
    <mergeCell ref="E14:F14"/>
    <mergeCell ref="A44:E44"/>
    <mergeCell ref="H44:I44"/>
  </mergeCells>
  <phoneticPr fontId="29" type="noConversion"/>
  <pageMargins left="0.75" right="0.75" top="0.65" bottom="0.7" header="0.32" footer="0.37"/>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3R Rating Summary</vt:lpstr>
      <vt:lpstr>Traffic &amp; Accidents</vt:lpstr>
      <vt:lpstr>Structure</vt:lpstr>
      <vt:lpstr>Geometry</vt:lpstr>
      <vt:lpstr>IS and Roadside</vt:lpstr>
      <vt:lpstr>Engineer's 3R letter</vt:lpstr>
      <vt:lpstr>'3R Rating Summary'!Print_Area</vt:lpstr>
      <vt:lpstr>Geometry!Print_Area</vt:lpstr>
      <vt:lpstr>'IS and Roadside'!Print_Area</vt:lpstr>
      <vt:lpstr>Structure!Print_Area</vt:lpstr>
      <vt:lpstr>'Traffic &amp; Accidents'!Print_Area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Randy Hart</dc:creator>
  <cp:lastModifiedBy>Johnson, Steve (CRAB)</cp:lastModifiedBy>
  <cp:lastPrinted>2020-02-19T22:30:48Z</cp:lastPrinted>
  <dcterms:created xsi:type="dcterms:W3CDTF">2001-04-16T16:59:49Z</dcterms:created>
  <dcterms:modified xsi:type="dcterms:W3CDTF">2022-06-21T21:06:08Z</dcterms:modified>
</cp:coreProperties>
</file>