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stateofwa-my.sharepoint.com/personal/steve_johnson_crab_wa_gov/Documents/Documents/Worksheets 23-25/SE/"/>
    </mc:Choice>
  </mc:AlternateContent>
  <xr:revisionPtr revIDLastSave="0" documentId="11_ACE85EE57D8389C4A55CF359BC4A56CA9168B45D" xr6:coauthVersionLast="47" xr6:coauthVersionMax="47" xr10:uidLastSave="{00000000-0000-0000-0000-000000000000}"/>
  <bookViews>
    <workbookView xWindow="28680" yWindow="-120" windowWidth="29040" windowHeight="15840" tabRatio="792" firstSheet="1" activeTab="1" xr2:uid="{00000000-000D-0000-FFFF-FFFF00000000}"/>
  </bookViews>
  <sheets>
    <sheet name="Results" sheetId="10" r:id="rId1"/>
    <sheet name="RC INPUT" sheetId="3" r:id="rId2"/>
    <sheet name="Traffic &amp; Accidents" sheetId="11" r:id="rId3"/>
    <sheet name="Structure" sheetId="12" r:id="rId4"/>
    <sheet name="Geometry" sheetId="13" r:id="rId5"/>
    <sheet name="Dev. Request" sheetId="9" r:id="rId6"/>
    <sheet name="USCS" sheetId="6" r:id="rId7"/>
    <sheet name="Engr's 3R letter" sheetId="5" r:id="rId8"/>
  </sheets>
  <definedNames>
    <definedName name="_xlnm.Print_Area" localSheetId="1">'RC INPUT'!$B$3:$M$54</definedName>
    <definedName name="_xlnm.Print_Area" localSheetId="3">Structure!$B$3:$L$25,Structure!$B$33:$L$87,Structure!$B$90:$L$143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0" l="1"/>
  <c r="J114" i="12"/>
  <c r="J138" i="12" s="1"/>
  <c r="J140" i="12"/>
  <c r="K87" i="12"/>
  <c r="I34" i="3"/>
  <c r="AM130" i="13"/>
  <c r="AL130" i="13" s="1"/>
  <c r="AK130" i="13" s="1"/>
  <c r="AJ130" i="13" s="1"/>
  <c r="AI130" i="13" s="1"/>
  <c r="AO130" i="13" s="1"/>
  <c r="AM129" i="13"/>
  <c r="AL129" i="13" s="1"/>
  <c r="AK129" i="13" s="1"/>
  <c r="AJ129" i="13" s="1"/>
  <c r="AI129" i="13" s="1"/>
  <c r="AO129" i="13" s="1"/>
  <c r="AM128" i="13"/>
  <c r="AL128" i="13" s="1"/>
  <c r="AK128" i="13" s="1"/>
  <c r="AJ128" i="13" s="1"/>
  <c r="AI128" i="13" s="1"/>
  <c r="AO128" i="13" s="1"/>
  <c r="AM127" i="13"/>
  <c r="AL127" i="13" s="1"/>
  <c r="AK127" i="13" s="1"/>
  <c r="AJ127" i="13" s="1"/>
  <c r="AI127" i="13" s="1"/>
  <c r="AO127" i="13" s="1"/>
  <c r="AM126" i="13"/>
  <c r="AL126" i="13" s="1"/>
  <c r="AK126" i="13" s="1"/>
  <c r="AJ126" i="13" s="1"/>
  <c r="AI126" i="13" s="1"/>
  <c r="AO126" i="13" s="1"/>
  <c r="AM125" i="13"/>
  <c r="AL125" i="13" s="1"/>
  <c r="AK125" i="13" s="1"/>
  <c r="AJ125" i="13" s="1"/>
  <c r="AI125" i="13" s="1"/>
  <c r="AO125" i="13" s="1"/>
  <c r="AM124" i="13"/>
  <c r="AL124" i="13" s="1"/>
  <c r="AK124" i="13" s="1"/>
  <c r="AJ124" i="13" s="1"/>
  <c r="AI124" i="13" s="1"/>
  <c r="AO124" i="13" s="1"/>
  <c r="AM123" i="13"/>
  <c r="AL123" i="13" s="1"/>
  <c r="AK123" i="13" s="1"/>
  <c r="AJ123" i="13" s="1"/>
  <c r="AI123" i="13" s="1"/>
  <c r="AO123" i="13" s="1"/>
  <c r="AM122" i="13"/>
  <c r="AL122" i="13" s="1"/>
  <c r="AK122" i="13" s="1"/>
  <c r="AJ122" i="13" s="1"/>
  <c r="AI122" i="13" s="1"/>
  <c r="AO122" i="13" s="1"/>
  <c r="AM121" i="13"/>
  <c r="AL121" i="13" s="1"/>
  <c r="AK121" i="13" s="1"/>
  <c r="AJ121" i="13" s="1"/>
  <c r="AI121" i="13" s="1"/>
  <c r="AO121" i="13" s="1"/>
  <c r="Q114" i="13"/>
  <c r="R114" i="13"/>
  <c r="W114" i="13" s="1"/>
  <c r="V114" i="13" s="1"/>
  <c r="U114" i="13" s="1"/>
  <c r="Q115" i="13"/>
  <c r="R115" i="13"/>
  <c r="W115" i="13" s="1"/>
  <c r="V115" i="13" s="1"/>
  <c r="U115" i="13" s="1"/>
  <c r="Q116" i="13"/>
  <c r="R116" i="13"/>
  <c r="W116" i="13" s="1"/>
  <c r="V116" i="13" s="1"/>
  <c r="U116" i="13" s="1"/>
  <c r="Q117" i="13"/>
  <c r="R117" i="13"/>
  <c r="W117" i="13" s="1"/>
  <c r="V117" i="13" s="1"/>
  <c r="U117" i="13" s="1"/>
  <c r="Q118" i="13"/>
  <c r="R118" i="13"/>
  <c r="W118" i="13" s="1"/>
  <c r="V118" i="13" s="1"/>
  <c r="U118" i="13" s="1"/>
  <c r="T118" i="13" s="1"/>
  <c r="S118" i="13" s="1"/>
  <c r="Q119" i="13"/>
  <c r="R119" i="13"/>
  <c r="W119" i="13" s="1"/>
  <c r="V119" i="13" s="1"/>
  <c r="U119" i="13" s="1"/>
  <c r="T119" i="13" s="1"/>
  <c r="S119" i="13" s="1"/>
  <c r="Y119" i="13" s="1"/>
  <c r="Q120" i="13"/>
  <c r="R120" i="13"/>
  <c r="W120" i="13" s="1"/>
  <c r="V120" i="13" s="1"/>
  <c r="U120" i="13" s="1"/>
  <c r="T120" i="13" s="1"/>
  <c r="S120" i="13" s="1"/>
  <c r="Q121" i="13"/>
  <c r="R121" i="13"/>
  <c r="W121" i="13" s="1"/>
  <c r="V121" i="13" s="1"/>
  <c r="U121" i="13" s="1"/>
  <c r="T121" i="13" s="1"/>
  <c r="S121" i="13" s="1"/>
  <c r="Q122" i="13"/>
  <c r="R122" i="13"/>
  <c r="W122" i="13" s="1"/>
  <c r="V122" i="13" s="1"/>
  <c r="U122" i="13" s="1"/>
  <c r="T122" i="13" s="1"/>
  <c r="S122" i="13" s="1"/>
  <c r="Q123" i="13"/>
  <c r="R123" i="13"/>
  <c r="W123" i="13" s="1"/>
  <c r="V123" i="13" s="1"/>
  <c r="U123" i="13" s="1"/>
  <c r="T123" i="13" s="1"/>
  <c r="S123" i="13" s="1"/>
  <c r="Q124" i="13"/>
  <c r="R124" i="13"/>
  <c r="W124" i="13" s="1"/>
  <c r="V124" i="13" s="1"/>
  <c r="U124" i="13" s="1"/>
  <c r="T124" i="13" s="1"/>
  <c r="S124" i="13" s="1"/>
  <c r="Q125" i="13"/>
  <c r="R125" i="13"/>
  <c r="W125" i="13" s="1"/>
  <c r="V125" i="13" s="1"/>
  <c r="U125" i="13" s="1"/>
  <c r="T125" i="13" s="1"/>
  <c r="S125" i="13" s="1"/>
  <c r="Q126" i="13"/>
  <c r="R126" i="13"/>
  <c r="W126" i="13" s="1"/>
  <c r="V126" i="13" s="1"/>
  <c r="U126" i="13" s="1"/>
  <c r="T126" i="13" s="1"/>
  <c r="S126" i="13" s="1"/>
  <c r="Q127" i="13"/>
  <c r="R127" i="13"/>
  <c r="W127" i="13" s="1"/>
  <c r="V127" i="13" s="1"/>
  <c r="U127" i="13" s="1"/>
  <c r="T127" i="13" s="1"/>
  <c r="S127" i="13" s="1"/>
  <c r="H32" i="13"/>
  <c r="R94" i="13"/>
  <c r="T91" i="13"/>
  <c r="Q91" i="13"/>
  <c r="R91" i="13" s="1"/>
  <c r="I30" i="13" s="1"/>
  <c r="T90" i="13"/>
  <c r="Q90" i="13"/>
  <c r="R90" i="13" s="1"/>
  <c r="I29" i="13" s="1"/>
  <c r="T89" i="13"/>
  <c r="Q89" i="13"/>
  <c r="R89" i="13" s="1"/>
  <c r="I28" i="13" s="1"/>
  <c r="T88" i="13"/>
  <c r="Q88" i="13"/>
  <c r="R88" i="13" s="1"/>
  <c r="I27" i="13" s="1"/>
  <c r="T87" i="13"/>
  <c r="Q87" i="13"/>
  <c r="R87" i="13" s="1"/>
  <c r="I26" i="13" s="1"/>
  <c r="T86" i="13"/>
  <c r="Q86" i="13"/>
  <c r="R86" i="13" s="1"/>
  <c r="I25" i="13" s="1"/>
  <c r="T85" i="13"/>
  <c r="Q85" i="13"/>
  <c r="W85" i="13" s="1"/>
  <c r="T84" i="13"/>
  <c r="Q84" i="13"/>
  <c r="L74" i="13"/>
  <c r="U110" i="13" s="1"/>
  <c r="T83" i="13"/>
  <c r="Q83" i="13"/>
  <c r="T82" i="13"/>
  <c r="Q82" i="13"/>
  <c r="W82" i="13" s="1"/>
  <c r="T81" i="13"/>
  <c r="Q81" i="13"/>
  <c r="AG81" i="13" s="1"/>
  <c r="T80" i="13"/>
  <c r="Q80" i="13"/>
  <c r="T79" i="13"/>
  <c r="Q79" i="13"/>
  <c r="AG79" i="13" s="1"/>
  <c r="AF79" i="13" s="1"/>
  <c r="T78" i="13"/>
  <c r="Q78" i="13"/>
  <c r="S59" i="13"/>
  <c r="S58" i="13"/>
  <c r="S57" i="13"/>
  <c r="I46" i="13"/>
  <c r="C46" i="13"/>
  <c r="I44" i="13"/>
  <c r="C44" i="13"/>
  <c r="I126" i="12"/>
  <c r="J126" i="12" s="1"/>
  <c r="K126" i="12" s="1"/>
  <c r="I125" i="12"/>
  <c r="J125" i="12" s="1"/>
  <c r="I124" i="12"/>
  <c r="J124" i="12" s="1"/>
  <c r="I123" i="12"/>
  <c r="J123" i="12" s="1"/>
  <c r="I122" i="12"/>
  <c r="J122" i="12" s="1"/>
  <c r="K29" i="3"/>
  <c r="I29" i="3"/>
  <c r="K33" i="3"/>
  <c r="K32" i="3"/>
  <c r="D136" i="12"/>
  <c r="F136" i="12" s="1"/>
  <c r="D135" i="12"/>
  <c r="G135" i="12" s="1"/>
  <c r="D134" i="12"/>
  <c r="G134" i="12" s="1"/>
  <c r="D133" i="12"/>
  <c r="G133" i="12" s="1"/>
  <c r="Y126" i="13" l="1"/>
  <c r="Y125" i="13"/>
  <c r="Y120" i="13"/>
  <c r="Y127" i="13"/>
  <c r="AK117" i="13"/>
  <c r="AO132" i="13"/>
  <c r="Y122" i="13"/>
  <c r="Y118" i="13"/>
  <c r="Y121" i="13"/>
  <c r="Y123" i="13"/>
  <c r="Y124" i="13"/>
  <c r="AG88" i="13"/>
  <c r="AF88" i="13" s="1"/>
  <c r="AE88" i="13" s="1"/>
  <c r="AD88" i="13" s="1"/>
  <c r="AC88" i="13" s="1"/>
  <c r="AB88" i="13" s="1"/>
  <c r="AA88" i="13" s="1"/>
  <c r="Z88" i="13" s="1"/>
  <c r="Y88" i="13" s="1"/>
  <c r="X88" i="13" s="1"/>
  <c r="AG85" i="13"/>
  <c r="AF85" i="13" s="1"/>
  <c r="AE85" i="13" s="1"/>
  <c r="AD85" i="13" s="1"/>
  <c r="AC85" i="13" s="1"/>
  <c r="AB85" i="13" s="1"/>
  <c r="AA85" i="13" s="1"/>
  <c r="Z85" i="13" s="1"/>
  <c r="Y85" i="13" s="1"/>
  <c r="X85" i="13" s="1"/>
  <c r="W86" i="13"/>
  <c r="W89" i="13"/>
  <c r="AG86" i="13"/>
  <c r="AF86" i="13" s="1"/>
  <c r="AE86" i="13" s="1"/>
  <c r="AD86" i="13" s="1"/>
  <c r="AC86" i="13" s="1"/>
  <c r="AB86" i="13" s="1"/>
  <c r="AA86" i="13" s="1"/>
  <c r="Z86" i="13" s="1"/>
  <c r="Y86" i="13" s="1"/>
  <c r="X86" i="13" s="1"/>
  <c r="W87" i="13"/>
  <c r="AG89" i="13"/>
  <c r="AF89" i="13" s="1"/>
  <c r="AE89" i="13" s="1"/>
  <c r="AD89" i="13" s="1"/>
  <c r="AC89" i="13" s="1"/>
  <c r="AB89" i="13" s="1"/>
  <c r="AA89" i="13" s="1"/>
  <c r="Z89" i="13" s="1"/>
  <c r="Y89" i="13" s="1"/>
  <c r="X89" i="13" s="1"/>
  <c r="W90" i="13"/>
  <c r="R81" i="13"/>
  <c r="I20" i="13" s="1"/>
  <c r="AG87" i="13"/>
  <c r="AF87" i="13" s="1"/>
  <c r="AE87" i="13" s="1"/>
  <c r="AD87" i="13" s="1"/>
  <c r="AC87" i="13" s="1"/>
  <c r="AB87" i="13" s="1"/>
  <c r="AA87" i="13" s="1"/>
  <c r="Z87" i="13" s="1"/>
  <c r="Y87" i="13" s="1"/>
  <c r="X87" i="13" s="1"/>
  <c r="AG90" i="13"/>
  <c r="AF90" i="13" s="1"/>
  <c r="AE90" i="13" s="1"/>
  <c r="AD90" i="13" s="1"/>
  <c r="AC90" i="13" s="1"/>
  <c r="AB90" i="13" s="1"/>
  <c r="AA90" i="13" s="1"/>
  <c r="Z90" i="13" s="1"/>
  <c r="Y90" i="13" s="1"/>
  <c r="X90" i="13" s="1"/>
  <c r="W88" i="13"/>
  <c r="W91" i="13"/>
  <c r="AG91" i="13"/>
  <c r="AF91" i="13" s="1"/>
  <c r="AE91" i="13" s="1"/>
  <c r="AD91" i="13" s="1"/>
  <c r="AC91" i="13" s="1"/>
  <c r="AB91" i="13" s="1"/>
  <c r="AA91" i="13" s="1"/>
  <c r="Z91" i="13" s="1"/>
  <c r="Y91" i="13" s="1"/>
  <c r="X91" i="13" s="1"/>
  <c r="R85" i="13"/>
  <c r="I24" i="13" s="1"/>
  <c r="T92" i="13"/>
  <c r="T93" i="13" s="1"/>
  <c r="L73" i="13" s="1"/>
  <c r="L75" i="13" s="1"/>
  <c r="AE79" i="13"/>
  <c r="AD79" i="13" s="1"/>
  <c r="AC79" i="13" s="1"/>
  <c r="AB79" i="13" s="1"/>
  <c r="AA79" i="13" s="1"/>
  <c r="Z79" i="13" s="1"/>
  <c r="Y79" i="13" s="1"/>
  <c r="X79" i="13" s="1"/>
  <c r="W79" i="13" s="1"/>
  <c r="R79" i="13" s="1"/>
  <c r="I18" i="13" s="1"/>
  <c r="AG84" i="13"/>
  <c r="AF84" i="13" s="1"/>
  <c r="AE84" i="13" s="1"/>
  <c r="AD84" i="13" s="1"/>
  <c r="AC84" i="13" s="1"/>
  <c r="AB84" i="13" s="1"/>
  <c r="AA84" i="13" s="1"/>
  <c r="Z84" i="13" s="1"/>
  <c r="Y84" i="13" s="1"/>
  <c r="X84" i="13" s="1"/>
  <c r="R80" i="13"/>
  <c r="I19" i="13" s="1"/>
  <c r="R83" i="13"/>
  <c r="I22" i="13" s="1"/>
  <c r="W80" i="13"/>
  <c r="AG82" i="13"/>
  <c r="AF82" i="13" s="1"/>
  <c r="AE82" i="13" s="1"/>
  <c r="AD82" i="13" s="1"/>
  <c r="AC82" i="13" s="1"/>
  <c r="AB82" i="13" s="1"/>
  <c r="AA82" i="13" s="1"/>
  <c r="Z82" i="13" s="1"/>
  <c r="Y82" i="13" s="1"/>
  <c r="X82" i="13" s="1"/>
  <c r="R82" i="13"/>
  <c r="I21" i="13" s="1"/>
  <c r="AG80" i="13"/>
  <c r="AF80" i="13" s="1"/>
  <c r="AE80" i="13" s="1"/>
  <c r="AD80" i="13" s="1"/>
  <c r="AC80" i="13" s="1"/>
  <c r="AB80" i="13" s="1"/>
  <c r="AA80" i="13" s="1"/>
  <c r="Z80" i="13" s="1"/>
  <c r="Y80" i="13" s="1"/>
  <c r="X80" i="13" s="1"/>
  <c r="W83" i="13"/>
  <c r="AG78" i="13"/>
  <c r="AF78" i="13" s="1"/>
  <c r="AE78" i="13" s="1"/>
  <c r="AD78" i="13" s="1"/>
  <c r="AC78" i="13" s="1"/>
  <c r="AB78" i="13" s="1"/>
  <c r="AA78" i="13" s="1"/>
  <c r="Z78" i="13" s="1"/>
  <c r="Y78" i="13" s="1"/>
  <c r="X78" i="13" s="1"/>
  <c r="W78" i="13" s="1"/>
  <c r="R78" i="13" s="1"/>
  <c r="I17" i="13" s="1"/>
  <c r="W81" i="13"/>
  <c r="R84" i="13"/>
  <c r="I23" i="13" s="1"/>
  <c r="AF81" i="13"/>
  <c r="AE81" i="13" s="1"/>
  <c r="AD81" i="13" s="1"/>
  <c r="AC81" i="13" s="1"/>
  <c r="AB81" i="13" s="1"/>
  <c r="AA81" i="13" s="1"/>
  <c r="Z81" i="13" s="1"/>
  <c r="Y81" i="13" s="1"/>
  <c r="X81" i="13" s="1"/>
  <c r="AG83" i="13"/>
  <c r="AF83" i="13" s="1"/>
  <c r="AE83" i="13" s="1"/>
  <c r="AD83" i="13" s="1"/>
  <c r="AC83" i="13" s="1"/>
  <c r="AB83" i="13" s="1"/>
  <c r="AA83" i="13" s="1"/>
  <c r="Z83" i="13" s="1"/>
  <c r="Y83" i="13" s="1"/>
  <c r="X83" i="13" s="1"/>
  <c r="W84" i="13"/>
  <c r="K125" i="12"/>
  <c r="K124" i="12"/>
  <c r="K123" i="12"/>
  <c r="K122" i="12"/>
  <c r="G136" i="12"/>
  <c r="G137" i="12" s="1"/>
  <c r="F134" i="12"/>
  <c r="K128" i="12"/>
  <c r="F135" i="12"/>
  <c r="F133" i="12"/>
  <c r="K24" i="3"/>
  <c r="K21" i="12"/>
  <c r="L21" i="12" s="1"/>
  <c r="K22" i="12"/>
  <c r="L22" i="12" s="1"/>
  <c r="K23" i="12"/>
  <c r="L23" i="12" s="1"/>
  <c r="K24" i="12"/>
  <c r="L24" i="12" s="1"/>
  <c r="N32" i="3"/>
  <c r="B24" i="12"/>
  <c r="B23" i="12"/>
  <c r="B22" i="12"/>
  <c r="B21" i="12"/>
  <c r="B20" i="12"/>
  <c r="C24" i="12"/>
  <c r="C23" i="12"/>
  <c r="C22" i="12"/>
  <c r="C21" i="12"/>
  <c r="C20" i="12"/>
  <c r="N29" i="3"/>
  <c r="K66" i="11"/>
  <c r="K70" i="11" s="1"/>
  <c r="I66" i="11"/>
  <c r="G66" i="11"/>
  <c r="G70" i="11" s="1"/>
  <c r="H48" i="11"/>
  <c r="J48" i="11" s="1"/>
  <c r="H47" i="11"/>
  <c r="J47" i="11" s="1"/>
  <c r="H46" i="11"/>
  <c r="J46" i="11" s="1"/>
  <c r="H45" i="11"/>
  <c r="J45" i="11" s="1"/>
  <c r="L30" i="11"/>
  <c r="S42" i="11" s="1"/>
  <c r="S41" i="11" s="1"/>
  <c r="S40" i="11" s="1"/>
  <c r="S39" i="11" s="1"/>
  <c r="S38" i="11" s="1"/>
  <c r="S37" i="11" s="1"/>
  <c r="S36" i="11" s="1"/>
  <c r="I30" i="11"/>
  <c r="I70" i="11"/>
  <c r="K127" i="12" l="1"/>
  <c r="J127" i="12" s="1"/>
  <c r="J139" i="12" s="1"/>
  <c r="AO133" i="13"/>
  <c r="AO134" i="13" s="1"/>
  <c r="K83" i="11"/>
  <c r="X58" i="13"/>
  <c r="W58" i="13" s="1"/>
  <c r="R42" i="11"/>
  <c r="R41" i="11" s="1"/>
  <c r="R40" i="11" s="1"/>
  <c r="R39" i="11" s="1"/>
  <c r="R38" i="11" s="1"/>
  <c r="R37" i="11" s="1"/>
  <c r="R36" i="11" s="1"/>
  <c r="X57" i="13"/>
  <c r="W57" i="13" s="1"/>
  <c r="L56" i="13"/>
  <c r="F56" i="13"/>
  <c r="X59" i="13"/>
  <c r="W59" i="13" s="1"/>
  <c r="V59" i="13" s="1"/>
  <c r="V58" i="13" s="1"/>
  <c r="AI54" i="13"/>
  <c r="AM81" i="13"/>
  <c r="F137" i="12"/>
  <c r="J141" i="12"/>
  <c r="B25" i="12"/>
  <c r="C25" i="12" s="1"/>
  <c r="L25" i="12"/>
  <c r="K25" i="12" s="1"/>
  <c r="N33" i="3" s="1"/>
  <c r="M70" i="11"/>
  <c r="J83" i="11" s="1"/>
  <c r="M83" i="11"/>
  <c r="M85" i="11" s="1"/>
  <c r="K20" i="3" s="1"/>
  <c r="J49" i="11"/>
  <c r="M50" i="11" s="1"/>
  <c r="N31" i="3" l="1"/>
  <c r="K31" i="3"/>
  <c r="K34" i="3" s="1"/>
  <c r="K35" i="3" s="1"/>
  <c r="K129" i="12"/>
  <c r="J143" i="12"/>
  <c r="V57" i="13"/>
  <c r="V61" i="13" s="1"/>
  <c r="AH148" i="13" s="1"/>
  <c r="AH147" i="13" s="1"/>
  <c r="AH146" i="13" s="1"/>
  <c r="AH145" i="13" s="1"/>
  <c r="AH144" i="13" s="1"/>
  <c r="AH143" i="13" s="1"/>
  <c r="AH142" i="13" s="1"/>
  <c r="AH141" i="13" s="1"/>
  <c r="AH140" i="13" s="1"/>
  <c r="AH139" i="13" s="1"/>
  <c r="AH138" i="13" s="1"/>
  <c r="Q21" i="13"/>
  <c r="Q22" i="13"/>
  <c r="Q26" i="13"/>
  <c r="Q28" i="13"/>
  <c r="F15" i="10"/>
  <c r="F7" i="10"/>
  <c r="AL82" i="13" l="1"/>
  <c r="AL81" i="13" s="1"/>
  <c r="AK82" i="13" s="1"/>
  <c r="AK81" i="13" s="1"/>
  <c r="AH55" i="13"/>
  <c r="AH54" i="13" s="1"/>
  <c r="AG55" i="13" s="1"/>
  <c r="AG54" i="13" s="1"/>
  <c r="AF55" i="13" s="1"/>
  <c r="AF54" i="13" s="1"/>
  <c r="S90" i="13"/>
  <c r="U90" i="13" s="1"/>
  <c r="S85" i="13"/>
  <c r="U85" i="13" s="1"/>
  <c r="K57" i="13"/>
  <c r="K56" i="13" s="1"/>
  <c r="J57" i="13" s="1"/>
  <c r="J56" i="13" s="1"/>
  <c r="I57" i="13" s="1"/>
  <c r="I56" i="13" s="1"/>
  <c r="I50" i="13" s="1"/>
  <c r="S84" i="13"/>
  <c r="U84" i="13" s="1"/>
  <c r="S81" i="13"/>
  <c r="U81" i="13" s="1"/>
  <c r="S86" i="13"/>
  <c r="U86" i="13" s="1"/>
  <c r="R145" i="13"/>
  <c r="R144" i="13" s="1"/>
  <c r="R143" i="13" s="1"/>
  <c r="R142" i="13" s="1"/>
  <c r="R141" i="13" s="1"/>
  <c r="R140" i="13" s="1"/>
  <c r="R139" i="13" s="1"/>
  <c r="R138" i="13" s="1"/>
  <c r="R137" i="13" s="1"/>
  <c r="R136" i="13" s="1"/>
  <c r="R135" i="13" s="1"/>
  <c r="AI148" i="13"/>
  <c r="AI147" i="13" s="1"/>
  <c r="AI146" i="13" s="1"/>
  <c r="AI145" i="13" s="1"/>
  <c r="AI144" i="13" s="1"/>
  <c r="AI143" i="13" s="1"/>
  <c r="AI142" i="13" s="1"/>
  <c r="AI141" i="13" s="1"/>
  <c r="AI140" i="13" s="1"/>
  <c r="AI139" i="13" s="1"/>
  <c r="AI138" i="13" s="1"/>
  <c r="S78" i="13"/>
  <c r="U78" i="13" s="1"/>
  <c r="S80" i="13"/>
  <c r="U80" i="13" s="1"/>
  <c r="P145" i="13"/>
  <c r="P144" i="13" s="1"/>
  <c r="P143" i="13" s="1"/>
  <c r="P142" i="13" s="1"/>
  <c r="P141" i="13" s="1"/>
  <c r="P140" i="13" s="1"/>
  <c r="P139" i="13" s="1"/>
  <c r="P138" i="13" s="1"/>
  <c r="P137" i="13" s="1"/>
  <c r="P136" i="13" s="1"/>
  <c r="P135" i="13" s="1"/>
  <c r="P10" i="13"/>
  <c r="S89" i="13"/>
  <c r="U89" i="13" s="1"/>
  <c r="E57" i="13"/>
  <c r="E56" i="13" s="1"/>
  <c r="D57" i="13" s="1"/>
  <c r="D56" i="13" s="1"/>
  <c r="C57" i="13" s="1"/>
  <c r="C56" i="13" s="1"/>
  <c r="C50" i="13" s="1"/>
  <c r="O6" i="13" s="1"/>
  <c r="P6" i="13" s="1"/>
  <c r="AF148" i="13"/>
  <c r="AF147" i="13" s="1"/>
  <c r="AF146" i="13" s="1"/>
  <c r="AF145" i="13" s="1"/>
  <c r="AF144" i="13" s="1"/>
  <c r="AF143" i="13" s="1"/>
  <c r="AF142" i="13" s="1"/>
  <c r="AF141" i="13" s="1"/>
  <c r="AF140" i="13" s="1"/>
  <c r="AF139" i="13" s="1"/>
  <c r="AF138" i="13" s="1"/>
  <c r="S87" i="13"/>
  <c r="U87" i="13" s="1"/>
  <c r="T145" i="13"/>
  <c r="T144" i="13" s="1"/>
  <c r="T143" i="13" s="1"/>
  <c r="T142" i="13" s="1"/>
  <c r="T141" i="13" s="1"/>
  <c r="T140" i="13" s="1"/>
  <c r="T139" i="13" s="1"/>
  <c r="T138" i="13" s="1"/>
  <c r="T137" i="13" s="1"/>
  <c r="T136" i="13" s="1"/>
  <c r="T135" i="13" s="1"/>
  <c r="AJ148" i="13"/>
  <c r="AJ147" i="13" s="1"/>
  <c r="AJ146" i="13" s="1"/>
  <c r="AJ145" i="13" s="1"/>
  <c r="AJ144" i="13" s="1"/>
  <c r="AJ143" i="13" s="1"/>
  <c r="AJ142" i="13" s="1"/>
  <c r="AJ141" i="13" s="1"/>
  <c r="AJ140" i="13" s="1"/>
  <c r="AJ139" i="13" s="1"/>
  <c r="AJ138" i="13" s="1"/>
  <c r="S82" i="13"/>
  <c r="U82" i="13" s="1"/>
  <c r="S91" i="13"/>
  <c r="U91" i="13" s="1"/>
  <c r="S145" i="13"/>
  <c r="S144" i="13" s="1"/>
  <c r="S143" i="13" s="1"/>
  <c r="S142" i="13" s="1"/>
  <c r="S141" i="13" s="1"/>
  <c r="S140" i="13" s="1"/>
  <c r="S139" i="13" s="1"/>
  <c r="S138" i="13" s="1"/>
  <c r="S137" i="13" s="1"/>
  <c r="S136" i="13" s="1"/>
  <c r="S135" i="13" s="1"/>
  <c r="AG148" i="13"/>
  <c r="AG147" i="13" s="1"/>
  <c r="AG146" i="13" s="1"/>
  <c r="AG145" i="13" s="1"/>
  <c r="AG144" i="13" s="1"/>
  <c r="AG143" i="13" s="1"/>
  <c r="AG142" i="13" s="1"/>
  <c r="AG141" i="13" s="1"/>
  <c r="AG140" i="13" s="1"/>
  <c r="AG139" i="13" s="1"/>
  <c r="AG138" i="13" s="1"/>
  <c r="S79" i="13"/>
  <c r="U79" i="13" s="1"/>
  <c r="S83" i="13"/>
  <c r="U83" i="13" s="1"/>
  <c r="S88" i="13"/>
  <c r="U88" i="13" s="1"/>
  <c r="Q145" i="13"/>
  <c r="Q144" i="13" s="1"/>
  <c r="Q143" i="13" s="1"/>
  <c r="Q142" i="13" s="1"/>
  <c r="Q141" i="13" s="1"/>
  <c r="Q140" i="13" s="1"/>
  <c r="Q139" i="13" s="1"/>
  <c r="Q138" i="13" s="1"/>
  <c r="Q137" i="13" s="1"/>
  <c r="Q136" i="13" s="1"/>
  <c r="Q135" i="13" s="1"/>
  <c r="P21" i="13"/>
  <c r="L21" i="13" s="1"/>
  <c r="R21" i="13"/>
  <c r="P28" i="13"/>
  <c r="L28" i="13" s="1"/>
  <c r="R28" i="13"/>
  <c r="R26" i="13"/>
  <c r="P26" i="13"/>
  <c r="L26" i="13" s="1"/>
  <c r="P22" i="13"/>
  <c r="L22" i="13" s="1"/>
  <c r="R22" i="13"/>
  <c r="M41" i="11"/>
  <c r="M52" i="11" s="1"/>
  <c r="Q24" i="13"/>
  <c r="K15" i="3"/>
  <c r="Q25" i="13"/>
  <c r="Q27" i="13"/>
  <c r="Q23" i="13"/>
  <c r="Q30" i="13"/>
  <c r="D20" i="13" l="1"/>
  <c r="D17" i="13"/>
  <c r="D24" i="13"/>
  <c r="D23" i="13"/>
  <c r="H30" i="13"/>
  <c r="H22" i="13"/>
  <c r="H29" i="13"/>
  <c r="D29" i="13" s="1"/>
  <c r="H21" i="13"/>
  <c r="H19" i="13"/>
  <c r="H24" i="13"/>
  <c r="H28" i="13"/>
  <c r="D28" i="13" s="1"/>
  <c r="H20" i="13"/>
  <c r="H25" i="13"/>
  <c r="H23" i="13"/>
  <c r="H27" i="13"/>
  <c r="D27" i="13" s="1"/>
  <c r="H26" i="13"/>
  <c r="D26" i="13" s="1"/>
  <c r="F67" i="13"/>
  <c r="F66" i="13" s="1"/>
  <c r="F65" i="13" s="1"/>
  <c r="F64" i="13" s="1"/>
  <c r="F63" i="13" s="1"/>
  <c r="F62" i="13" s="1"/>
  <c r="F61" i="13" s="1"/>
  <c r="U92" i="13"/>
  <c r="S97" i="13" s="1"/>
  <c r="L79" i="13" s="1"/>
  <c r="T117" i="13"/>
  <c r="S117" i="13" s="1"/>
  <c r="Y117" i="13" s="1"/>
  <c r="T115" i="13"/>
  <c r="S115" i="13" s="1"/>
  <c r="Y115" i="13" s="1"/>
  <c r="T114" i="13"/>
  <c r="S114" i="13" s="1"/>
  <c r="Y114" i="13" s="1"/>
  <c r="T116" i="13"/>
  <c r="S116" i="13" s="1"/>
  <c r="Y116" i="13" s="1"/>
  <c r="J19" i="13"/>
  <c r="J25" i="13"/>
  <c r="J17" i="13"/>
  <c r="H17" i="13" s="1"/>
  <c r="J22" i="13"/>
  <c r="D22" i="13"/>
  <c r="D18" i="13"/>
  <c r="J18" i="13"/>
  <c r="H18" i="13" s="1"/>
  <c r="J24" i="13"/>
  <c r="D30" i="13"/>
  <c r="J20" i="13"/>
  <c r="J23" i="13"/>
  <c r="J26" i="13"/>
  <c r="D21" i="13"/>
  <c r="O7" i="13"/>
  <c r="P7" i="13" s="1"/>
  <c r="L67" i="13"/>
  <c r="L66" i="13" s="1"/>
  <c r="L65" i="13" s="1"/>
  <c r="L64" i="13" s="1"/>
  <c r="L63" i="13" s="1"/>
  <c r="L62" i="13" s="1"/>
  <c r="L61" i="13" s="1"/>
  <c r="O41" i="3" s="1"/>
  <c r="J21" i="13"/>
  <c r="J30" i="13"/>
  <c r="J27" i="13"/>
  <c r="D25" i="13"/>
  <c r="D19" i="13"/>
  <c r="J28" i="13"/>
  <c r="J29" i="13"/>
  <c r="Q29" i="13"/>
  <c r="P24" i="13"/>
  <c r="L24" i="13" s="1"/>
  <c r="R24" i="13"/>
  <c r="P27" i="13"/>
  <c r="L27" i="13" s="1"/>
  <c r="R27" i="13"/>
  <c r="P30" i="13"/>
  <c r="L30" i="13" s="1"/>
  <c r="R30" i="13"/>
  <c r="P23" i="13"/>
  <c r="L23" i="13" s="1"/>
  <c r="R23" i="13"/>
  <c r="P25" i="13"/>
  <c r="L25" i="13" s="1"/>
  <c r="R25" i="13"/>
  <c r="F11" i="10"/>
  <c r="K14" i="3"/>
  <c r="K16" i="3" s="1"/>
  <c r="H31" i="13" l="1"/>
  <c r="F13" i="13" s="1"/>
  <c r="Y129" i="13"/>
  <c r="Y130" i="13" s="1"/>
  <c r="Y131" i="13" s="1"/>
  <c r="Q17" i="13"/>
  <c r="P29" i="13"/>
  <c r="L29" i="13" s="1"/>
  <c r="R29" i="13"/>
  <c r="O40" i="3"/>
  <c r="N41" i="3"/>
  <c r="K41" i="3" s="1"/>
  <c r="J41" i="3"/>
  <c r="F5" i="10"/>
  <c r="D32" i="13" l="1"/>
  <c r="E32" i="13" s="1"/>
  <c r="R17" i="13"/>
  <c r="P17" i="13" s="1"/>
  <c r="L17" i="13" s="1"/>
  <c r="Q18" i="13"/>
  <c r="R18" i="13" s="1"/>
  <c r="P18" i="13" s="1"/>
  <c r="L18" i="13" s="1"/>
  <c r="Q19" i="13"/>
  <c r="R19" i="13" s="1"/>
  <c r="P19" i="13" s="1"/>
  <c r="L19" i="13" s="1"/>
  <c r="Q20" i="13"/>
  <c r="R20" i="13" s="1"/>
  <c r="P20" i="13" s="1"/>
  <c r="L20" i="13" s="1"/>
  <c r="N40" i="3"/>
  <c r="K40" i="3" s="1"/>
  <c r="J40" i="3"/>
  <c r="K42" i="3"/>
  <c r="L119" i="13" l="1"/>
  <c r="L122" i="13" s="1"/>
  <c r="P31" i="13"/>
  <c r="J42" i="3"/>
  <c r="L32" i="13" l="1"/>
  <c r="M32" i="13"/>
  <c r="J43" i="3"/>
  <c r="N13" i="13"/>
  <c r="K43" i="3" s="1"/>
  <c r="K44" i="3" s="1"/>
  <c r="K47" i="3" l="1"/>
  <c r="F13" i="10"/>
  <c r="F21" i="10" s="1"/>
  <c r="F25" i="10" l="1"/>
</calcChain>
</file>

<file path=xl/sharedStrings.xml><?xml version="1.0" encoding="utf-8"?>
<sst xmlns="http://schemas.openxmlformats.org/spreadsheetml/2006/main" count="692" uniqueCount="489">
  <si>
    <t>SER RAP Rating Worksheet</t>
  </si>
  <si>
    <t>Possible</t>
  </si>
  <si>
    <t xml:space="preserve">Scored </t>
  </si>
  <si>
    <t xml:space="preserve">                                                                      </t>
  </si>
  <si>
    <t>Points</t>
  </si>
  <si>
    <t xml:space="preserve"> </t>
  </si>
  <si>
    <t xml:space="preserve">TRAFFIC                                                 </t>
  </si>
  <si>
    <t>Volume</t>
  </si>
  <si>
    <t>Usage</t>
  </si>
  <si>
    <t>Subtotal</t>
  </si>
  <si>
    <t>GRAVEL</t>
  </si>
  <si>
    <t>SURFACED</t>
  </si>
  <si>
    <t>Surface Condition</t>
  </si>
  <si>
    <t>Drainage</t>
  </si>
  <si>
    <t>Subsurface Condition</t>
  </si>
  <si>
    <t xml:space="preserve">                                                                </t>
  </si>
  <si>
    <t>LOCAL SIGNIFICANCE</t>
  </si>
  <si>
    <t xml:space="preserve">GEOMETRICS   ROADS                                                </t>
  </si>
  <si>
    <t>Pavement Width</t>
  </si>
  <si>
    <t>Roadbed Width</t>
  </si>
  <si>
    <t>Vertical Alignment</t>
  </si>
  <si>
    <t>Horizontal Alignment</t>
  </si>
  <si>
    <t>TOTAL SER RAP WORKSHEET RATING:</t>
  </si>
  <si>
    <t xml:space="preserve">Note: </t>
  </si>
  <si>
    <t xml:space="preserve"> -Proposals below design standards require WSDOT deviation approval.</t>
  </si>
  <si>
    <t>Sheet 2 of 9</t>
  </si>
  <si>
    <t>TRAFFIC VOLUME (22 Points Max.)</t>
  </si>
  <si>
    <t>VOLUME (7 Points Max.)</t>
  </si>
  <si>
    <t>AADT =</t>
  </si>
  <si>
    <t>TRUCK AADT =</t>
  </si>
  <si>
    <t>CALC</t>
  </si>
  <si>
    <t xml:space="preserve">Note: Use the larger of AADT or Truck AADT.  All traffic data  </t>
  </si>
  <si>
    <t>AADT</t>
  </si>
  <si>
    <t>TRUCK AADT</t>
  </si>
  <si>
    <t xml:space="preserve">   shall be adjusted to reflect average annual daily traffic (AADT).</t>
  </si>
  <si>
    <t>POINTS</t>
  </si>
  <si>
    <t xml:space="preserve">                                                                         </t>
  </si>
  <si>
    <t>1-100</t>
  </si>
  <si>
    <t>101-200</t>
  </si>
  <si>
    <t>201-300</t>
  </si>
  <si>
    <t>301-450</t>
  </si>
  <si>
    <t>451-600</t>
  </si>
  <si>
    <t>601-750</t>
  </si>
  <si>
    <t>&gt;750</t>
  </si>
  <si>
    <t>Trk AADT</t>
  </si>
  <si>
    <t>1-10</t>
  </si>
  <si>
    <t>11-20</t>
  </si>
  <si>
    <t>21-30</t>
  </si>
  <si>
    <t>31-45</t>
  </si>
  <si>
    <t>46-60</t>
  </si>
  <si>
    <t>61-75</t>
  </si>
  <si>
    <t>&gt;75</t>
  </si>
  <si>
    <t>TRAFFIC VOLUME SUBTOTAL</t>
  </si>
  <si>
    <t>USAGE (15 Points Max.)</t>
  </si>
  <si>
    <t>Is the road used for:</t>
  </si>
  <si>
    <t>Check if Yes</t>
  </si>
  <si>
    <t>Available</t>
  </si>
  <si>
    <t>Assigned</t>
  </si>
  <si>
    <t>Use full points if any usage is evident</t>
  </si>
  <si>
    <t xml:space="preserve"> Agriculture?</t>
  </si>
  <si>
    <t>Logging?</t>
  </si>
  <si>
    <t>Industry?</t>
  </si>
  <si>
    <t>Recreation?</t>
  </si>
  <si>
    <t xml:space="preserve">          </t>
  </si>
  <si>
    <t>TRAFFIC USAGE SUBTOTAL</t>
  </si>
  <si>
    <t xml:space="preserve">                                            </t>
  </si>
  <si>
    <t xml:space="preserve">                      </t>
  </si>
  <si>
    <t>TOTAL TRAFFIC VOLUME RATING</t>
  </si>
  <si>
    <t>TRAFFIC ACCIDENTS (5 Points Max. for Roads - 10 Points Max. for Bridges)</t>
  </si>
  <si>
    <t>(Reported and Substantiated Unreported Accidents)</t>
  </si>
  <si>
    <t>(Indicate number of accidents, not number of fatalities, injuries or property damages)</t>
  </si>
  <si>
    <t>Prop. Damage</t>
  </si>
  <si>
    <t>Injury</t>
  </si>
  <si>
    <t xml:space="preserve">Fatality </t>
  </si>
  <si>
    <t>No. of accidents</t>
  </si>
  <si>
    <t xml:space="preserve">                                          </t>
  </si>
  <si>
    <t xml:space="preserve">    Subtotal</t>
  </si>
  <si>
    <t>Factor</t>
  </si>
  <si>
    <t>x3</t>
  </si>
  <si>
    <t xml:space="preserve">                                                     </t>
  </si>
  <si>
    <t>=</t>
  </si>
  <si>
    <t>+</t>
  </si>
  <si>
    <t>Total</t>
  </si>
  <si>
    <t>Accident Rate = Total(From Above) / AADT</t>
  </si>
  <si>
    <t>RATE</t>
  </si>
  <si>
    <t xml:space="preserve">  </t>
  </si>
  <si>
    <t>POINTS-ROADS</t>
  </si>
  <si>
    <t>POINTS-BRIDGES</t>
  </si>
  <si>
    <t xml:space="preserve">ACCIDENT RATE = </t>
  </si>
  <si>
    <t>TOTAL (From Above)/AADT, =</t>
  </si>
  <si>
    <t>TOTAL TRAFFIC ACCIDENT RATING</t>
  </si>
  <si>
    <t>(Intermediate values on scales are acceptable)</t>
  </si>
  <si>
    <t>1. SURFACE CONDITION (10 Points Max.)</t>
  </si>
  <si>
    <t>Excellent</t>
  </si>
  <si>
    <t>Tight surface with no slick or porous areas,</t>
  </si>
  <si>
    <t xml:space="preserve"> no cracks or spalling   </t>
  </si>
  <si>
    <t>Good</t>
  </si>
  <si>
    <t>Only minor, localized transverse cracks,</t>
  </si>
  <si>
    <t xml:space="preserve"> slick or porous areas</t>
  </si>
  <si>
    <t>Adequate</t>
  </si>
  <si>
    <t xml:space="preserve">Minor, localized, longitudinal cracks;  rutting, spalling or </t>
  </si>
  <si>
    <t xml:space="preserve">ravelling;  minor seal patching has been required;  some </t>
  </si>
  <si>
    <t>transverse cracking</t>
  </si>
  <si>
    <t>Fair</t>
  </si>
  <si>
    <t xml:space="preserve">Small areas that have required patching;  larger areas have </t>
  </si>
  <si>
    <t xml:space="preserve">required seal patching;  some longitudinal cracks, spalling, </t>
  </si>
  <si>
    <t>rutting, or ravelling</t>
  </si>
  <si>
    <t>Marginal</t>
  </si>
  <si>
    <t xml:space="preserve">Several areas that have required moderate to heavy </t>
  </si>
  <si>
    <t xml:space="preserve">patching; moderate to heavy cracking, spalling, </t>
  </si>
  <si>
    <t>rutting or ravelling</t>
  </si>
  <si>
    <t>Poor</t>
  </si>
  <si>
    <t xml:space="preserve">Large areas that have required asphalt patching and </t>
  </si>
  <si>
    <t xml:space="preserve">frequent seal coating;  heavy cracking, spalling, </t>
  </si>
  <si>
    <t>rutting and/or ravelling.</t>
  </si>
  <si>
    <t>*  Intermediate values are acceptable</t>
  </si>
  <si>
    <t xml:space="preserve">2. DRAINAGE (15 pts Max)  </t>
  </si>
  <si>
    <t>Good/Adequate = 2</t>
  </si>
  <si>
    <t xml:space="preserve">   Fair = 7</t>
  </si>
  <si>
    <t>Poor = 15</t>
  </si>
  <si>
    <t>3. SUBSURFACE CONDITION (20 pts Max)</t>
  </si>
  <si>
    <t xml:space="preserve">No signs of displacement or settling                   </t>
  </si>
  <si>
    <t xml:space="preserve">Minor localized sags along shoulder                    </t>
  </si>
  <si>
    <t xml:space="preserve">Moderate alligator cracking mid lane, some sags on </t>
  </si>
  <si>
    <t xml:space="preserve">     shoulders and  mid lane, minor localized settling</t>
  </si>
  <si>
    <t xml:space="preserve">Large areas of heavy alligator cracking, </t>
  </si>
  <si>
    <t xml:space="preserve">     extensive sagging and settling.</t>
  </si>
  <si>
    <t>Very Poor</t>
  </si>
  <si>
    <t xml:space="preserve">Major subgrade deterioration;  extensive deep sags and  </t>
  </si>
  <si>
    <t xml:space="preserve">     settling;  heavy alligator cracking throughout section.</t>
  </si>
  <si>
    <t>Structural Condition - Paved Only</t>
  </si>
  <si>
    <t>No surface material, large loose stones, barely travelable.</t>
  </si>
  <si>
    <t>POINTS:</t>
  </si>
  <si>
    <t>&gt; 2000</t>
  </si>
  <si>
    <t>Horizontal curve alignment</t>
  </si>
  <si>
    <t>Range Allowed:</t>
  </si>
  <si>
    <t>Even Numbers '4 to 12, even numbers</t>
  </si>
  <si>
    <t>Project Length in Miles, (nearest .01)</t>
  </si>
  <si>
    <t>Existing</t>
  </si>
  <si>
    <t>Proposed</t>
  </si>
  <si>
    <t>Design</t>
  </si>
  <si>
    <t>Degree</t>
  </si>
  <si>
    <t>% Super-</t>
  </si>
  <si>
    <t xml:space="preserve">Curve  </t>
  </si>
  <si>
    <t xml:space="preserve">De </t>
  </si>
  <si>
    <t>elevation</t>
  </si>
  <si>
    <t>Ds</t>
  </si>
  <si>
    <t>De-Ds</t>
  </si>
  <si>
    <t>VERTICAL ALIGNMENT (5 Points Max.)</t>
  </si>
  <si>
    <t>(Use stopping sight distance standard)</t>
  </si>
  <si>
    <t>Terrain</t>
  </si>
  <si>
    <t>Minimum Des. Speed Calc. Table</t>
  </si>
  <si>
    <t>De-Ds =</t>
  </si>
  <si>
    <r>
      <t xml:space="preserve">Length of substandard vertical curves in miles, </t>
    </r>
    <r>
      <rPr>
        <b/>
        <sz val="10"/>
        <rFont val="MS Sans Serif"/>
        <family val="2"/>
      </rPr>
      <t>CL</t>
    </r>
  </si>
  <si>
    <t>Flat</t>
  </si>
  <si>
    <r>
      <t>/ 4L</t>
    </r>
    <r>
      <rPr>
        <sz val="10"/>
        <rFont val="MS Sans Serif"/>
      </rPr>
      <t xml:space="preserve"> =</t>
    </r>
  </si>
  <si>
    <r>
      <t xml:space="preserve">Project length in miles, </t>
    </r>
    <r>
      <rPr>
        <b/>
        <sz val="10"/>
        <rFont val="MS Sans Serif"/>
        <family val="2"/>
      </rPr>
      <t>PL</t>
    </r>
  </si>
  <si>
    <t>Rolling</t>
  </si>
  <si>
    <t>CL/PL</t>
  </si>
  <si>
    <t>%</t>
  </si>
  <si>
    <t>Mountainous</t>
  </si>
  <si>
    <t>Minimum Design Speed</t>
  </si>
  <si>
    <t>Speed</t>
  </si>
  <si>
    <t>Superelevation</t>
  </si>
  <si>
    <t>HORIZONTAL ALIGNMENT (5 Points Max.)</t>
  </si>
  <si>
    <t>1. Do calculation inside brackets for each curve,</t>
  </si>
  <si>
    <t xml:space="preserve">                       </t>
  </si>
  <si>
    <t>2. Sum all the curve deficiencies</t>
  </si>
  <si>
    <t xml:space="preserve">  Points =            </t>
  </si>
  <si>
    <r>
      <t>[</t>
    </r>
    <r>
      <rPr>
        <b/>
        <sz val="10"/>
        <color indexed="12"/>
        <rFont val="MS Sans Serif"/>
        <family val="2"/>
      </rPr>
      <t>De - Ds</t>
    </r>
    <r>
      <rPr>
        <b/>
        <sz val="12"/>
        <color indexed="12"/>
        <rFont val="MS Sans Serif"/>
        <family val="2"/>
      </rPr>
      <t>]</t>
    </r>
  </si>
  <si>
    <t>3. Divide the total by 4 X project length.</t>
  </si>
  <si>
    <t xml:space="preserve">   4L</t>
  </si>
  <si>
    <t>n</t>
  </si>
  <si>
    <t xml:space="preserve">Where: </t>
  </si>
  <si>
    <t>De = Degree of Existing Curves</t>
  </si>
  <si>
    <t>Ds = Degree of Design Standard Curves</t>
  </si>
  <si>
    <t xml:space="preserve"> L  = Length of Project in Miles</t>
  </si>
  <si>
    <t>Super rate too low</t>
  </si>
  <si>
    <t>FATAL ACCIDENTS</t>
  </si>
  <si>
    <t>FLAT</t>
  </si>
  <si>
    <t>ROLLING</t>
  </si>
  <si>
    <t>MOUNTAINOUS</t>
  </si>
  <si>
    <t>Exist.</t>
  </si>
  <si>
    <t>Curve No.</t>
  </si>
  <si>
    <t>Sight</t>
  </si>
  <si>
    <t>Distance</t>
  </si>
  <si>
    <t>TRUCK ADT</t>
  </si>
  <si>
    <t>From CRAB</t>
  </si>
  <si>
    <t>III. VERTICAL ALIGNMENT (10 Pts. Max.)</t>
  </si>
  <si>
    <t>1)</t>
  </si>
  <si>
    <r>
      <t xml:space="preserve">Determine safe speed - </t>
    </r>
    <r>
      <rPr>
        <b/>
        <sz val="10"/>
        <rFont val="MS Sans Serif"/>
        <family val="2"/>
      </rPr>
      <t>Vs</t>
    </r>
  </si>
  <si>
    <t>Safe</t>
  </si>
  <si>
    <t>Vs</t>
  </si>
  <si>
    <t>Vd</t>
  </si>
  <si>
    <t>Project Length in Miles</t>
  </si>
  <si>
    <r>
      <t xml:space="preserve">Safe Speed </t>
    </r>
    <r>
      <rPr>
        <b/>
        <u/>
        <sz val="10"/>
        <rFont val="MS Sans Serif"/>
        <family val="2"/>
      </rPr>
      <t>Vs</t>
    </r>
    <r>
      <rPr>
        <u/>
        <sz val="10"/>
        <rFont val="MS Sans Serif"/>
        <family val="2"/>
      </rPr>
      <t xml:space="preserve"> Calculation Table</t>
    </r>
  </si>
  <si>
    <t>Curve</t>
  </si>
  <si>
    <t>Length of</t>
  </si>
  <si>
    <t>Percent</t>
  </si>
  <si>
    <t>of</t>
  </si>
  <si>
    <t>Project</t>
  </si>
  <si>
    <t>Points Calculation:</t>
  </si>
  <si>
    <t>no greater than 5 points</t>
  </si>
  <si>
    <t>miles</t>
  </si>
  <si>
    <t>feet</t>
  </si>
  <si>
    <t xml:space="preserve"> -Points for the Structural Condition of Roads will be assigned by the RAP engineer</t>
  </si>
  <si>
    <t xml:space="preserve"> -No points are allowed for conditions which will not be improved by the proposed project</t>
  </si>
  <si>
    <t>HORIZONTAL CURVES:</t>
  </si>
  <si>
    <t>VERTICAL CURVES:</t>
  </si>
  <si>
    <t xml:space="preserve">          Degree of Curve allowed</t>
  </si>
  <si>
    <t>Curve, ft</t>
  </si>
  <si>
    <t>(check one)</t>
  </si>
  <si>
    <t>P.D. ONLY ACCIDENTS</t>
  </si>
  <si>
    <t>Agriculture</t>
  </si>
  <si>
    <t>Logging</t>
  </si>
  <si>
    <t>Industry</t>
  </si>
  <si>
    <t>Recreation</t>
  </si>
  <si>
    <r>
      <t xml:space="preserve">GEOMETRY RATING - </t>
    </r>
    <r>
      <rPr>
        <u/>
        <sz val="8"/>
        <rFont val="MS Sans Serif"/>
        <family val="2"/>
      </rPr>
      <t>ROADS ONLY</t>
    </r>
  </si>
  <si>
    <t>Radius</t>
  </si>
  <si>
    <t>Re</t>
  </si>
  <si>
    <t>Rs-Re =</t>
  </si>
  <si>
    <t>Rs-Re</t>
  </si>
  <si>
    <t>Rs</t>
  </si>
  <si>
    <t xml:space="preserve">          Radius Required</t>
  </si>
  <si>
    <t>Using Radius required</t>
  </si>
  <si>
    <t>Using Degree of Curve</t>
  </si>
  <si>
    <t>% Super (e)</t>
  </si>
  <si>
    <t>(Surface Condition and Drainage points to be filled out by RAP Engineer)</t>
  </si>
  <si>
    <t>Scored By CRAB</t>
  </si>
  <si>
    <t>from CRAB</t>
  </si>
  <si>
    <t>2. DRAINAGE  (10 Points Max.)</t>
  </si>
  <si>
    <t>3. BASE OR FOUNDATION CONDITION  (15 Points Max)</t>
  </si>
  <si>
    <t>Submit Test procedure and/or Data</t>
  </si>
  <si>
    <t>By Cores:  Dig or excavate down 3 ft with backhoe or auger.</t>
  </si>
  <si>
    <t xml:space="preserve"> Analyze material below surfacing.</t>
  </si>
  <si>
    <t>4. TRUCK CLASS RATING  (10 Points Max.)</t>
  </si>
  <si>
    <t>From Road Log</t>
  </si>
  <si>
    <t>CLASS</t>
  </si>
  <si>
    <t>SELECT ONE:</t>
  </si>
  <si>
    <t>T6 or T7</t>
  </si>
  <si>
    <t>T5</t>
  </si>
  <si>
    <t>T4</t>
  </si>
  <si>
    <t>T3</t>
  </si>
  <si>
    <t>Base</t>
  </si>
  <si>
    <t>Truck Rating</t>
  </si>
  <si>
    <t>Add 2 pts if:</t>
  </si>
  <si>
    <t>F/C = 07</t>
  </si>
  <si>
    <t>TOTAL GRAVEL STRUCTURAL RATING</t>
  </si>
  <si>
    <t>SILT WITH CLAYS</t>
  </si>
  <si>
    <t>POSSIBLE:</t>
  </si>
  <si>
    <t>SCORE</t>
  </si>
  <si>
    <t>SELECTED:</t>
  </si>
  <si>
    <t>Intermediate values are acceptible</t>
  </si>
  <si>
    <t>Drainage Score</t>
  </si>
  <si>
    <t>SCORE:</t>
  </si>
  <si>
    <t>Visual Rating</t>
  </si>
  <si>
    <t>STRUCTURAL CONDITION:</t>
  </si>
  <si>
    <t>Subsurface or Soils</t>
  </si>
  <si>
    <t>*F&amp;G Truck Class</t>
  </si>
  <si>
    <t>OR</t>
  </si>
  <si>
    <t>Visual</t>
  </si>
  <si>
    <t>Cores</t>
  </si>
  <si>
    <t>F&amp;G</t>
  </si>
  <si>
    <t>F/C</t>
  </si>
  <si>
    <t>to 1/100s</t>
  </si>
  <si>
    <t>VOLUME:</t>
  </si>
  <si>
    <t>USAGE:</t>
  </si>
  <si>
    <t>Check each that apply:</t>
  </si>
  <si>
    <r>
      <t>LOCAL SIGNIFICANCE</t>
    </r>
    <r>
      <rPr>
        <b/>
        <u/>
        <sz val="7"/>
        <rFont val="MS Sans Serif"/>
        <family val="2"/>
      </rPr>
      <t/>
    </r>
  </si>
  <si>
    <t>TERRAIN</t>
  </si>
  <si>
    <t>WIDTH</t>
  </si>
  <si>
    <t>possible</t>
  </si>
  <si>
    <t>scored</t>
  </si>
  <si>
    <t>COUNTY</t>
  </si>
  <si>
    <t>PROJECT NAME</t>
  </si>
  <si>
    <t>ACP, BST, PCC</t>
  </si>
  <si>
    <t>(Surfaced)</t>
  </si>
  <si>
    <t>(Unsurfaced)</t>
  </si>
  <si>
    <t>INJURY, NON FATAL ACCIDENTS</t>
  </si>
  <si>
    <t>Total Visual Score</t>
  </si>
  <si>
    <t>ROAD BED</t>
  </si>
  <si>
    <t>PROPOSED</t>
  </si>
  <si>
    <t>Width Reduction Calcs</t>
  </si>
  <si>
    <t>EXISTING</t>
  </si>
  <si>
    <t>REFERRENCE TABLES</t>
  </si>
  <si>
    <t>COLLECTORS</t>
  </si>
  <si>
    <t>ROADBED WIDTH</t>
  </si>
  <si>
    <t>DESIGN</t>
  </si>
  <si>
    <t>LANE WIDTHS PER ADT</t>
  </si>
  <si>
    <t>SHOULDER WIDTHS PER ADT</t>
  </si>
  <si>
    <t>SPEED</t>
  </si>
  <si>
    <t>&lt; 400</t>
  </si>
  <si>
    <t>400 - 1500</t>
  </si>
  <si>
    <t>1500 - 2000</t>
  </si>
  <si>
    <t>Existing Roadbed Width</t>
  </si>
  <si>
    <t>ALL SPEEDS</t>
  </si>
  <si>
    <t>Proposed Roadbed Width</t>
  </si>
  <si>
    <t xml:space="preserve">     Cannot be greater than:</t>
  </si>
  <si>
    <t>ARTERIALS</t>
  </si>
  <si>
    <t>1501 - 2000</t>
  </si>
  <si>
    <t>&lt; 1501</t>
  </si>
  <si>
    <t>Design Roadbed Width, AASHTO</t>
  </si>
  <si>
    <t>Design Pavement Width, AASHTO</t>
  </si>
  <si>
    <t>AASHTO</t>
  </si>
  <si>
    <t>STATE OF WASHINGTON</t>
  </si>
  <si>
    <t>COUNTY ROAD ADMINISTRATION BOARD</t>
  </si>
  <si>
    <t>VERIFICATION OF 3R SCOPE FOR RAP PROJECT</t>
  </si>
  <si>
    <t>County</t>
  </si>
  <si>
    <t>Project name</t>
  </si>
  <si>
    <t>Project mileposts</t>
  </si>
  <si>
    <t xml:space="preserve">The scope of work for the RATA funding proposal mentioned above, and which was </t>
  </si>
  <si>
    <t xml:space="preserve">submitted to CRAB on </t>
  </si>
  <si>
    <t xml:space="preserve">, is based on 3R design standards as </t>
  </si>
  <si>
    <t xml:space="preserve">referrenced in the Local Agency Guidelines.   </t>
  </si>
  <si>
    <t xml:space="preserve">In keeping with these guidelines, I have considered the following factors as well as others </t>
  </si>
  <si>
    <t>in arriving at the proposed scope of improvements:</t>
  </si>
  <si>
    <t>Roadside conditions</t>
  </si>
  <si>
    <t>Funding constraints</t>
  </si>
  <si>
    <t>Environmental concerns</t>
  </si>
  <si>
    <t>Changing traffic and land use patterns</t>
  </si>
  <si>
    <t>Deterioration rate of surfacing</t>
  </si>
  <si>
    <t>Accidents or accident rates.</t>
  </si>
  <si>
    <t xml:space="preserve">Where justified, the project will include: </t>
  </si>
  <si>
    <t>Guardrail improvements or upgrades</t>
  </si>
  <si>
    <t>Approach and and transition guardrail improvements for bridges</t>
  </si>
  <si>
    <t>Beveled end sections for crossing and parallel culverts located in the clear zone.</t>
  </si>
  <si>
    <t>Relocating, protecting, or providing breakaway features for sign supports and luminaires</t>
  </si>
  <si>
    <t>Protection for exposed bridge piers and abuttments.</t>
  </si>
  <si>
    <t>Removing fixed objects from the clear zone</t>
  </si>
  <si>
    <t>Improvements to roadway geometry.</t>
  </si>
  <si>
    <t xml:space="preserve">With these and other improvements as mentioned in the project prospectus, the project </t>
  </si>
  <si>
    <t xml:space="preserve">will sufficiently extend service life, provide additonal pavement strength, restore or </t>
  </si>
  <si>
    <t>improve the original cross section, and enhance safety.</t>
  </si>
  <si>
    <t>County Engineer</t>
  </si>
  <si>
    <t>Date</t>
  </si>
  <si>
    <t>This letter must be completed prior to commencing construction and retained in the county's project files.</t>
  </si>
  <si>
    <t>SAND</t>
  </si>
  <si>
    <t>CLAY</t>
  </si>
  <si>
    <t>ORGANIC</t>
  </si>
  <si>
    <t>SILT</t>
  </si>
  <si>
    <t>GW, GP, GM, GC</t>
  </si>
  <si>
    <t>SW, SP, SM, SC</t>
  </si>
  <si>
    <t>ML, MH</t>
  </si>
  <si>
    <t>CL, CH</t>
  </si>
  <si>
    <t>OL, OH</t>
  </si>
  <si>
    <t>SE REGION DESIGNATIONS</t>
  </si>
  <si>
    <t>MAJOR DIVISIONS</t>
  </si>
  <si>
    <t>GROUP SYMBOL</t>
  </si>
  <si>
    <t>GROUP NAME</t>
  </si>
  <si>
    <t>COARSE GRAINED SOILS MORE THAN 50% RETAINED ON NO.200 SIEVE</t>
  </si>
  <si>
    <t>GRAVEL MORE THAN 50% OF COARSE FRACTION RETAINED ON NO.4 SIEVE</t>
  </si>
  <si>
    <t>CLEAN GRAVEL</t>
  </si>
  <si>
    <t>GW</t>
  </si>
  <si>
    <t>WELL-GRADED GRAVEL, FINE TO COARSE GRAVEL</t>
  </si>
  <si>
    <t>GP</t>
  </si>
  <si>
    <t>POORLY-GRADED GRAVEL</t>
  </si>
  <si>
    <t>GRAVEL WITH FINES</t>
  </si>
  <si>
    <t>GM</t>
  </si>
  <si>
    <t>SILTY GRAVEL</t>
  </si>
  <si>
    <t>GC</t>
  </si>
  <si>
    <t>CLAYEY GRAVEL</t>
  </si>
  <si>
    <t>SAND MORE THAN 50% OF COARSE FRACTION PASSES NO.4 SIEVE</t>
  </si>
  <si>
    <t>CLEAN SAND</t>
  </si>
  <si>
    <t>SW</t>
  </si>
  <si>
    <t>WELL-GRADED SAND, FINE TO COARSE SAND</t>
  </si>
  <si>
    <t>SP</t>
  </si>
  <si>
    <t>POORLY-GRADED SAND</t>
  </si>
  <si>
    <t>SAND WITH FINES</t>
  </si>
  <si>
    <t>SM</t>
  </si>
  <si>
    <t>SILTY SAND</t>
  </si>
  <si>
    <t>SC</t>
  </si>
  <si>
    <t>CLAYEY SAND</t>
  </si>
  <si>
    <t>FINE GRAINED SOILS MORE THAN 50% PASSES NO.200 SIEVE</t>
  </si>
  <si>
    <t>SILT AND CLAY LIQUID LIMIT LESS THAN 50</t>
  </si>
  <si>
    <t>INORGANIC</t>
  </si>
  <si>
    <t>ML</t>
  </si>
  <si>
    <t>CL</t>
  </si>
  <si>
    <t>OL</t>
  </si>
  <si>
    <t>ORGANIC SILT, ORGANIC CLAY</t>
  </si>
  <si>
    <t>SILT AND CLAY LIQUID LIMIT 50 OR MORE</t>
  </si>
  <si>
    <t>MH</t>
  </si>
  <si>
    <t>SILT OF HIGH PLASTICITY, ELASTIC SILT</t>
  </si>
  <si>
    <t>CH</t>
  </si>
  <si>
    <t>CLAY OF HIGH PLASTICITY, FAT CLAY</t>
  </si>
  <si>
    <t>OH</t>
  </si>
  <si>
    <t>ORGANIC CLAY, ORGANIC SILT</t>
  </si>
  <si>
    <t>HIGHLY ORGANIC SOILS</t>
  </si>
  <si>
    <t>PT</t>
  </si>
  <si>
    <t>PEAT</t>
  </si>
  <si>
    <t>07 Functional Class for Gravel Road</t>
  </si>
  <si>
    <t>1. SURFACE CONDITION  (8 Points Max)</t>
  </si>
  <si>
    <t>Improved</t>
  </si>
  <si>
    <t>Exist Sight</t>
  </si>
  <si>
    <t>Stnd</t>
  </si>
  <si>
    <t>Exist. Safe</t>
  </si>
  <si>
    <t>Curve #</t>
  </si>
  <si>
    <t>Avg.</t>
  </si>
  <si>
    <t>Sheet 2</t>
  </si>
  <si>
    <t>Cum.</t>
  </si>
  <si>
    <t>LIST  ALL  DEFICIENT  CURVES</t>
  </si>
  <si>
    <t>Deficient Length</t>
  </si>
  <si>
    <t>weighted</t>
  </si>
  <si>
    <t>SAMPLE</t>
  </si>
  <si>
    <t>DEVIATION ANALYSIS FORMAT</t>
  </si>
  <si>
    <t>Agency:</t>
  </si>
  <si>
    <t>Project Title:</t>
  </si>
  <si>
    <t>Project Number:</t>
  </si>
  <si>
    <t>1. Posted Speed Limit:</t>
  </si>
  <si>
    <t>2. Physical Comparison:</t>
  </si>
  <si>
    <t>a. Standard Geometrics</t>
  </si>
  <si>
    <t>b. Deviation Geometrics</t>
  </si>
  <si>
    <t>c. Discussion</t>
  </si>
  <si>
    <t>3. Cost Comparison:</t>
  </si>
  <si>
    <t>a. Standard</t>
  </si>
  <si>
    <t>b. Deviation</t>
  </si>
  <si>
    <t>4. Reasons Standard Cannot be Achieved:</t>
  </si>
  <si>
    <t>5. Certification:</t>
  </si>
  <si>
    <t>I have examined this deviation request and believe it to be in the best public interest that it be granted.</t>
  </si>
  <si>
    <t>City/County Engineer</t>
  </si>
  <si>
    <t>THIS SECTION NOT USED IN SCORING, LISTED AS AN EXAMPLE</t>
  </si>
  <si>
    <t>Information for the above columns to be taken from another input sheet</t>
  </si>
  <si>
    <t>Dev. From Design:</t>
  </si>
  <si>
    <t>PTS:</t>
  </si>
  <si>
    <t>Scored:</t>
  </si>
  <si>
    <t>LANE WIDTH</t>
  </si>
  <si>
    <t>Existing LANE Width</t>
  </si>
  <si>
    <t>Proposed LANE Width</t>
  </si>
  <si>
    <t>LANE</t>
  </si>
  <si>
    <r>
      <t xml:space="preserve">COLLECTOR </t>
    </r>
    <r>
      <rPr>
        <b/>
        <u/>
        <sz val="10"/>
        <color indexed="10"/>
        <rFont val="MS Sans Serif"/>
        <family val="2"/>
      </rPr>
      <t>SHOULDER</t>
    </r>
    <r>
      <rPr>
        <b/>
        <u/>
        <sz val="10"/>
        <rFont val="MS Sans Serif"/>
        <family val="2"/>
      </rPr>
      <t xml:space="preserve"> WIDTHS</t>
    </r>
  </si>
  <si>
    <r>
      <t>COLLECTOR</t>
    </r>
    <r>
      <rPr>
        <b/>
        <u/>
        <sz val="10"/>
        <color indexed="10"/>
        <rFont val="MS Sans Serif"/>
        <family val="2"/>
      </rPr>
      <t xml:space="preserve"> LANE </t>
    </r>
    <r>
      <rPr>
        <b/>
        <u/>
        <sz val="10"/>
        <rFont val="MS Sans Serif"/>
        <family val="2"/>
      </rPr>
      <t>WIDTHS</t>
    </r>
  </si>
  <si>
    <t>TOTAL UNREDUCED GEOMETRIC RATING</t>
  </si>
  <si>
    <t>UNREDUCED VERTICAL ALIGNMENT SUBTOTAL</t>
  </si>
  <si>
    <t>UNREDUCED HORIZONTAL ALIGNMENT SUBTOTAL</t>
  </si>
  <si>
    <t>x6</t>
  </si>
  <si>
    <t>x15</t>
  </si>
  <si>
    <t>Traffic Vol</t>
  </si>
  <si>
    <t>Accidents</t>
  </si>
  <si>
    <t>Structure</t>
  </si>
  <si>
    <t>Geometry</t>
  </si>
  <si>
    <t>TOTAL SCORE</t>
  </si>
  <si>
    <t>See USCS sheet</t>
  </si>
  <si>
    <t>RC Summary Sheet SE Region</t>
  </si>
  <si>
    <t>Road Condition</t>
  </si>
  <si>
    <t>14*SE*RC</t>
  </si>
  <si>
    <t>Special, M, L, FC</t>
  </si>
  <si>
    <t>2R, 3R Safety</t>
  </si>
  <si>
    <t>SE RC</t>
  </si>
  <si>
    <t>TRAFFIC RATING</t>
  </si>
  <si>
    <t>PROJECT LENGTH, MI.</t>
  </si>
  <si>
    <t>Check if this is your one Local Significant Route this RAP Cycle</t>
  </si>
  <si>
    <t>Federal Funct Class</t>
  </si>
  <si>
    <t>STRUCTURAL RATING</t>
  </si>
  <si>
    <t>Surface Type</t>
  </si>
  <si>
    <t>Gravel, Earth, etc.</t>
  </si>
  <si>
    <t>1. VISUAL:</t>
  </si>
  <si>
    <t>Provided by CRAB Staff</t>
  </si>
  <si>
    <t>Surfaced Road</t>
  </si>
  <si>
    <t>Unsurfaced Road</t>
  </si>
  <si>
    <r>
      <t xml:space="preserve">Add </t>
    </r>
    <r>
      <rPr>
        <b/>
        <u/>
        <sz val="8"/>
        <color rgb="FF7030A0"/>
        <rFont val="MS Sans Serif"/>
      </rPr>
      <t>Cores and Freight &amp; Goods Class data</t>
    </r>
    <r>
      <rPr>
        <b/>
        <sz val="8"/>
        <color rgb="FF7030A0"/>
        <rFont val="MS Sans Serif"/>
      </rPr>
      <t xml:space="preserve"> for gravel or unsurfaced Roads Only:</t>
    </r>
  </si>
  <si>
    <t>2. CORES:</t>
  </si>
  <si>
    <t>Provided by County</t>
  </si>
  <si>
    <t>3. FREIGHT AND GOODS CLASS</t>
  </si>
  <si>
    <t>Use a backhoe or auger, to depth of 3 ft.</t>
  </si>
  <si>
    <t>SELECT</t>
  </si>
  <si>
    <t xml:space="preserve"> ONE:</t>
  </si>
  <si>
    <t>GRAVELS</t>
  </si>
  <si>
    <t>ONE:</t>
  </si>
  <si>
    <t>SILTS</t>
  </si>
  <si>
    <t>T1-T3</t>
  </si>
  <si>
    <t>Surfaced Roads</t>
  </si>
  <si>
    <t>Points Calculation Table</t>
  </si>
  <si>
    <t xml:space="preserve"> =% / 2</t>
  </si>
  <si>
    <t>ACCIDENT HISTORY</t>
  </si>
  <si>
    <t>Calculated based on the number of curve deficiencies divided by project length</t>
  </si>
  <si>
    <t>Calc. sheet</t>
  </si>
  <si>
    <t>- Dependent on Terrain</t>
  </si>
  <si>
    <r>
      <t xml:space="preserve">RAP </t>
    </r>
    <r>
      <rPr>
        <b/>
        <sz val="20"/>
        <color indexed="30"/>
        <rFont val="Arial"/>
        <family val="2"/>
      </rPr>
      <t>RC</t>
    </r>
    <r>
      <rPr>
        <b/>
        <sz val="20"/>
        <color indexed="62"/>
        <rFont val="Arial"/>
        <family val="2"/>
      </rPr>
      <t xml:space="preserve"> project</t>
    </r>
  </si>
  <si>
    <t>SE Region</t>
  </si>
  <si>
    <t>3R RATING SUMMARY:</t>
  </si>
  <si>
    <t>Use the last five
full years' reports</t>
  </si>
  <si>
    <t>ACCIDENTS:</t>
  </si>
  <si>
    <t>Unsurfaced 
Roads</t>
  </si>
  <si>
    <t>F&amp;G
CLASS</t>
  </si>
  <si>
    <r>
      <t xml:space="preserve">Visual </t>
    </r>
    <r>
      <rPr>
        <b/>
        <sz val="10"/>
        <color rgb="FF3366FF"/>
        <rFont val="Arial"/>
        <family val="2"/>
      </rPr>
      <t>Surface</t>
    </r>
    <r>
      <rPr>
        <sz val="10"/>
        <rFont val="Arial"/>
        <family val="2"/>
      </rPr>
      <t xml:space="preserve"> Score</t>
    </r>
  </si>
  <si>
    <t>Adequate amount of surface material of proper gradation and well fractured</t>
  </si>
  <si>
    <t>Some material but over sized gradation or poorly fractured</t>
  </si>
  <si>
    <t xml:space="preserve">If traffic volumes and speed are such that excessive </t>
  </si>
  <si>
    <t>maintenance is  required, a maximum rating may be applied.</t>
  </si>
  <si>
    <r>
      <t xml:space="preserve">STRUCTURAL CONDITION   </t>
    </r>
    <r>
      <rPr>
        <b/>
        <sz val="10"/>
        <color rgb="FF0070C0"/>
        <rFont val="MS Sans Serif"/>
      </rPr>
      <t xml:space="preserve">GRAVEL </t>
    </r>
    <r>
      <rPr>
        <sz val="10"/>
        <rFont val="MS Sans Serif"/>
      </rPr>
      <t>(</t>
    </r>
    <r>
      <rPr>
        <b/>
        <sz val="10"/>
        <color indexed="10"/>
        <rFont val="MS Sans Serif"/>
        <family val="2"/>
      </rPr>
      <t>45</t>
    </r>
    <r>
      <rPr>
        <sz val="10"/>
        <rFont val="MS Sans Serif"/>
      </rPr>
      <t xml:space="preserve"> Points Max.)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</si>
</sst>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yyyy"/>
    <numFmt numFmtId="165" formatCode="0.0000"/>
    <numFmt numFmtId="166" formatCode="#"/>
    <numFmt numFmtId="167" formatCode="0#"/>
    <numFmt numFmtId="168" formatCode="[$-409]mmmm\ d\,\ yyyy;@"/>
  </numFmts>
  <fonts count="102" x14ac:knownFonts="1">
    <font>
      <sz val="10"/>
      <name val="MS Sans Serif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MS Sans Serif"/>
      <family val="2"/>
    </font>
    <font>
      <b/>
      <sz val="12"/>
      <name val="MS Sans Serif"/>
      <family val="2"/>
    </font>
    <font>
      <u/>
      <sz val="12"/>
      <name val="MS Sans Serif"/>
      <family val="2"/>
    </font>
    <font>
      <u/>
      <sz val="10"/>
      <name val="MS Sans Serif"/>
      <family val="2"/>
    </font>
    <font>
      <sz val="10"/>
      <name val="MS Sans Serif"/>
      <family val="2"/>
    </font>
    <font>
      <b/>
      <sz val="10"/>
      <color indexed="10"/>
      <name val="MS Sans Serif"/>
      <family val="2"/>
    </font>
    <font>
      <u/>
      <sz val="10"/>
      <name val="MS Sans Serif"/>
      <family val="2"/>
    </font>
    <font>
      <b/>
      <sz val="10"/>
      <name val="MS Sans Serif"/>
      <family val="2"/>
    </font>
    <font>
      <sz val="10"/>
      <name val="Arial"/>
      <family val="2"/>
    </font>
    <font>
      <sz val="6"/>
      <name val="MS Sans Serif"/>
      <family val="2"/>
    </font>
    <font>
      <sz val="8"/>
      <name val="MS Sans Serif"/>
      <family val="2"/>
    </font>
    <font>
      <u/>
      <sz val="8"/>
      <name val="MS Sans Serif"/>
      <family val="2"/>
    </font>
    <font>
      <sz val="8.5"/>
      <name val="MS Sans Serif"/>
      <family val="2"/>
    </font>
    <font>
      <b/>
      <u/>
      <sz val="10"/>
      <name val="MS Sans Serif"/>
      <family val="2"/>
    </font>
    <font>
      <b/>
      <u/>
      <sz val="10"/>
      <name val="MS Sans Serif"/>
      <family val="2"/>
    </font>
    <font>
      <b/>
      <sz val="8.5"/>
      <color indexed="10"/>
      <name val="MS Sans Serif"/>
      <family val="2"/>
    </font>
    <font>
      <b/>
      <sz val="10"/>
      <color indexed="14"/>
      <name val="MS Sans Serif"/>
      <family val="2"/>
    </font>
    <font>
      <sz val="8.5"/>
      <color indexed="12"/>
      <name val="MS Sans Serif"/>
      <family val="2"/>
    </font>
    <font>
      <b/>
      <sz val="12"/>
      <color indexed="12"/>
      <name val="MS Sans Serif"/>
      <family val="2"/>
    </font>
    <font>
      <b/>
      <sz val="10"/>
      <color indexed="12"/>
      <name val="MS Sans Serif"/>
      <family val="2"/>
    </font>
    <font>
      <b/>
      <sz val="8.5"/>
      <color indexed="12"/>
      <name val="MS Sans Serif"/>
      <family val="2"/>
    </font>
    <font>
      <sz val="12"/>
      <name val="MS Sans Serif"/>
      <family val="2"/>
    </font>
    <font>
      <sz val="12"/>
      <name val="MS Sans Serif"/>
      <family val="2"/>
    </font>
    <font>
      <sz val="8"/>
      <name val="MS Sans Serif"/>
      <family val="2"/>
    </font>
    <font>
      <sz val="10"/>
      <color indexed="10"/>
      <name val="MS Sans Serif"/>
      <family val="2"/>
    </font>
    <font>
      <b/>
      <sz val="10"/>
      <color indexed="10"/>
      <name val="MS Sans Serif"/>
      <family val="2"/>
    </font>
    <font>
      <b/>
      <sz val="8"/>
      <name val="MS Sans Serif"/>
      <family val="2"/>
    </font>
    <font>
      <b/>
      <u/>
      <sz val="8"/>
      <name val="MS Sans Serif"/>
      <family val="2"/>
    </font>
    <font>
      <b/>
      <u/>
      <sz val="12"/>
      <color indexed="14"/>
      <name val="MS Sans Serif"/>
      <family val="2"/>
    </font>
    <font>
      <b/>
      <u/>
      <sz val="10"/>
      <color indexed="10"/>
      <name val="Arial"/>
      <family val="2"/>
    </font>
    <font>
      <u/>
      <sz val="10"/>
      <name val="Arial"/>
      <family val="2"/>
    </font>
    <font>
      <u/>
      <sz val="8"/>
      <name val="MS Sans Serif"/>
      <family val="2"/>
    </font>
    <font>
      <sz val="10"/>
      <color indexed="9"/>
      <name val="Arial"/>
      <family val="2"/>
    </font>
    <font>
      <b/>
      <sz val="10"/>
      <color indexed="10"/>
      <name val="Arial"/>
      <family val="2"/>
    </font>
    <font>
      <sz val="10"/>
      <color indexed="9"/>
      <name val="Arial"/>
      <family val="2"/>
    </font>
    <font>
      <sz val="8"/>
      <color indexed="10"/>
      <name val="MS Sans Serif"/>
      <family val="2"/>
    </font>
    <font>
      <sz val="8"/>
      <name val="Arial"/>
      <family val="2"/>
    </font>
    <font>
      <sz val="10"/>
      <name val="MS Sans Serif"/>
      <family val="2"/>
    </font>
    <font>
      <sz val="10"/>
      <color indexed="10"/>
      <name val="Arial"/>
      <family val="2"/>
    </font>
    <font>
      <b/>
      <u/>
      <sz val="10"/>
      <color indexed="12"/>
      <name val="MS Sans Serif"/>
      <family val="2"/>
    </font>
    <font>
      <b/>
      <u/>
      <sz val="7"/>
      <name val="MS Sans Serif"/>
      <family val="2"/>
    </font>
    <font>
      <b/>
      <sz val="10"/>
      <color indexed="12"/>
      <name val="MS Sans Serif"/>
      <family val="2"/>
    </font>
    <font>
      <sz val="10"/>
      <color indexed="9"/>
      <name val="MS Sans Serif"/>
      <family val="2"/>
    </font>
    <font>
      <sz val="8"/>
      <color indexed="10"/>
      <name val="MS Sans Serif"/>
      <family val="2"/>
    </font>
    <font>
      <sz val="10"/>
      <color indexed="14"/>
      <name val="MS Sans Serif"/>
      <family val="2"/>
    </font>
    <font>
      <b/>
      <sz val="10"/>
      <name val="Arial"/>
      <family val="2"/>
    </font>
    <font>
      <sz val="14"/>
      <name val="Courier New"/>
      <family val="3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sz val="8.5"/>
      <name val="MS Sans Serif"/>
      <family val="2"/>
    </font>
    <font>
      <b/>
      <sz val="12"/>
      <color indexed="14"/>
      <name val="MS Sans Serif"/>
      <family val="2"/>
    </font>
    <font>
      <b/>
      <sz val="8.5"/>
      <name val="Verdana"/>
      <family val="2"/>
    </font>
    <font>
      <b/>
      <sz val="8.5"/>
      <color indexed="14"/>
      <name val="MS Sans Serif"/>
      <family val="2"/>
    </font>
    <font>
      <sz val="8.5"/>
      <name val="Verdana"/>
      <family val="2"/>
    </font>
    <font>
      <b/>
      <sz val="8.5"/>
      <name val="MS Sans Serif"/>
      <family val="2"/>
    </font>
    <font>
      <sz val="8.5"/>
      <name val="Times New Roman"/>
      <family val="1"/>
    </font>
    <font>
      <b/>
      <sz val="14"/>
      <color indexed="14"/>
      <name val="MS Sans Serif"/>
      <family val="2"/>
    </font>
    <font>
      <sz val="8"/>
      <color indexed="9"/>
      <name val="MS Sans Serif"/>
      <family val="2"/>
    </font>
    <font>
      <sz val="14"/>
      <color indexed="10"/>
      <name val="MS Sans Serif"/>
      <family val="2"/>
    </font>
    <font>
      <b/>
      <u/>
      <sz val="10"/>
      <color indexed="12"/>
      <name val="MS Sans Serif"/>
      <family val="2"/>
    </font>
    <font>
      <b/>
      <i/>
      <sz val="12"/>
      <name val="Arial"/>
      <family val="2"/>
    </font>
    <font>
      <sz val="12"/>
      <name val="Times New Roman"/>
      <family val="1"/>
    </font>
    <font>
      <b/>
      <sz val="18"/>
      <name val="MS Sans Serif"/>
      <family val="2"/>
    </font>
    <font>
      <sz val="10"/>
      <name val="MS Sans Serif"/>
      <family val="2"/>
    </font>
    <font>
      <b/>
      <u/>
      <sz val="10"/>
      <color indexed="10"/>
      <name val="MS Sans Serif"/>
      <family val="2"/>
    </font>
    <font>
      <sz val="10"/>
      <color indexed="10"/>
      <name val="MS Sans Serif"/>
      <family val="2"/>
    </font>
    <font>
      <sz val="10"/>
      <color indexed="47"/>
      <name val="MS Sans Serif"/>
      <family val="2"/>
    </font>
    <font>
      <b/>
      <sz val="10"/>
      <color indexed="10"/>
      <name val="MS Sans Serif"/>
      <family val="2"/>
    </font>
    <font>
      <sz val="20"/>
      <name val="Calibri"/>
      <family val="2"/>
    </font>
    <font>
      <sz val="8"/>
      <color indexed="9"/>
      <name val="Arial"/>
      <family val="2"/>
    </font>
    <font>
      <i/>
      <sz val="10"/>
      <name val="MS Sans Serif"/>
      <family val="2"/>
    </font>
    <font>
      <b/>
      <u/>
      <sz val="24"/>
      <name val="MS Sans Serif"/>
      <family val="2"/>
    </font>
    <font>
      <b/>
      <i/>
      <sz val="10"/>
      <color theme="0" tint="-0.499984740745262"/>
      <name val="MS Sans Serif"/>
      <family val="2"/>
    </font>
    <font>
      <i/>
      <sz val="10"/>
      <color theme="0" tint="-0.499984740745262"/>
      <name val="MS Sans Serif"/>
      <family val="2"/>
    </font>
    <font>
      <sz val="10"/>
      <color rgb="FFFF0000"/>
      <name val="MS Sans Serif"/>
      <family val="2"/>
    </font>
    <font>
      <sz val="10"/>
      <color theme="0" tint="-0.14999847407452621"/>
      <name val="MS Sans Serif"/>
      <family val="2"/>
    </font>
    <font>
      <b/>
      <sz val="8"/>
      <color indexed="12"/>
      <name val="MS Sans Serif"/>
      <family val="2"/>
    </font>
    <font>
      <b/>
      <sz val="8"/>
      <color rgb="FFFF0000"/>
      <name val="MS Sans Serif"/>
    </font>
    <font>
      <sz val="10"/>
      <color rgb="FFFF0000"/>
      <name val="MS Sans Serif"/>
    </font>
    <font>
      <u/>
      <sz val="8"/>
      <color indexed="12"/>
      <name val="MS Sans Serif"/>
      <family val="2"/>
    </font>
    <font>
      <b/>
      <sz val="8"/>
      <color rgb="FF7030A0"/>
      <name val="MS Sans Serif"/>
    </font>
    <font>
      <b/>
      <u/>
      <sz val="8"/>
      <color rgb="FF7030A0"/>
      <name val="MS Sans Serif"/>
    </font>
    <font>
      <b/>
      <u/>
      <sz val="10"/>
      <name val="MS Sans Serif"/>
    </font>
    <font>
      <sz val="8"/>
      <name val="MS Sans Serif"/>
    </font>
    <font>
      <u/>
      <sz val="8"/>
      <name val="MS Sans Serif"/>
    </font>
    <font>
      <b/>
      <sz val="10"/>
      <name val="MS Sans Serif"/>
    </font>
    <font>
      <sz val="8"/>
      <color indexed="12"/>
      <name val="MS Sans Serif"/>
      <family val="2"/>
    </font>
    <font>
      <b/>
      <sz val="10"/>
      <color indexed="12"/>
      <name val="MS Sans Serif"/>
    </font>
    <font>
      <b/>
      <sz val="10"/>
      <color rgb="FFFF0000"/>
      <name val="MS Sans Serif"/>
      <family val="2"/>
    </font>
    <font>
      <b/>
      <sz val="20"/>
      <color rgb="FF7030A0"/>
      <name val="Arial"/>
      <family val="2"/>
    </font>
    <font>
      <b/>
      <sz val="20"/>
      <color indexed="30"/>
      <name val="Arial"/>
      <family val="2"/>
    </font>
    <font>
      <b/>
      <sz val="20"/>
      <color indexed="62"/>
      <name val="Arial"/>
      <family val="2"/>
    </font>
    <font>
      <b/>
      <sz val="18"/>
      <color rgb="FF0070C0"/>
      <name val="MS Sans Serif"/>
    </font>
    <font>
      <b/>
      <sz val="10"/>
      <color rgb="FF3366FF"/>
      <name val="Arial"/>
      <family val="2"/>
    </font>
    <font>
      <b/>
      <u/>
      <sz val="18"/>
      <color rgb="FF0070C0"/>
      <name val="MS Sans Serif"/>
      <family val="2"/>
    </font>
    <font>
      <b/>
      <u/>
      <sz val="8"/>
      <color indexed="10"/>
      <name val="Arial"/>
      <family val="2"/>
    </font>
    <font>
      <b/>
      <sz val="10"/>
      <color rgb="FF0070C0"/>
      <name val="MS Sans Serif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medium">
        <color indexed="14"/>
      </left>
      <right style="medium">
        <color indexed="14"/>
      </right>
      <top style="medium">
        <color indexed="14"/>
      </top>
      <bottom style="medium">
        <color indexed="14"/>
      </bottom>
      <diagonal/>
    </border>
    <border>
      <left/>
      <right/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14"/>
      </left>
      <right style="medium">
        <color indexed="14"/>
      </right>
      <top style="medium">
        <color indexed="1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50"/>
      </top>
      <bottom/>
      <diagonal/>
    </border>
    <border>
      <left/>
      <right style="medium">
        <color indexed="50"/>
      </right>
      <top/>
      <bottom/>
      <diagonal/>
    </border>
    <border>
      <left style="medium">
        <color indexed="50"/>
      </left>
      <right/>
      <top/>
      <bottom/>
      <diagonal/>
    </border>
    <border>
      <left/>
      <right/>
      <top/>
      <bottom style="medium">
        <color indexed="50"/>
      </bottom>
      <diagonal/>
    </border>
    <border>
      <left/>
      <right style="medium">
        <color indexed="50"/>
      </right>
      <top/>
      <bottom style="medium">
        <color indexed="50"/>
      </bottom>
      <diagonal/>
    </border>
    <border>
      <left/>
      <right/>
      <top style="thin">
        <color indexed="64"/>
      </top>
      <bottom style="medium">
        <color indexed="50"/>
      </bottom>
      <diagonal/>
    </border>
    <border>
      <left style="medium">
        <color indexed="50"/>
      </left>
      <right/>
      <top style="medium">
        <color indexed="50"/>
      </top>
      <bottom/>
      <diagonal/>
    </border>
    <border>
      <left/>
      <right style="medium">
        <color indexed="50"/>
      </right>
      <top style="medium">
        <color indexed="50"/>
      </top>
      <bottom/>
      <diagonal/>
    </border>
    <border>
      <left style="medium">
        <color indexed="50"/>
      </left>
      <right/>
      <top/>
      <bottom style="medium">
        <color indexed="5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/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rgb="FF00B050"/>
      </left>
      <right/>
      <top style="thick">
        <color rgb="FF00B050"/>
      </top>
      <bottom/>
      <diagonal/>
    </border>
    <border>
      <left/>
      <right/>
      <top style="thick">
        <color rgb="FF00B050"/>
      </top>
      <bottom/>
      <diagonal/>
    </border>
    <border>
      <left/>
      <right style="thick">
        <color rgb="FF00B050"/>
      </right>
      <top style="thick">
        <color rgb="FF00B050"/>
      </top>
      <bottom/>
      <diagonal/>
    </border>
    <border>
      <left style="thick">
        <color rgb="FF00B050"/>
      </left>
      <right/>
      <top/>
      <bottom/>
      <diagonal/>
    </border>
    <border>
      <left/>
      <right style="thick">
        <color rgb="FF00B050"/>
      </right>
      <top/>
      <bottom/>
      <diagonal/>
    </border>
    <border>
      <left style="thick">
        <color rgb="FF00B050"/>
      </left>
      <right/>
      <top/>
      <bottom style="thick">
        <color rgb="FF00B050"/>
      </bottom>
      <diagonal/>
    </border>
    <border>
      <left/>
      <right/>
      <top/>
      <bottom style="thick">
        <color rgb="FF00B0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00B050"/>
      </bottom>
      <diagonal/>
    </border>
    <border>
      <left/>
      <right style="thick">
        <color rgb="FF00B050"/>
      </right>
      <top/>
      <bottom style="thick">
        <color rgb="FF00B050"/>
      </bottom>
      <diagonal/>
    </border>
    <border>
      <left style="medium">
        <color indexed="14"/>
      </left>
      <right style="medium">
        <color indexed="14"/>
      </right>
      <top style="medium">
        <color indexed="14"/>
      </top>
      <bottom style="thick">
        <color rgb="FF00B050"/>
      </bottom>
      <diagonal/>
    </border>
    <border>
      <left/>
      <right/>
      <top style="medium">
        <color rgb="FF00B050"/>
      </top>
      <bottom/>
      <diagonal/>
    </border>
    <border>
      <left/>
      <right style="medium">
        <color rgb="FF00B050"/>
      </right>
      <top style="medium">
        <color rgb="FF00B050"/>
      </top>
      <bottom/>
      <diagonal/>
    </border>
    <border>
      <left/>
      <right style="medium">
        <color rgb="FF00B050"/>
      </right>
      <top/>
      <bottom/>
      <diagonal/>
    </border>
    <border>
      <left/>
      <right/>
      <top/>
      <bottom style="medium">
        <color rgb="FF00B050"/>
      </bottom>
      <diagonal/>
    </border>
    <border>
      <left/>
      <right style="medium">
        <color rgb="FF00B050"/>
      </right>
      <top/>
      <bottom style="medium">
        <color rgb="FF00B050"/>
      </bottom>
      <diagonal/>
    </border>
    <border>
      <left style="thick">
        <color rgb="FF00B050"/>
      </left>
      <right/>
      <top style="hair">
        <color rgb="FF00B050"/>
      </top>
      <bottom/>
      <diagonal/>
    </border>
    <border>
      <left/>
      <right/>
      <top style="hair">
        <color rgb="FF00B050"/>
      </top>
      <bottom/>
      <diagonal/>
    </border>
    <border>
      <left/>
      <right style="thick">
        <color rgb="FF00B050"/>
      </right>
      <top style="hair">
        <color rgb="FF00B050"/>
      </top>
      <bottom/>
      <diagonal/>
    </border>
    <border>
      <left style="thick">
        <color rgb="FF00B050"/>
      </left>
      <right/>
      <top/>
      <bottom style="hair">
        <color rgb="FF00B050"/>
      </bottom>
      <diagonal/>
    </border>
    <border>
      <left/>
      <right/>
      <top/>
      <bottom style="hair">
        <color rgb="FF00B0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rgb="FF00B050"/>
      </bottom>
      <diagonal/>
    </border>
    <border>
      <left/>
      <right style="thick">
        <color rgb="FF00B050"/>
      </right>
      <top/>
      <bottom style="hair">
        <color rgb="FF00B050"/>
      </bottom>
      <diagonal/>
    </border>
  </borders>
  <cellStyleXfs count="7">
    <xf numFmtId="0" fontId="0" fillId="0" borderId="0"/>
    <xf numFmtId="40" fontId="68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41" fillId="0" borderId="0"/>
    <xf numFmtId="0" fontId="41" fillId="0" borderId="0">
      <alignment horizontal="center"/>
    </xf>
    <xf numFmtId="9" fontId="2" fillId="0" borderId="0" applyFont="0" applyFill="0" applyBorder="0" applyAlignment="0" applyProtection="0"/>
  </cellStyleXfs>
  <cellXfs count="73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0" fillId="0" borderId="0" xfId="0" applyAlignment="1" applyProtection="1">
      <alignment horizontal="left"/>
    </xf>
    <xf numFmtId="0" fontId="0" fillId="0" borderId="0" xfId="0" applyAlignment="1" applyProtection="1"/>
    <xf numFmtId="0" fontId="4" fillId="0" borderId="0" xfId="0" applyFont="1" applyAlignment="1" applyProtection="1">
      <alignment horizontal="left"/>
    </xf>
    <xf numFmtId="0" fontId="0" fillId="0" borderId="0" xfId="0" applyAlignment="1" applyProtection="1">
      <alignment horizontal="center"/>
    </xf>
    <xf numFmtId="0" fontId="0" fillId="0" borderId="0" xfId="0" applyBorder="1" applyAlignment="1" applyProtection="1">
      <alignment horizontal="left"/>
    </xf>
    <xf numFmtId="0" fontId="0" fillId="0" borderId="0" xfId="0" applyProtection="1"/>
    <xf numFmtId="0" fontId="8" fillId="0" borderId="0" xfId="0" applyFont="1" applyAlignment="1" applyProtection="1">
      <alignment horizontal="center"/>
    </xf>
    <xf numFmtId="0" fontId="0" fillId="0" borderId="8" xfId="0" applyFill="1" applyBorder="1" applyAlignment="1" applyProtection="1">
      <alignment horizontal="center"/>
    </xf>
    <xf numFmtId="0" fontId="0" fillId="0" borderId="0" xfId="0" applyAlignment="1" applyProtection="1">
      <alignment horizontal="right"/>
    </xf>
    <xf numFmtId="0" fontId="41" fillId="0" borderId="0" xfId="0" applyFont="1" applyProtection="1"/>
    <xf numFmtId="0" fontId="0" fillId="0" borderId="0" xfId="0" applyFill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27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centerContinuous"/>
    </xf>
    <xf numFmtId="0" fontId="0" fillId="0" borderId="1" xfId="0" applyBorder="1" applyAlignment="1" applyProtection="1">
      <alignment horizontal="left"/>
    </xf>
    <xf numFmtId="0" fontId="0" fillId="0" borderId="2" xfId="0" applyBorder="1" applyAlignment="1" applyProtection="1">
      <alignment horizontal="left"/>
    </xf>
    <xf numFmtId="0" fontId="0" fillId="0" borderId="2" xfId="0" applyBorder="1" applyProtection="1"/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left"/>
    </xf>
    <xf numFmtId="0" fontId="0" fillId="0" borderId="4" xfId="0" applyBorder="1" applyProtection="1"/>
    <xf numFmtId="0" fontId="7" fillId="0" borderId="0" xfId="0" applyFont="1" applyAlignment="1" applyProtection="1">
      <alignment horizontal="center"/>
    </xf>
    <xf numFmtId="0" fontId="0" fillId="0" borderId="13" xfId="0" applyBorder="1" applyAlignment="1" applyProtection="1">
      <alignment horizontal="left"/>
    </xf>
    <xf numFmtId="0" fontId="45" fillId="0" borderId="0" xfId="0" applyFont="1" applyAlignment="1" applyProtection="1">
      <alignment horizontal="left"/>
    </xf>
    <xf numFmtId="0" fontId="0" fillId="0" borderId="13" xfId="0" applyBorder="1" applyAlignment="1" applyProtection="1"/>
    <xf numFmtId="0" fontId="8" fillId="0" borderId="16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13" xfId="0" applyBorder="1" applyProtection="1"/>
    <xf numFmtId="0" fontId="0" fillId="0" borderId="0" xfId="0" applyBorder="1" applyAlignment="1" applyProtection="1">
      <alignment horizontal="right"/>
    </xf>
    <xf numFmtId="2" fontId="0" fillId="0" borderId="0" xfId="0" applyNumberFormat="1" applyBorder="1" applyAlignment="1" applyProtection="1">
      <alignment horizontal="center"/>
    </xf>
    <xf numFmtId="0" fontId="0" fillId="0" borderId="0" xfId="0" quotePrefix="1" applyBorder="1" applyAlignment="1" applyProtection="1">
      <alignment horizontal="right"/>
    </xf>
    <xf numFmtId="0" fontId="8" fillId="0" borderId="0" xfId="0" applyFont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Border="1" applyAlignment="1" applyProtection="1">
      <alignment horizontal="right"/>
    </xf>
    <xf numFmtId="0" fontId="4" fillId="0" borderId="2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/>
    </xf>
    <xf numFmtId="0" fontId="0" fillId="0" borderId="5" xfId="0" applyBorder="1" applyProtection="1"/>
    <xf numFmtId="0" fontId="11" fillId="0" borderId="6" xfId="0" applyFont="1" applyBorder="1" applyAlignment="1" applyProtection="1">
      <alignment horizontal="left"/>
    </xf>
    <xf numFmtId="0" fontId="0" fillId="0" borderId="6" xfId="0" applyBorder="1" applyAlignment="1" applyProtection="1">
      <alignment horizontal="left"/>
    </xf>
    <xf numFmtId="0" fontId="0" fillId="0" borderId="6" xfId="0" applyBorder="1" applyProtection="1"/>
    <xf numFmtId="0" fontId="4" fillId="0" borderId="6" xfId="0" applyFont="1" applyBorder="1" applyAlignment="1" applyProtection="1">
      <alignment horizontal="center" vertical="center"/>
    </xf>
    <xf numFmtId="0" fontId="0" fillId="0" borderId="6" xfId="0" applyBorder="1" applyAlignment="1" applyProtection="1">
      <alignment horizontal="left" vertical="center"/>
    </xf>
    <xf numFmtId="2" fontId="29" fillId="0" borderId="6" xfId="0" applyNumberFormat="1" applyFont="1" applyBorder="1" applyAlignment="1" applyProtection="1">
      <alignment horizontal="center" vertical="center"/>
    </xf>
    <xf numFmtId="0" fontId="0" fillId="0" borderId="7" xfId="0" applyBorder="1" applyAlignment="1" applyProtection="1">
      <alignment horizontal="left"/>
    </xf>
    <xf numFmtId="2" fontId="0" fillId="0" borderId="8" xfId="0" applyNumberFormat="1" applyBorder="1" applyAlignment="1" applyProtection="1">
      <alignment horizontal="center"/>
    </xf>
    <xf numFmtId="2" fontId="9" fillId="0" borderId="2" xfId="0" applyNumberFormat="1" applyFont="1" applyBorder="1" applyAlignment="1" applyProtection="1">
      <alignment horizontal="center"/>
    </xf>
    <xf numFmtId="2" fontId="4" fillId="0" borderId="0" xfId="0" applyNumberFormat="1" applyFont="1" applyBorder="1" applyAlignment="1" applyProtection="1">
      <alignment horizontal="center"/>
    </xf>
    <xf numFmtId="0" fontId="29" fillId="0" borderId="0" xfId="0" applyFont="1" applyBorder="1" applyAlignment="1" applyProtection="1">
      <alignment horizontal="center"/>
    </xf>
    <xf numFmtId="2" fontId="0" fillId="0" borderId="16" xfId="0" applyNumberFormat="1" applyBorder="1" applyAlignment="1" applyProtection="1">
      <alignment horizontal="center"/>
    </xf>
    <xf numFmtId="2" fontId="29" fillId="0" borderId="2" xfId="0" applyNumberFormat="1" applyFont="1" applyBorder="1" applyAlignment="1" applyProtection="1">
      <alignment horizontal="center"/>
    </xf>
    <xf numFmtId="1" fontId="0" fillId="0" borderId="8" xfId="0" applyNumberFormat="1" applyFill="1" applyBorder="1" applyAlignment="1" applyProtection="1">
      <alignment horizontal="center"/>
    </xf>
    <xf numFmtId="0" fontId="51" fillId="0" borderId="0" xfId="0" applyFont="1"/>
    <xf numFmtId="0" fontId="53" fillId="2" borderId="0" xfId="0" applyFont="1" applyFill="1"/>
    <xf numFmtId="0" fontId="51" fillId="2" borderId="0" xfId="0" applyFont="1" applyFill="1"/>
    <xf numFmtId="0" fontId="1" fillId="0" borderId="0" xfId="0" applyFont="1"/>
    <xf numFmtId="0" fontId="27" fillId="0" borderId="0" xfId="0" applyFont="1" applyBorder="1" applyAlignment="1" applyProtection="1">
      <alignment horizontal="left"/>
    </xf>
    <xf numFmtId="0" fontId="54" fillId="0" borderId="0" xfId="5" applyFont="1" applyAlignment="1">
      <alignment horizontal="center" vertical="center"/>
    </xf>
    <xf numFmtId="0" fontId="56" fillId="0" borderId="0" xfId="5" applyFont="1" applyAlignment="1">
      <alignment horizontal="center" vertical="center"/>
    </xf>
    <xf numFmtId="0" fontId="56" fillId="0" borderId="17" xfId="5" applyFont="1" applyBorder="1" applyAlignment="1">
      <alignment horizontal="center" vertical="center" wrapText="1"/>
    </xf>
    <xf numFmtId="0" fontId="56" fillId="0" borderId="18" xfId="5" applyFont="1" applyBorder="1" applyAlignment="1">
      <alignment horizontal="center" vertical="center" wrapText="1"/>
    </xf>
    <xf numFmtId="0" fontId="58" fillId="0" borderId="19" xfId="5" applyFont="1" applyBorder="1" applyAlignment="1">
      <alignment horizontal="center" vertical="center" wrapText="1"/>
    </xf>
    <xf numFmtId="0" fontId="58" fillId="0" borderId="20" xfId="5" applyFont="1" applyBorder="1" applyAlignment="1">
      <alignment horizontal="center" vertical="center" wrapText="1"/>
    </xf>
    <xf numFmtId="0" fontId="59" fillId="0" borderId="0" xfId="5" applyFont="1" applyAlignment="1">
      <alignment horizontal="left"/>
    </xf>
    <xf numFmtId="0" fontId="59" fillId="0" borderId="0" xfId="5" applyFont="1" applyAlignment="1">
      <alignment horizontal="left" vertical="center"/>
    </xf>
    <xf numFmtId="0" fontId="58" fillId="0" borderId="21" xfId="5" applyFont="1" applyBorder="1" applyAlignment="1">
      <alignment horizontal="center" vertical="center" wrapText="1"/>
    </xf>
    <xf numFmtId="0" fontId="58" fillId="0" borderId="22" xfId="5" applyFont="1" applyBorder="1" applyAlignment="1">
      <alignment horizontal="center" vertical="center" wrapText="1"/>
    </xf>
    <xf numFmtId="0" fontId="60" fillId="0" borderId="0" xfId="5" applyFont="1" applyAlignment="1">
      <alignment horizontal="center" vertical="center"/>
    </xf>
    <xf numFmtId="2" fontId="28" fillId="0" borderId="0" xfId="0" applyNumberFormat="1" applyFont="1" applyBorder="1" applyAlignment="1" applyProtection="1">
      <alignment horizontal="center"/>
    </xf>
    <xf numFmtId="0" fontId="11" fillId="0" borderId="8" xfId="0" applyFont="1" applyBorder="1" applyAlignment="1" applyProtection="1">
      <alignment horizontal="center"/>
    </xf>
    <xf numFmtId="0" fontId="31" fillId="0" borderId="0" xfId="0" applyFont="1" applyBorder="1" applyAlignment="1" applyProtection="1"/>
    <xf numFmtId="0" fontId="0" fillId="0" borderId="0" xfId="0" applyBorder="1" applyProtection="1"/>
    <xf numFmtId="9" fontId="7" fillId="0" borderId="0" xfId="6" applyFont="1" applyBorder="1" applyAlignment="1" applyProtection="1">
      <alignment horizontal="right"/>
    </xf>
    <xf numFmtId="0" fontId="14" fillId="0" borderId="0" xfId="0" applyFont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left"/>
    </xf>
    <xf numFmtId="0" fontId="8" fillId="0" borderId="0" xfId="0" applyFont="1"/>
    <xf numFmtId="0" fontId="65" fillId="0" borderId="0" xfId="3" applyFont="1" applyAlignment="1">
      <alignment horizontal="left"/>
    </xf>
    <xf numFmtId="0" fontId="51" fillId="0" borderId="0" xfId="3" applyFont="1"/>
    <xf numFmtId="0" fontId="66" fillId="0" borderId="0" xfId="3" applyFont="1" applyAlignment="1">
      <alignment horizontal="center"/>
    </xf>
    <xf numFmtId="0" fontId="66" fillId="0" borderId="0" xfId="3" applyFont="1" applyAlignment="1">
      <alignment horizontal="right"/>
    </xf>
    <xf numFmtId="0" fontId="66" fillId="0" borderId="0" xfId="3" applyFont="1" applyAlignment="1">
      <alignment horizontal="left" indent="1"/>
    </xf>
    <xf numFmtId="0" fontId="66" fillId="0" borderId="0" xfId="3" applyFont="1"/>
    <xf numFmtId="0" fontId="66" fillId="0" borderId="0" xfId="3" applyFont="1" applyAlignment="1">
      <alignment horizontal="left" indent="2"/>
    </xf>
    <xf numFmtId="0" fontId="66" fillId="0" borderId="0" xfId="3" applyFont="1" applyAlignment="1">
      <alignment horizontal="left"/>
    </xf>
    <xf numFmtId="0" fontId="66" fillId="0" borderId="0" xfId="3" applyFont="1" applyAlignment="1">
      <alignment horizontal="left" indent="4"/>
    </xf>
    <xf numFmtId="0" fontId="66" fillId="0" borderId="0" xfId="3" applyFont="1" applyAlignment="1">
      <alignment horizontal="left" indent="6"/>
    </xf>
    <xf numFmtId="0" fontId="53" fillId="0" borderId="0" xfId="3" applyFont="1"/>
    <xf numFmtId="0" fontId="27" fillId="0" borderId="0" xfId="0" applyFont="1" applyBorder="1" applyAlignment="1" applyProtection="1">
      <alignment horizontal="center"/>
    </xf>
    <xf numFmtId="0" fontId="0" fillId="0" borderId="12" xfId="0" applyFill="1" applyBorder="1" applyAlignment="1" applyProtection="1">
      <alignment horizontal="center"/>
    </xf>
    <xf numFmtId="0" fontId="31" fillId="0" borderId="0" xfId="0" applyFont="1" applyBorder="1" applyAlignment="1" applyProtection="1">
      <alignment horizontal="center"/>
    </xf>
    <xf numFmtId="0" fontId="0" fillId="0" borderId="34" xfId="0" applyBorder="1" applyAlignment="1" applyProtection="1">
      <alignment horizontal="left"/>
    </xf>
    <xf numFmtId="0" fontId="28" fillId="0" borderId="0" xfId="0" applyFont="1" applyBorder="1" applyAlignment="1" applyProtection="1">
      <alignment horizontal="center"/>
    </xf>
    <xf numFmtId="0" fontId="31" fillId="0" borderId="35" xfId="0" applyFont="1" applyBorder="1" applyAlignment="1" applyProtection="1">
      <alignment horizontal="center"/>
    </xf>
    <xf numFmtId="0" fontId="27" fillId="0" borderId="0" xfId="0" applyFont="1" applyBorder="1" applyProtection="1"/>
    <xf numFmtId="0" fontId="14" fillId="0" borderId="0" xfId="0" applyFont="1" applyBorder="1" applyProtection="1"/>
    <xf numFmtId="0" fontId="35" fillId="0" borderId="0" xfId="0" applyFont="1" applyBorder="1" applyAlignment="1" applyProtection="1">
      <alignment horizontal="center"/>
    </xf>
    <xf numFmtId="0" fontId="63" fillId="0" borderId="36" xfId="0" applyFont="1" applyBorder="1" applyAlignment="1" applyProtection="1">
      <alignment horizontal="center" vertical="top"/>
    </xf>
    <xf numFmtId="0" fontId="63" fillId="0" borderId="0" xfId="0" applyFont="1" applyBorder="1" applyAlignment="1" applyProtection="1">
      <alignment horizontal="center" vertical="top"/>
    </xf>
    <xf numFmtId="0" fontId="0" fillId="0" borderId="35" xfId="0" applyBorder="1" applyProtection="1"/>
    <xf numFmtId="9" fontId="28" fillId="0" borderId="0" xfId="6" applyFont="1" applyBorder="1" applyAlignment="1" applyProtection="1">
      <alignment horizontal="left"/>
    </xf>
    <xf numFmtId="0" fontId="0" fillId="0" borderId="37" xfId="0" applyBorder="1" applyProtection="1"/>
    <xf numFmtId="0" fontId="43" fillId="0" borderId="0" xfId="0" applyFont="1" applyBorder="1" applyAlignment="1" applyProtection="1"/>
    <xf numFmtId="0" fontId="11" fillId="0" borderId="0" xfId="0" applyFont="1" applyBorder="1" applyAlignment="1" applyProtection="1">
      <alignment horizontal="left"/>
    </xf>
    <xf numFmtId="0" fontId="0" fillId="0" borderId="35" xfId="0" applyBorder="1" applyAlignment="1" applyProtection="1">
      <alignment horizontal="left"/>
    </xf>
    <xf numFmtId="0" fontId="0" fillId="0" borderId="34" xfId="0" applyBorder="1" applyProtection="1"/>
    <xf numFmtId="0" fontId="28" fillId="0" borderId="0" xfId="0" applyFont="1" applyBorder="1" applyAlignment="1" applyProtection="1">
      <alignment horizontal="right"/>
    </xf>
    <xf numFmtId="0" fontId="27" fillId="0" borderId="0" xfId="0" applyFont="1" applyBorder="1" applyAlignment="1" applyProtection="1">
      <alignment horizontal="right"/>
    </xf>
    <xf numFmtId="0" fontId="14" fillId="0" borderId="0" xfId="0" applyFont="1" applyBorder="1" applyAlignment="1" applyProtection="1">
      <alignment horizontal="right"/>
    </xf>
    <xf numFmtId="0" fontId="0" fillId="0" borderId="35" xfId="0" applyFill="1" applyBorder="1" applyAlignment="1" applyProtection="1">
      <alignment horizontal="center"/>
    </xf>
    <xf numFmtId="0" fontId="28" fillId="0" borderId="0" xfId="0" applyFont="1" applyBorder="1" applyProtection="1"/>
    <xf numFmtId="0" fontId="31" fillId="0" borderId="0" xfId="0" applyFont="1" applyBorder="1" applyAlignment="1" applyProtection="1">
      <alignment horizontal="right"/>
    </xf>
    <xf numFmtId="0" fontId="39" fillId="0" borderId="0" xfId="0" applyFont="1" applyBorder="1" applyProtection="1"/>
    <xf numFmtId="0" fontId="46" fillId="0" borderId="35" xfId="0" applyFont="1" applyBorder="1" applyAlignment="1" applyProtection="1">
      <alignment horizontal="left"/>
    </xf>
    <xf numFmtId="0" fontId="9" fillId="0" borderId="39" xfId="0" applyFont="1" applyBorder="1" applyAlignment="1" applyProtection="1">
      <alignment horizontal="center"/>
    </xf>
    <xf numFmtId="0" fontId="46" fillId="0" borderId="38" xfId="0" applyFont="1" applyBorder="1" applyAlignment="1" applyProtection="1">
      <alignment horizontal="left"/>
    </xf>
    <xf numFmtId="0" fontId="0" fillId="0" borderId="36" xfId="0" applyBorder="1" applyProtection="1"/>
    <xf numFmtId="0" fontId="0" fillId="0" borderId="42" xfId="0" applyBorder="1" applyProtection="1"/>
    <xf numFmtId="0" fontId="43" fillId="0" borderId="36" xfId="0" applyFont="1" applyBorder="1" applyAlignment="1" applyProtection="1">
      <alignment horizontal="left"/>
    </xf>
    <xf numFmtId="0" fontId="43" fillId="0" borderId="40" xfId="0" applyFont="1" applyBorder="1" applyAlignment="1" applyProtection="1"/>
    <xf numFmtId="0" fontId="28" fillId="0" borderId="0" xfId="0" applyFont="1" applyBorder="1" applyAlignment="1" applyProtection="1">
      <alignment horizontal="left"/>
    </xf>
    <xf numFmtId="2" fontId="72" fillId="0" borderId="0" xfId="0" applyNumberFormat="1" applyFont="1" applyBorder="1" applyProtection="1"/>
    <xf numFmtId="0" fontId="9" fillId="0" borderId="0" xfId="0" applyFont="1" applyBorder="1" applyAlignment="1" applyProtection="1"/>
    <xf numFmtId="0" fontId="15" fillId="0" borderId="0" xfId="0" applyFont="1" applyBorder="1" applyAlignment="1" applyProtection="1">
      <alignment horizontal="center"/>
    </xf>
    <xf numFmtId="9" fontId="0" fillId="0" borderId="0" xfId="6" applyFont="1" applyBorder="1" applyAlignment="1" applyProtection="1">
      <alignment horizontal="center"/>
    </xf>
    <xf numFmtId="0" fontId="28" fillId="0" borderId="36" xfId="0" applyFont="1" applyBorder="1" applyProtection="1"/>
    <xf numFmtId="9" fontId="0" fillId="0" borderId="37" xfId="0" applyNumberFormat="1" applyBorder="1" applyProtection="1"/>
    <xf numFmtId="0" fontId="73" fillId="0" borderId="0" xfId="0" applyFont="1" applyAlignment="1">
      <alignment horizontal="center"/>
    </xf>
    <xf numFmtId="4" fontId="0" fillId="0" borderId="8" xfId="0" applyNumberFormat="1" applyBorder="1" applyAlignment="1">
      <alignment horizontal="center"/>
    </xf>
    <xf numFmtId="0" fontId="2" fillId="0" borderId="0" xfId="0" applyFont="1" applyAlignment="1" applyProtection="1">
      <alignment horizontal="center"/>
    </xf>
    <xf numFmtId="0" fontId="74" fillId="0" borderId="0" xfId="0" applyFont="1" applyAlignment="1" applyProtection="1">
      <alignment horizontal="left" vertical="top"/>
    </xf>
    <xf numFmtId="0" fontId="52" fillId="0" borderId="0" xfId="0" applyFont="1" applyAlignment="1" applyProtection="1">
      <alignment horizontal="right" vertical="top"/>
    </xf>
    <xf numFmtId="0" fontId="49" fillId="0" borderId="0" xfId="0" applyFont="1" applyAlignment="1" applyProtection="1">
      <alignment horizontal="left"/>
    </xf>
    <xf numFmtId="0" fontId="51" fillId="0" borderId="0" xfId="0" applyFont="1" applyAlignment="1" applyProtection="1">
      <alignment horizontal="left" vertical="top"/>
    </xf>
    <xf numFmtId="0" fontId="52" fillId="0" borderId="0" xfId="0" quotePrefix="1" applyFont="1" applyAlignment="1" applyProtection="1">
      <alignment horizontal="center" vertical="top"/>
    </xf>
    <xf numFmtId="0" fontId="2" fillId="0" borderId="0" xfId="0" applyFont="1" applyAlignment="1" applyProtection="1">
      <alignment horizontal="right"/>
    </xf>
    <xf numFmtId="4" fontId="0" fillId="0" borderId="0" xfId="0" applyNumberFormat="1" applyAlignment="1">
      <alignment horizontal="center"/>
    </xf>
    <xf numFmtId="0" fontId="77" fillId="4" borderId="0" xfId="0" applyFont="1" applyFill="1" applyAlignment="1" applyProtection="1">
      <alignment horizontal="right"/>
    </xf>
    <xf numFmtId="0" fontId="78" fillId="0" borderId="0" xfId="0" applyFont="1" applyAlignment="1" applyProtection="1">
      <alignment horizontal="right"/>
    </xf>
    <xf numFmtId="0" fontId="75" fillId="0" borderId="0" xfId="0" applyFont="1" applyAlignment="1" applyProtection="1">
      <alignment horizontal="right"/>
    </xf>
    <xf numFmtId="0" fontId="75" fillId="4" borderId="0" xfId="0" applyFont="1" applyFill="1" applyAlignment="1" applyProtection="1">
      <alignment horizontal="right"/>
    </xf>
    <xf numFmtId="0" fontId="0" fillId="4" borderId="0" xfId="0" applyFill="1" applyAlignment="1" applyProtection="1">
      <alignment horizontal="center"/>
    </xf>
    <xf numFmtId="0" fontId="4" fillId="4" borderId="0" xfId="0" applyFont="1" applyFill="1" applyAlignment="1" applyProtection="1">
      <alignment horizontal="right"/>
    </xf>
    <xf numFmtId="4" fontId="0" fillId="4" borderId="0" xfId="0" applyNumberFormat="1" applyFill="1" applyBorder="1" applyAlignment="1" applyProtection="1">
      <alignment horizontal="center"/>
    </xf>
    <xf numFmtId="0" fontId="8" fillId="5" borderId="0" xfId="0" applyFont="1" applyFill="1" applyBorder="1" applyAlignment="1">
      <alignment horizontal="center"/>
    </xf>
    <xf numFmtId="0" fontId="8" fillId="5" borderId="0" xfId="0" applyFont="1" applyFill="1" applyBorder="1" applyAlignment="1" applyProtection="1">
      <alignment horizontal="center"/>
      <protection locked="0"/>
    </xf>
    <xf numFmtId="0" fontId="0" fillId="5" borderId="0" xfId="0" applyFill="1" applyBorder="1" applyAlignment="1">
      <alignment horizontal="center"/>
    </xf>
    <xf numFmtId="0" fontId="0" fillId="5" borderId="0" xfId="0" applyFill="1" applyAlignment="1" applyProtection="1">
      <alignment horizontal="center"/>
    </xf>
    <xf numFmtId="0" fontId="77" fillId="5" borderId="0" xfId="0" applyFont="1" applyFill="1" applyAlignment="1" applyProtection="1">
      <alignment horizontal="right"/>
    </xf>
    <xf numFmtId="0" fontId="4" fillId="5" borderId="0" xfId="0" applyFont="1" applyFill="1" applyAlignment="1" applyProtection="1">
      <alignment horizontal="right"/>
    </xf>
    <xf numFmtId="4" fontId="0" fillId="5" borderId="0" xfId="0" applyNumberFormat="1" applyFill="1" applyBorder="1" applyAlignment="1" applyProtection="1">
      <alignment horizontal="center"/>
    </xf>
    <xf numFmtId="0" fontId="0" fillId="4" borderId="0" xfId="0" applyFill="1" applyAlignment="1">
      <alignment horizontal="center"/>
    </xf>
    <xf numFmtId="0" fontId="4" fillId="4" borderId="0" xfId="0" applyFont="1" applyFill="1" applyAlignment="1">
      <alignment horizontal="right"/>
    </xf>
    <xf numFmtId="4" fontId="0" fillId="4" borderId="8" xfId="0" applyNumberFormat="1" applyFill="1" applyBorder="1" applyAlignment="1">
      <alignment horizontal="center"/>
    </xf>
    <xf numFmtId="0" fontId="0" fillId="0" borderId="0" xfId="0" applyBorder="1" applyAlignment="1" applyProtection="1">
      <alignment horizontal="left"/>
    </xf>
    <xf numFmtId="0" fontId="0" fillId="4" borderId="0" xfId="0" applyFill="1" applyProtection="1"/>
    <xf numFmtId="0" fontId="71" fillId="4" borderId="0" xfId="0" applyFont="1" applyFill="1" applyAlignment="1" applyProtection="1">
      <alignment horizontal="center"/>
    </xf>
    <xf numFmtId="0" fontId="0" fillId="4" borderId="1" xfId="0" applyFill="1" applyBorder="1" applyProtection="1"/>
    <xf numFmtId="0" fontId="0" fillId="4" borderId="2" xfId="0" applyFill="1" applyBorder="1" applyProtection="1"/>
    <xf numFmtId="0" fontId="0" fillId="4" borderId="3" xfId="0" applyFill="1" applyBorder="1" applyProtection="1"/>
    <xf numFmtId="0" fontId="0" fillId="4" borderId="4" xfId="0" applyFill="1" applyBorder="1" applyProtection="1"/>
    <xf numFmtId="0" fontId="7" fillId="4" borderId="0" xfId="0" applyFont="1" applyFill="1" applyBorder="1" applyAlignment="1" applyProtection="1">
      <alignment horizontal="center"/>
    </xf>
    <xf numFmtId="0" fontId="0" fillId="4" borderId="13" xfId="0" applyFill="1" applyBorder="1" applyProtection="1"/>
    <xf numFmtId="2" fontId="0" fillId="4" borderId="4" xfId="0" applyNumberFormat="1" applyFill="1" applyBorder="1" applyProtection="1"/>
    <xf numFmtId="2" fontId="0" fillId="4" borderId="0" xfId="0" applyNumberFormat="1" applyFill="1" applyBorder="1" applyProtection="1"/>
    <xf numFmtId="2" fontId="0" fillId="4" borderId="4" xfId="0" applyNumberFormat="1" applyFill="1" applyBorder="1" applyAlignment="1" applyProtection="1">
      <alignment horizontal="right"/>
    </xf>
    <xf numFmtId="2" fontId="0" fillId="4" borderId="0" xfId="0" applyNumberFormat="1" applyFill="1" applyBorder="1" applyAlignment="1" applyProtection="1">
      <alignment horizontal="right"/>
    </xf>
    <xf numFmtId="0" fontId="0" fillId="4" borderId="5" xfId="0" applyFill="1" applyBorder="1" applyProtection="1"/>
    <xf numFmtId="0" fontId="0" fillId="4" borderId="6" xfId="0" applyFill="1" applyBorder="1" applyProtection="1"/>
    <xf numFmtId="0" fontId="0" fillId="4" borderId="7" xfId="0" applyFill="1" applyBorder="1" applyProtection="1"/>
    <xf numFmtId="2" fontId="0" fillId="4" borderId="0" xfId="0" applyNumberFormat="1" applyFill="1" applyProtection="1"/>
    <xf numFmtId="0" fontId="31" fillId="4" borderId="0" xfId="0" applyFont="1" applyFill="1" applyAlignment="1" applyProtection="1">
      <alignment horizontal="center"/>
    </xf>
    <xf numFmtId="0" fontId="0" fillId="4" borderId="0" xfId="0" applyFill="1" applyAlignment="1" applyProtection="1">
      <alignment horizontal="left"/>
    </xf>
    <xf numFmtId="0" fontId="0" fillId="4" borderId="0" xfId="0" applyFill="1" applyBorder="1" applyAlignment="1" applyProtection="1">
      <alignment horizontal="center"/>
    </xf>
    <xf numFmtId="0" fontId="0" fillId="4" borderId="0" xfId="0" applyFill="1" applyAlignment="1" applyProtection="1">
      <alignment horizontal="right"/>
    </xf>
    <xf numFmtId="0" fontId="31" fillId="4" borderId="0" xfId="0" applyFont="1" applyFill="1" applyBorder="1" applyAlignment="1" applyProtection="1"/>
    <xf numFmtId="0" fontId="14" fillId="4" borderId="0" xfId="0" applyFont="1" applyFill="1" applyAlignment="1" applyProtection="1">
      <alignment horizontal="center"/>
    </xf>
    <xf numFmtId="0" fontId="15" fillId="4" borderId="0" xfId="0" applyFont="1" applyFill="1" applyAlignment="1" applyProtection="1">
      <alignment horizontal="center"/>
    </xf>
    <xf numFmtId="9" fontId="62" fillId="4" borderId="0" xfId="6" quotePrefix="1" applyFont="1" applyFill="1" applyBorder="1" applyAlignment="1" applyProtection="1"/>
    <xf numFmtId="0" fontId="0" fillId="0" borderId="40" xfId="0" applyBorder="1" applyAlignment="1" applyProtection="1">
      <alignment horizontal="left"/>
    </xf>
    <xf numFmtId="0" fontId="32" fillId="0" borderId="34" xfId="0" applyFont="1" applyFill="1" applyBorder="1" applyAlignment="1" applyProtection="1">
      <alignment horizontal="left"/>
    </xf>
    <xf numFmtId="0" fontId="67" fillId="0" borderId="34" xfId="0" applyFont="1" applyFill="1" applyBorder="1" applyAlignment="1" applyProtection="1">
      <alignment vertical="center" wrapText="1"/>
    </xf>
    <xf numFmtId="0" fontId="0" fillId="0" borderId="41" xfId="0" applyBorder="1" applyAlignment="1" applyProtection="1">
      <alignment horizontal="left"/>
    </xf>
    <xf numFmtId="0" fontId="0" fillId="0" borderId="36" xfId="0" applyBorder="1" applyAlignment="1" applyProtection="1">
      <alignment horizontal="left"/>
    </xf>
    <xf numFmtId="0" fontId="32" fillId="0" borderId="0" xfId="0" applyFont="1" applyFill="1" applyBorder="1" applyAlignment="1" applyProtection="1">
      <alignment horizontal="center"/>
    </xf>
    <xf numFmtId="0" fontId="4" fillId="0" borderId="0" xfId="0" applyFont="1" applyBorder="1" applyAlignment="1" applyProtection="1"/>
    <xf numFmtId="0" fontId="0" fillId="0" borderId="0" xfId="0" applyFont="1" applyFill="1" applyBorder="1" applyAlignment="1" applyProtection="1">
      <alignment vertical="center" wrapText="1"/>
    </xf>
    <xf numFmtId="0" fontId="3" fillId="0" borderId="0" xfId="2" applyBorder="1" applyAlignment="1" applyProtection="1">
      <alignment horizontal="left"/>
    </xf>
    <xf numFmtId="0" fontId="43" fillId="0" borderId="0" xfId="0" applyFont="1" applyBorder="1" applyAlignment="1" applyProtection="1">
      <alignment horizontal="center"/>
    </xf>
    <xf numFmtId="0" fontId="17" fillId="0" borderId="0" xfId="0" applyFont="1" applyBorder="1" applyAlignment="1" applyProtection="1">
      <alignment horizontal="center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left"/>
    </xf>
    <xf numFmtId="0" fontId="79" fillId="0" borderId="0" xfId="0" applyFont="1" applyBorder="1" applyAlignment="1" applyProtection="1">
      <alignment horizontal="left"/>
    </xf>
    <xf numFmtId="0" fontId="3" fillId="0" borderId="0" xfId="2" applyBorder="1" applyAlignment="1" applyProtection="1">
      <alignment horizontal="center"/>
    </xf>
    <xf numFmtId="0" fontId="43" fillId="0" borderId="0" xfId="0" applyFont="1" applyBorder="1" applyAlignment="1" applyProtection="1">
      <alignment horizontal="left"/>
    </xf>
    <xf numFmtId="0" fontId="0" fillId="0" borderId="42" xfId="0" applyBorder="1" applyAlignment="1" applyProtection="1">
      <alignment horizontal="left"/>
    </xf>
    <xf numFmtId="0" fontId="43" fillId="0" borderId="37" xfId="0" applyFont="1" applyBorder="1" applyAlignment="1" applyProtection="1">
      <alignment horizontal="left"/>
    </xf>
    <xf numFmtId="0" fontId="14" fillId="0" borderId="37" xfId="0" applyFont="1" applyBorder="1" applyAlignment="1" applyProtection="1">
      <alignment horizontal="right"/>
    </xf>
    <xf numFmtId="0" fontId="0" fillId="0" borderId="37" xfId="0" applyFill="1" applyBorder="1" applyAlignment="1" applyProtection="1">
      <alignment horizontal="center"/>
    </xf>
    <xf numFmtId="0" fontId="0" fillId="0" borderId="37" xfId="0" applyBorder="1" applyAlignment="1" applyProtection="1">
      <alignment horizontal="left"/>
    </xf>
    <xf numFmtId="0" fontId="28" fillId="0" borderId="37" xfId="0" applyFont="1" applyBorder="1" applyAlignment="1" applyProtection="1">
      <alignment horizontal="right"/>
    </xf>
    <xf numFmtId="0" fontId="0" fillId="0" borderId="38" xfId="0" applyBorder="1" applyAlignment="1" applyProtection="1">
      <alignment horizontal="left"/>
    </xf>
    <xf numFmtId="0" fontId="0" fillId="4" borderId="0" xfId="0" applyFill="1" applyAlignment="1">
      <alignment horizontal="left"/>
    </xf>
    <xf numFmtId="0" fontId="45" fillId="4" borderId="0" xfId="0" applyFont="1" applyFill="1" applyAlignment="1">
      <alignment horizontal="left"/>
    </xf>
    <xf numFmtId="38" fontId="16" fillId="4" borderId="8" xfId="1" applyNumberFormat="1" applyFont="1" applyFill="1" applyBorder="1" applyAlignment="1">
      <alignment horizontal="center"/>
    </xf>
    <xf numFmtId="0" fontId="0" fillId="4" borderId="0" xfId="0" applyFill="1" applyAlignment="1">
      <alignment horizontal="right"/>
    </xf>
    <xf numFmtId="0" fontId="0" fillId="4" borderId="0" xfId="0" applyFill="1" applyAlignment="1"/>
    <xf numFmtId="0" fontId="13" fillId="4" borderId="0" xfId="0" applyFont="1" applyFill="1" applyAlignment="1">
      <alignment horizontal="left"/>
    </xf>
    <xf numFmtId="0" fontId="12" fillId="4" borderId="0" xfId="0" applyFont="1" applyFill="1" applyAlignment="1">
      <alignment horizontal="center"/>
    </xf>
    <xf numFmtId="0" fontId="14" fillId="4" borderId="25" xfId="0" applyFont="1" applyFill="1" applyBorder="1" applyAlignment="1">
      <alignment horizontal="left"/>
    </xf>
    <xf numFmtId="0" fontId="14" fillId="4" borderId="26" xfId="0" applyFont="1" applyFill="1" applyBorder="1" applyAlignment="1">
      <alignment horizontal="center"/>
    </xf>
    <xf numFmtId="0" fontId="14" fillId="4" borderId="27" xfId="0" applyFont="1" applyFill="1" applyBorder="1" applyAlignment="1">
      <alignment horizontal="center"/>
    </xf>
    <xf numFmtId="0" fontId="14" fillId="4" borderId="28" xfId="0" applyFont="1" applyFill="1" applyBorder="1" applyAlignment="1">
      <alignment horizontal="left"/>
    </xf>
    <xf numFmtId="0" fontId="14" fillId="4" borderId="29" xfId="0" applyFont="1" applyFill="1" applyBorder="1" applyAlignment="1">
      <alignment horizontal="center"/>
    </xf>
    <xf numFmtId="0" fontId="14" fillId="4" borderId="30" xfId="0" applyFont="1" applyFill="1" applyBorder="1" applyAlignment="1">
      <alignment horizontal="center"/>
    </xf>
    <xf numFmtId="0" fontId="14" fillId="4" borderId="29" xfId="0" applyFont="1" applyFill="1" applyBorder="1" applyAlignment="1">
      <alignment horizontal="left"/>
    </xf>
    <xf numFmtId="0" fontId="14" fillId="4" borderId="30" xfId="0" applyFont="1" applyFill="1" applyBorder="1" applyAlignment="1">
      <alignment horizontal="left"/>
    </xf>
    <xf numFmtId="0" fontId="14" fillId="4" borderId="31" xfId="0" applyFont="1" applyFill="1" applyBorder="1" applyAlignment="1"/>
    <xf numFmtId="1" fontId="14" fillId="4" borderId="32" xfId="0" quotePrefix="1" applyNumberFormat="1" applyFont="1" applyFill="1" applyBorder="1" applyAlignment="1">
      <alignment horizontal="center"/>
    </xf>
    <xf numFmtId="1" fontId="14" fillId="4" borderId="7" xfId="0" applyNumberFormat="1" applyFont="1" applyFill="1" applyBorder="1" applyAlignment="1">
      <alignment horizontal="center"/>
    </xf>
    <xf numFmtId="16" fontId="0" fillId="4" borderId="0" xfId="0" applyNumberFormat="1" applyFill="1" applyAlignment="1">
      <alignment horizontal="center"/>
    </xf>
    <xf numFmtId="38" fontId="16" fillId="4" borderId="15" xfId="1" applyNumberFormat="1" applyFont="1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4" borderId="0" xfId="0" applyFill="1" applyAlignment="1" applyProtection="1">
      <alignment horizontal="left"/>
      <protection locked="0"/>
    </xf>
    <xf numFmtId="0" fontId="4" fillId="4" borderId="15" xfId="0" applyFont="1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14" fontId="0" fillId="4" borderId="0" xfId="0" applyNumberFormat="1" applyFill="1" applyAlignment="1">
      <alignment horizontal="left"/>
    </xf>
    <xf numFmtId="0" fontId="45" fillId="4" borderId="4" xfId="0" applyFont="1" applyFill="1" applyBorder="1" applyAlignment="1">
      <alignment horizontal="left"/>
    </xf>
    <xf numFmtId="0" fontId="0" fillId="4" borderId="0" xfId="0" applyFill="1" applyBorder="1" applyAlignment="1">
      <alignment horizontal="left"/>
    </xf>
    <xf numFmtId="0" fontId="0" fillId="4" borderId="1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4" borderId="4" xfId="0" applyFill="1" applyBorder="1" applyAlignment="1"/>
    <xf numFmtId="0" fontId="0" fillId="4" borderId="2" xfId="0" applyFill="1" applyBorder="1" applyAlignment="1"/>
    <xf numFmtId="0" fontId="7" fillId="4" borderId="0" xfId="0" applyFont="1" applyFill="1" applyBorder="1" applyAlignment="1">
      <alignment horizontal="left"/>
    </xf>
    <xf numFmtId="0" fontId="7" fillId="4" borderId="0" xfId="0" applyFont="1" applyFill="1" applyBorder="1" applyAlignment="1"/>
    <xf numFmtId="14" fontId="16" fillId="4" borderId="4" xfId="0" applyNumberFormat="1" applyFont="1" applyFill="1" applyBorder="1" applyAlignment="1">
      <alignment horizontal="left"/>
    </xf>
    <xf numFmtId="0" fontId="0" fillId="4" borderId="0" xfId="0" applyFill="1" applyBorder="1" applyAlignment="1">
      <alignment horizontal="center"/>
    </xf>
    <xf numFmtId="164" fontId="0" fillId="4" borderId="0" xfId="0" applyNumberFormat="1" applyFill="1" applyAlignment="1">
      <alignment horizontal="left"/>
    </xf>
    <xf numFmtId="0" fontId="0" fillId="4" borderId="4" xfId="0" applyFill="1" applyBorder="1" applyAlignment="1">
      <alignment horizontal="right"/>
    </xf>
    <xf numFmtId="164" fontId="0" fillId="4" borderId="0" xfId="0" applyNumberFormat="1" applyFill="1" applyBorder="1" applyAlignment="1">
      <alignment horizontal="left"/>
    </xf>
    <xf numFmtId="0" fontId="0" fillId="4" borderId="8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5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70" fillId="4" borderId="6" xfId="0" applyFont="1" applyFill="1" applyBorder="1" applyAlignment="1">
      <alignment horizontal="center"/>
    </xf>
    <xf numFmtId="0" fontId="0" fillId="4" borderId="7" xfId="0" applyFill="1" applyBorder="1" applyAlignment="1">
      <alignment horizontal="left"/>
    </xf>
    <xf numFmtId="0" fontId="4" fillId="4" borderId="6" xfId="0" applyFont="1" applyFill="1" applyBorder="1" applyAlignment="1">
      <alignment horizontal="center"/>
    </xf>
    <xf numFmtId="0" fontId="0" fillId="4" borderId="0" xfId="0" applyFill="1" applyBorder="1" applyAlignment="1"/>
    <xf numFmtId="0" fontId="61" fillId="4" borderId="0" xfId="0" applyFont="1" applyFill="1" applyBorder="1" applyAlignment="1">
      <alignment horizontal="center"/>
    </xf>
    <xf numFmtId="0" fontId="46" fillId="4" borderId="0" xfId="0" quotePrefix="1" applyFont="1" applyFill="1" applyBorder="1" applyAlignment="1">
      <alignment horizontal="left"/>
    </xf>
    <xf numFmtId="0" fontId="0" fillId="4" borderId="0" xfId="0" applyFill="1" applyBorder="1" applyAlignment="1">
      <alignment horizontal="right"/>
    </xf>
    <xf numFmtId="0" fontId="70" fillId="4" borderId="0" xfId="0" applyFont="1" applyFill="1" applyBorder="1" applyAlignment="1">
      <alignment horizontal="left"/>
    </xf>
    <xf numFmtId="0" fontId="0" fillId="4" borderId="6" xfId="0" applyFill="1" applyBorder="1" applyAlignment="1"/>
    <xf numFmtId="0" fontId="0" fillId="4" borderId="6" xfId="0" applyFill="1" applyBorder="1" applyAlignment="1">
      <alignment horizontal="right"/>
    </xf>
    <xf numFmtId="2" fontId="4" fillId="4" borderId="24" xfId="0" applyNumberFormat="1" applyFont="1" applyFill="1" applyBorder="1" applyAlignment="1">
      <alignment horizontal="center"/>
    </xf>
    <xf numFmtId="0" fontId="0" fillId="4" borderId="0" xfId="0" applyFill="1"/>
    <xf numFmtId="0" fontId="80" fillId="4" borderId="0" xfId="0" applyFont="1" applyFill="1" applyAlignment="1" applyProtection="1">
      <alignment horizontal="center"/>
    </xf>
    <xf numFmtId="0" fontId="81" fillId="4" borderId="0" xfId="0" applyFont="1" applyFill="1" applyAlignment="1">
      <alignment horizontal="left"/>
    </xf>
    <xf numFmtId="0" fontId="14" fillId="4" borderId="0" xfId="0" applyFont="1" applyFill="1" applyAlignment="1">
      <alignment horizontal="left"/>
    </xf>
    <xf numFmtId="0" fontId="14" fillId="4" borderId="0" xfId="0" applyFont="1" applyFill="1" applyAlignment="1">
      <alignment horizontal="center"/>
    </xf>
    <xf numFmtId="0" fontId="14" fillId="4" borderId="0" xfId="0" applyFont="1" applyFill="1" applyAlignment="1">
      <alignment horizontal="right"/>
    </xf>
    <xf numFmtId="0" fontId="15" fillId="4" borderId="0" xfId="0" applyFont="1" applyFill="1" applyAlignment="1">
      <alignment horizontal="center"/>
    </xf>
    <xf numFmtId="0" fontId="0" fillId="0" borderId="40" xfId="0" applyBorder="1" applyProtection="1"/>
    <xf numFmtId="0" fontId="16" fillId="0" borderId="34" xfId="0" applyFont="1" applyFill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left"/>
    </xf>
    <xf numFmtId="0" fontId="0" fillId="0" borderId="36" xfId="0" applyBorder="1" applyAlignment="1" applyProtection="1"/>
    <xf numFmtId="0" fontId="7" fillId="0" borderId="0" xfId="0" applyFont="1" applyBorder="1" applyAlignment="1" applyProtection="1">
      <alignment horizontal="center"/>
    </xf>
    <xf numFmtId="0" fontId="31" fillId="0" borderId="0" xfId="0" applyFont="1" applyFill="1" applyBorder="1" applyAlignment="1" applyProtection="1">
      <alignment horizontal="right"/>
    </xf>
    <xf numFmtId="0" fontId="82" fillId="0" borderId="0" xfId="0" applyFont="1" applyFill="1" applyProtection="1"/>
    <xf numFmtId="0" fontId="0" fillId="0" borderId="0" xfId="0" applyFill="1" applyProtection="1"/>
    <xf numFmtId="0" fontId="0" fillId="0" borderId="0" xfId="0" applyFill="1" applyBorder="1" applyAlignment="1" applyProtection="1"/>
    <xf numFmtId="0" fontId="83" fillId="0" borderId="0" xfId="0" applyFont="1" applyFill="1" applyProtection="1"/>
    <xf numFmtId="0" fontId="0" fillId="0" borderId="0" xfId="0" applyFill="1" applyBorder="1" applyAlignment="1" applyProtection="1">
      <alignment vertical="top"/>
    </xf>
    <xf numFmtId="0" fontId="0" fillId="0" borderId="0" xfId="0" applyFill="1" applyBorder="1" applyProtection="1"/>
    <xf numFmtId="0" fontId="2" fillId="0" borderId="0" xfId="0" applyFont="1" applyFill="1" applyBorder="1" applyAlignment="1" applyProtection="1">
      <alignment horizontal="center"/>
    </xf>
    <xf numFmtId="0" fontId="28" fillId="0" borderId="0" xfId="0" applyFont="1" applyFill="1" applyBorder="1" applyAlignment="1" applyProtection="1">
      <alignment horizontal="center"/>
    </xf>
    <xf numFmtId="0" fontId="85" fillId="0" borderId="0" xfId="0" applyFont="1" applyBorder="1" applyProtection="1"/>
    <xf numFmtId="0" fontId="87" fillId="0" borderId="36" xfId="0" applyFont="1" applyBorder="1" applyAlignment="1" applyProtection="1">
      <alignment horizontal="right"/>
    </xf>
    <xf numFmtId="0" fontId="31" fillId="0" borderId="0" xfId="0" applyFont="1" applyBorder="1" applyProtection="1"/>
    <xf numFmtId="0" fontId="88" fillId="0" borderId="0" xfId="0" applyFont="1" applyBorder="1" applyAlignment="1" applyProtection="1">
      <alignment horizontal="center"/>
    </xf>
    <xf numFmtId="0" fontId="14" fillId="0" borderId="0" xfId="0" applyFont="1" applyBorder="1" applyAlignment="1" applyProtection="1"/>
    <xf numFmtId="0" fontId="4" fillId="0" borderId="36" xfId="0" applyFont="1" applyBorder="1" applyAlignment="1" applyProtection="1">
      <alignment horizontal="left"/>
    </xf>
    <xf numFmtId="0" fontId="89" fillId="0" borderId="0" xfId="0" applyFont="1" applyFill="1" applyBorder="1" applyAlignment="1" applyProtection="1">
      <alignment horizontal="center"/>
    </xf>
    <xf numFmtId="0" fontId="88" fillId="0" borderId="0" xfId="0" applyFont="1" applyBorder="1" applyProtection="1"/>
    <xf numFmtId="0" fontId="2" fillId="3" borderId="8" xfId="0" applyFont="1" applyFill="1" applyBorder="1" applyAlignment="1" applyProtection="1">
      <alignment horizontal="center"/>
      <protection locked="0"/>
    </xf>
    <xf numFmtId="0" fontId="14" fillId="0" borderId="0" xfId="0" applyFont="1" applyBorder="1" applyAlignment="1" applyProtection="1">
      <alignment horizontal="left"/>
    </xf>
    <xf numFmtId="0" fontId="7" fillId="0" borderId="0" xfId="0" applyFont="1" applyFill="1" applyBorder="1" applyAlignment="1" applyProtection="1">
      <alignment horizontal="center"/>
    </xf>
    <xf numFmtId="0" fontId="2" fillId="0" borderId="37" xfId="0" applyFont="1" applyFill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/>
    </xf>
    <xf numFmtId="0" fontId="46" fillId="0" borderId="36" xfId="0" applyFont="1" applyBorder="1" applyAlignment="1" applyProtection="1">
      <alignment horizontal="left"/>
    </xf>
    <xf numFmtId="0" fontId="46" fillId="0" borderId="42" xfId="0" applyFont="1" applyBorder="1" applyAlignment="1" applyProtection="1">
      <alignment horizontal="left"/>
    </xf>
    <xf numFmtId="0" fontId="9" fillId="4" borderId="0" xfId="0" applyFont="1" applyFill="1" applyBorder="1" applyAlignment="1" applyProtection="1">
      <alignment horizontal="center"/>
    </xf>
    <xf numFmtId="0" fontId="0" fillId="4" borderId="0" xfId="0" applyFill="1" applyBorder="1" applyAlignment="1" applyProtection="1"/>
    <xf numFmtId="0" fontId="0" fillId="4" borderId="0" xfId="0" applyFill="1" applyBorder="1" applyProtection="1"/>
    <xf numFmtId="0" fontId="27" fillId="4" borderId="0" xfId="0" applyFont="1" applyFill="1" applyBorder="1" applyProtection="1"/>
    <xf numFmtId="0" fontId="35" fillId="4" borderId="0" xfId="0" applyFont="1" applyFill="1" applyBorder="1" applyAlignment="1" applyProtection="1">
      <alignment horizontal="center"/>
    </xf>
    <xf numFmtId="0" fontId="12" fillId="4" borderId="0" xfId="0" applyFont="1" applyFill="1" applyBorder="1" applyAlignment="1" applyProtection="1">
      <alignment horizontal="center"/>
    </xf>
    <xf numFmtId="0" fontId="46" fillId="4" borderId="0" xfId="0" applyFont="1" applyFill="1" applyBorder="1" applyAlignment="1" applyProtection="1">
      <alignment horizontal="left"/>
    </xf>
    <xf numFmtId="0" fontId="41" fillId="4" borderId="0" xfId="0" applyFont="1" applyFill="1" applyBorder="1" applyProtection="1"/>
    <xf numFmtId="0" fontId="8" fillId="4" borderId="0" xfId="0" applyFont="1" applyFill="1" applyBorder="1" applyAlignment="1" applyProtection="1">
      <alignment horizontal="center"/>
    </xf>
    <xf numFmtId="0" fontId="11" fillId="4" borderId="0" xfId="0" applyFont="1" applyFill="1" applyBorder="1" applyAlignment="1" applyProtection="1">
      <alignment horizontal="center"/>
    </xf>
    <xf numFmtId="0" fontId="0" fillId="4" borderId="0" xfId="0" applyFill="1" applyBorder="1" applyAlignment="1" applyProtection="1">
      <alignment horizontal="right"/>
    </xf>
    <xf numFmtId="0" fontId="0" fillId="4" borderId="8" xfId="0" applyFill="1" applyBorder="1" applyAlignment="1" applyProtection="1">
      <alignment horizontal="center"/>
    </xf>
    <xf numFmtId="2" fontId="9" fillId="0" borderId="0" xfId="0" applyNumberFormat="1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/>
    </xf>
    <xf numFmtId="2" fontId="29" fillId="0" borderId="0" xfId="0" applyNumberFormat="1" applyFont="1" applyBorder="1" applyAlignment="1" applyProtection="1">
      <alignment horizontal="center" vertical="center"/>
    </xf>
    <xf numFmtId="0" fontId="0" fillId="0" borderId="68" xfId="0" applyBorder="1" applyProtection="1"/>
    <xf numFmtId="0" fontId="0" fillId="0" borderId="69" xfId="0" applyBorder="1" applyProtection="1"/>
    <xf numFmtId="0" fontId="0" fillId="0" borderId="70" xfId="0" applyBorder="1" applyAlignment="1" applyProtection="1">
      <alignment horizontal="right"/>
    </xf>
    <xf numFmtId="0" fontId="0" fillId="0" borderId="70" xfId="0" applyBorder="1" applyProtection="1"/>
    <xf numFmtId="0" fontId="14" fillId="0" borderId="70" xfId="0" applyFont="1" applyBorder="1" applyAlignment="1" applyProtection="1">
      <alignment horizontal="center"/>
    </xf>
    <xf numFmtId="0" fontId="15" fillId="0" borderId="70" xfId="0" applyFont="1" applyBorder="1" applyAlignment="1" applyProtection="1">
      <alignment horizontal="center"/>
    </xf>
    <xf numFmtId="9" fontId="62" fillId="0" borderId="70" xfId="6" quotePrefix="1" applyFont="1" applyBorder="1" applyAlignment="1" applyProtection="1"/>
    <xf numFmtId="0" fontId="0" fillId="0" borderId="71" xfId="0" applyBorder="1" applyProtection="1"/>
    <xf numFmtId="0" fontId="0" fillId="0" borderId="72" xfId="0" applyBorder="1" applyProtection="1"/>
    <xf numFmtId="9" fontId="46" fillId="0" borderId="0" xfId="6" applyFont="1" applyBorder="1" applyAlignment="1" applyProtection="1">
      <alignment horizontal="center"/>
    </xf>
    <xf numFmtId="9" fontId="0" fillId="4" borderId="0" xfId="6" applyFont="1" applyFill="1" applyProtection="1"/>
    <xf numFmtId="0" fontId="4" fillId="4" borderId="0" xfId="0" applyFont="1" applyFill="1" applyBorder="1" applyAlignment="1" applyProtection="1">
      <alignment horizontal="right"/>
    </xf>
    <xf numFmtId="0" fontId="4" fillId="4" borderId="0" xfId="0" applyFont="1" applyFill="1" applyBorder="1" applyAlignment="1" applyProtection="1">
      <alignment horizontal="left"/>
    </xf>
    <xf numFmtId="0" fontId="8" fillId="6" borderId="8" xfId="0" applyFont="1" applyFill="1" applyBorder="1" applyAlignment="1" applyProtection="1">
      <alignment horizontal="center"/>
      <protection locked="0"/>
    </xf>
    <xf numFmtId="0" fontId="0" fillId="6" borderId="8" xfId="0" applyFill="1" applyBorder="1" applyAlignment="1" applyProtection="1">
      <alignment horizontal="center"/>
      <protection locked="0"/>
    </xf>
    <xf numFmtId="0" fontId="0" fillId="6" borderId="11" xfId="0" applyFill="1" applyBorder="1" applyAlignment="1" applyProtection="1">
      <alignment horizontal="center"/>
      <protection locked="0"/>
    </xf>
    <xf numFmtId="0" fontId="0" fillId="0" borderId="0" xfId="0" applyFill="1"/>
    <xf numFmtId="0" fontId="0" fillId="6" borderId="33" xfId="0" applyFill="1" applyBorder="1" applyAlignment="1" applyProtection="1">
      <alignment horizontal="center"/>
      <protection locked="0"/>
    </xf>
    <xf numFmtId="0" fontId="9" fillId="4" borderId="4" xfId="0" applyFont="1" applyFill="1" applyBorder="1" applyAlignment="1">
      <alignment horizontal="center"/>
    </xf>
    <xf numFmtId="0" fontId="13" fillId="4" borderId="4" xfId="0" applyFont="1" applyFill="1" applyBorder="1" applyAlignment="1">
      <alignment horizontal="left"/>
    </xf>
    <xf numFmtId="0" fontId="14" fillId="4" borderId="0" xfId="0" applyFont="1" applyFill="1" applyBorder="1" applyAlignment="1">
      <alignment horizontal="left"/>
    </xf>
    <xf numFmtId="0" fontId="12" fillId="4" borderId="4" xfId="0" applyFont="1" applyFill="1" applyBorder="1" applyAlignment="1">
      <alignment horizontal="center"/>
    </xf>
    <xf numFmtId="0" fontId="15" fillId="4" borderId="0" xfId="0" applyFont="1" applyFill="1" applyBorder="1" applyAlignment="1"/>
    <xf numFmtId="0" fontId="14" fillId="4" borderId="6" xfId="0" applyFont="1" applyFill="1" applyBorder="1" applyAlignment="1">
      <alignment horizontal="left"/>
    </xf>
    <xf numFmtId="0" fontId="14" fillId="4" borderId="7" xfId="0" applyFont="1" applyFill="1" applyBorder="1" applyAlignment="1">
      <alignment horizontal="left"/>
    </xf>
    <xf numFmtId="0" fontId="11" fillId="4" borderId="0" xfId="0" applyFont="1" applyFill="1" applyBorder="1" applyProtection="1"/>
    <xf numFmtId="0" fontId="8" fillId="4" borderId="0" xfId="0" applyFont="1" applyFill="1" applyBorder="1" applyAlignment="1" applyProtection="1">
      <alignment horizontal="right"/>
    </xf>
    <xf numFmtId="1" fontId="0" fillId="4" borderId="0" xfId="0" applyNumberFormat="1" applyFill="1" applyBorder="1" applyAlignment="1" applyProtection="1">
      <alignment horizontal="center"/>
    </xf>
    <xf numFmtId="0" fontId="31" fillId="4" borderId="0" xfId="0" applyFont="1" applyFill="1" applyBorder="1" applyAlignment="1" applyProtection="1">
      <alignment horizontal="center"/>
    </xf>
    <xf numFmtId="0" fontId="32" fillId="4" borderId="0" xfId="0" applyFont="1" applyFill="1" applyBorder="1" applyAlignment="1" applyProtection="1">
      <alignment horizontal="left"/>
    </xf>
    <xf numFmtId="0" fontId="43" fillId="4" borderId="0" xfId="0" applyFont="1" applyFill="1" applyBorder="1" applyAlignment="1" applyProtection="1"/>
    <xf numFmtId="2" fontId="11" fillId="4" borderId="0" xfId="0" applyNumberFormat="1" applyFont="1" applyFill="1" applyBorder="1" applyAlignment="1" applyProtection="1">
      <alignment horizontal="center" vertical="center"/>
    </xf>
    <xf numFmtId="0" fontId="8" fillId="4" borderId="0" xfId="0" applyFont="1" applyFill="1" applyBorder="1" applyAlignment="1" applyProtection="1">
      <alignment wrapText="1"/>
    </xf>
    <xf numFmtId="0" fontId="27" fillId="4" borderId="0" xfId="0" applyFont="1" applyFill="1" applyBorder="1" applyAlignment="1" applyProtection="1">
      <alignment horizontal="right"/>
    </xf>
    <xf numFmtId="0" fontId="0" fillId="4" borderId="0" xfId="0" applyFill="1" applyBorder="1" applyAlignment="1" applyProtection="1">
      <alignment vertical="top" wrapText="1"/>
    </xf>
    <xf numFmtId="0" fontId="30" fillId="4" borderId="0" xfId="0" applyFont="1" applyFill="1" applyBorder="1" applyAlignment="1" applyProtection="1">
      <alignment horizontal="right" vertical="center"/>
    </xf>
    <xf numFmtId="0" fontId="0" fillId="4" borderId="0" xfId="0" applyFill="1" applyBorder="1" applyAlignment="1" applyProtection="1">
      <alignment horizontal="center"/>
    </xf>
    <xf numFmtId="0" fontId="0" fillId="4" borderId="0" xfId="0" applyFill="1" applyBorder="1" applyAlignment="1" applyProtection="1">
      <alignment horizontal="center" vertical="top" wrapText="1"/>
    </xf>
    <xf numFmtId="0" fontId="43" fillId="4" borderId="0" xfId="0" applyFont="1" applyFill="1" applyBorder="1" applyAlignment="1" applyProtection="1">
      <alignment horizontal="left"/>
    </xf>
    <xf numFmtId="0" fontId="18" fillId="4" borderId="0" xfId="0" applyFont="1" applyFill="1" applyBorder="1" applyAlignment="1" applyProtection="1">
      <alignment horizontal="center"/>
    </xf>
    <xf numFmtId="0" fontId="28" fillId="4" borderId="0" xfId="0" applyFont="1" applyFill="1" applyBorder="1" applyAlignment="1" applyProtection="1">
      <alignment horizontal="right"/>
    </xf>
    <xf numFmtId="0" fontId="28" fillId="4" borderId="0" xfId="0" applyFont="1" applyFill="1" applyBorder="1" applyAlignment="1" applyProtection="1">
      <alignment horizontal="center"/>
    </xf>
    <xf numFmtId="0" fontId="14" fillId="4" borderId="0" xfId="0" applyFont="1" applyFill="1" applyBorder="1" applyAlignment="1" applyProtection="1">
      <alignment horizontal="right"/>
    </xf>
    <xf numFmtId="164" fontId="9" fillId="4" borderId="0" xfId="0" quotePrefix="1" applyNumberFormat="1" applyFont="1" applyFill="1" applyBorder="1" applyAlignment="1" applyProtection="1">
      <alignment horizontal="right"/>
    </xf>
    <xf numFmtId="164" fontId="9" fillId="4" borderId="0" xfId="0" applyNumberFormat="1" applyFont="1" applyFill="1" applyBorder="1" applyAlignment="1" applyProtection="1">
      <alignment horizontal="center"/>
    </xf>
    <xf numFmtId="164" fontId="9" fillId="4" borderId="0" xfId="0" quotePrefix="1" applyNumberFormat="1" applyFont="1" applyFill="1" applyBorder="1" applyAlignment="1" applyProtection="1">
      <alignment horizontal="left"/>
    </xf>
    <xf numFmtId="0" fontId="28" fillId="4" borderId="0" xfId="0" applyFont="1" applyFill="1" applyBorder="1" applyProtection="1"/>
    <xf numFmtId="0" fontId="11" fillId="4" borderId="0" xfId="0" applyFont="1" applyFill="1" applyBorder="1" applyAlignment="1" applyProtection="1">
      <alignment horizontal="right"/>
    </xf>
    <xf numFmtId="0" fontId="18" fillId="4" borderId="0" xfId="0" applyFont="1" applyFill="1" applyBorder="1" applyAlignment="1" applyProtection="1">
      <alignment horizontal="left"/>
    </xf>
    <xf numFmtId="0" fontId="11" fillId="4" borderId="0" xfId="0" quotePrefix="1" applyFont="1" applyFill="1" applyBorder="1" applyAlignment="1" applyProtection="1">
      <alignment horizontal="right"/>
    </xf>
    <xf numFmtId="0" fontId="11" fillId="4" borderId="0" xfId="0" applyFont="1" applyFill="1" applyBorder="1" applyAlignment="1" applyProtection="1">
      <alignment horizontal="left"/>
    </xf>
    <xf numFmtId="0" fontId="0" fillId="4" borderId="0" xfId="0" applyFill="1" applyBorder="1" applyAlignment="1" applyProtection="1">
      <alignment horizontal="left"/>
    </xf>
    <xf numFmtId="0" fontId="47" fillId="4" borderId="0" xfId="0" applyFont="1" applyFill="1" applyBorder="1" applyAlignment="1" applyProtection="1">
      <alignment horizontal="left"/>
    </xf>
    <xf numFmtId="0" fontId="39" fillId="4" borderId="0" xfId="0" applyFont="1" applyFill="1" applyBorder="1" applyProtection="1"/>
    <xf numFmtId="0" fontId="27" fillId="4" borderId="0" xfId="0" applyFont="1" applyFill="1" applyBorder="1" applyAlignment="1" applyProtection="1">
      <alignment horizontal="left"/>
    </xf>
    <xf numFmtId="0" fontId="0" fillId="4" borderId="0" xfId="0" applyFill="1" applyBorder="1" applyAlignment="1" applyProtection="1">
      <alignment horizontal="center"/>
    </xf>
    <xf numFmtId="0" fontId="0" fillId="4" borderId="0" xfId="0" applyFill="1" applyBorder="1" applyAlignment="1" applyProtection="1">
      <alignment horizontal="left"/>
    </xf>
    <xf numFmtId="0" fontId="8" fillId="0" borderId="0" xfId="0" applyFont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/>
    </xf>
    <xf numFmtId="0" fontId="11" fillId="0" borderId="0" xfId="0" applyFont="1" applyBorder="1" applyAlignment="1" applyProtection="1">
      <alignment horizontal="center"/>
    </xf>
    <xf numFmtId="9" fontId="39" fillId="0" borderId="0" xfId="6" applyFont="1" applyBorder="1" applyAlignment="1" applyProtection="1">
      <alignment horizontal="left"/>
    </xf>
    <xf numFmtId="0" fontId="0" fillId="0" borderId="0" xfId="0" quotePrefix="1" applyBorder="1" applyProtection="1"/>
    <xf numFmtId="9" fontId="0" fillId="5" borderId="0" xfId="6" applyFont="1" applyFill="1" applyBorder="1" applyAlignment="1" applyProtection="1">
      <alignment horizontal="center"/>
    </xf>
    <xf numFmtId="2" fontId="93" fillId="0" borderId="0" xfId="0" applyNumberFormat="1" applyFont="1" applyBorder="1" applyAlignment="1" applyProtection="1">
      <alignment horizontal="center"/>
    </xf>
    <xf numFmtId="0" fontId="4" fillId="5" borderId="0" xfId="0" applyFont="1" applyFill="1" applyProtection="1"/>
    <xf numFmtId="0" fontId="90" fillId="5" borderId="0" xfId="0" applyFont="1" applyFill="1" applyAlignment="1" applyProtection="1">
      <alignment horizontal="center"/>
    </xf>
    <xf numFmtId="0" fontId="0" fillId="0" borderId="0" xfId="0" applyFill="1" applyAlignment="1" applyProtection="1">
      <alignment horizontal="left"/>
    </xf>
    <xf numFmtId="0" fontId="3" fillId="4" borderId="0" xfId="2" applyFill="1" applyBorder="1" applyAlignment="1" applyProtection="1">
      <alignment horizontal="left"/>
    </xf>
    <xf numFmtId="167" fontId="0" fillId="4" borderId="0" xfId="0" applyNumberFormat="1" applyFill="1" applyBorder="1" applyAlignment="1" applyProtection="1">
      <alignment horizontal="center"/>
    </xf>
    <xf numFmtId="2" fontId="0" fillId="4" borderId="0" xfId="0" applyNumberFormat="1" applyFill="1" applyBorder="1" applyAlignment="1" applyProtection="1">
      <alignment horizontal="center"/>
    </xf>
    <xf numFmtId="0" fontId="3" fillId="4" borderId="0" xfId="2" applyFill="1" applyBorder="1" applyAlignment="1" applyProtection="1">
      <alignment horizontal="center"/>
    </xf>
    <xf numFmtId="0" fontId="3" fillId="4" borderId="0" xfId="2" applyFill="1" applyBorder="1" applyAlignment="1" applyProtection="1"/>
    <xf numFmtId="0" fontId="2" fillId="4" borderId="0" xfId="0" applyFont="1" applyFill="1" applyBorder="1" applyAlignment="1" applyProtection="1">
      <alignment horizontal="center"/>
    </xf>
    <xf numFmtId="0" fontId="25" fillId="4" borderId="0" xfId="0" applyFont="1" applyFill="1" applyBorder="1" applyAlignment="1" applyProtection="1">
      <alignment horizontal="center"/>
    </xf>
    <xf numFmtId="0" fontId="8" fillId="4" borderId="0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/>
    <xf numFmtId="0" fontId="3" fillId="0" borderId="0" xfId="2" applyBorder="1" applyAlignment="1" applyProtection="1"/>
    <xf numFmtId="0" fontId="0" fillId="4" borderId="0" xfId="0" applyFill="1" applyAlignment="1" applyProtection="1"/>
    <xf numFmtId="0" fontId="41" fillId="4" borderId="0" xfId="4" applyFill="1" applyAlignment="1" applyProtection="1">
      <alignment horizontal="left"/>
    </xf>
    <xf numFmtId="0" fontId="7" fillId="4" borderId="0" xfId="4" applyFont="1" applyFill="1" applyBorder="1" applyAlignment="1" applyProtection="1">
      <alignment horizontal="center"/>
    </xf>
    <xf numFmtId="0" fontId="7" fillId="4" borderId="0" xfId="4" applyFont="1" applyFill="1" applyBorder="1" applyAlignment="1" applyProtection="1">
      <alignment horizontal="left"/>
    </xf>
    <xf numFmtId="0" fontId="41" fillId="4" borderId="0" xfId="4" applyFill="1" applyBorder="1" applyAlignment="1" applyProtection="1">
      <alignment horizontal="left"/>
    </xf>
    <xf numFmtId="0" fontId="4" fillId="4" borderId="0" xfId="4" applyFont="1" applyFill="1" applyBorder="1" applyAlignment="1" applyProtection="1">
      <alignment horizontal="center"/>
    </xf>
    <xf numFmtId="0" fontId="17" fillId="4" borderId="0" xfId="0" applyFont="1" applyFill="1" applyAlignment="1" applyProtection="1">
      <alignment horizontal="center"/>
    </xf>
    <xf numFmtId="0" fontId="41" fillId="4" borderId="0" xfId="4" applyFill="1" applyBorder="1" applyAlignment="1" applyProtection="1">
      <alignment horizontal="center"/>
    </xf>
    <xf numFmtId="0" fontId="41" fillId="4" borderId="0" xfId="4" applyFont="1" applyFill="1" applyBorder="1" applyAlignment="1" applyProtection="1">
      <alignment horizontal="left"/>
    </xf>
    <xf numFmtId="0" fontId="18" fillId="4" borderId="0" xfId="0" applyFont="1" applyFill="1" applyAlignment="1" applyProtection="1">
      <alignment horizontal="center"/>
    </xf>
    <xf numFmtId="0" fontId="4" fillId="4" borderId="0" xfId="0" applyFont="1" applyFill="1" applyAlignment="1" applyProtection="1">
      <alignment horizontal="left" vertical="center"/>
    </xf>
    <xf numFmtId="0" fontId="11" fillId="4" borderId="0" xfId="0" applyFont="1" applyFill="1" applyAlignment="1" applyProtection="1">
      <alignment horizontal="left" vertical="center"/>
    </xf>
    <xf numFmtId="0" fontId="0" fillId="4" borderId="6" xfId="0" applyFill="1" applyBorder="1" applyAlignment="1" applyProtection="1">
      <alignment horizontal="center"/>
    </xf>
    <xf numFmtId="0" fontId="12" fillId="4" borderId="8" xfId="4" applyFont="1" applyFill="1" applyBorder="1" applyAlignment="1" applyProtection="1">
      <alignment horizontal="center"/>
    </xf>
    <xf numFmtId="0" fontId="8" fillId="4" borderId="0" xfId="4" applyFont="1" applyFill="1" applyAlignment="1" applyProtection="1">
      <alignment horizontal="left"/>
    </xf>
    <xf numFmtId="0" fontId="41" fillId="4" borderId="0" xfId="4" applyFont="1" applyFill="1" applyAlignment="1" applyProtection="1">
      <alignment horizontal="left"/>
    </xf>
    <xf numFmtId="0" fontId="20" fillId="4" borderId="8" xfId="0" quotePrefix="1" applyFont="1" applyFill="1" applyBorder="1" applyAlignment="1" applyProtection="1">
      <alignment horizontal="center"/>
    </xf>
    <xf numFmtId="0" fontId="48" fillId="4" borderId="0" xfId="0" quotePrefix="1" applyFont="1" applyFill="1" applyBorder="1" applyAlignment="1" applyProtection="1">
      <alignment horizontal="center"/>
    </xf>
    <xf numFmtId="0" fontId="48" fillId="4" borderId="0" xfId="0" applyFont="1" applyFill="1" applyBorder="1" applyAlignment="1" applyProtection="1">
      <alignment horizontal="left"/>
    </xf>
    <xf numFmtId="0" fontId="0" fillId="4" borderId="0" xfId="0" applyFill="1" applyBorder="1" applyAlignment="1" applyProtection="1">
      <alignment horizontal="right" vertical="center"/>
    </xf>
    <xf numFmtId="1" fontId="11" fillId="4" borderId="0" xfId="0" applyNumberFormat="1" applyFont="1" applyFill="1" applyBorder="1" applyAlignment="1" applyProtection="1">
      <alignment horizontal="center" vertical="center"/>
    </xf>
    <xf numFmtId="0" fontId="49" fillId="4" borderId="0" xfId="0" applyFont="1" applyFill="1" applyBorder="1" applyAlignment="1" applyProtection="1">
      <alignment horizontal="center"/>
    </xf>
    <xf numFmtId="0" fontId="10" fillId="4" borderId="0" xfId="0" applyFont="1" applyFill="1" applyAlignment="1" applyProtection="1">
      <alignment horizontal="left"/>
    </xf>
    <xf numFmtId="0" fontId="8" fillId="4" borderId="0" xfId="0" applyFont="1" applyFill="1" applyAlignment="1" applyProtection="1">
      <alignment horizontal="center"/>
    </xf>
    <xf numFmtId="0" fontId="4" fillId="4" borderId="8" xfId="0" applyFont="1" applyFill="1" applyBorder="1" applyAlignment="1" applyProtection="1">
      <alignment horizontal="center"/>
    </xf>
    <xf numFmtId="0" fontId="8" fillId="4" borderId="0" xfId="0" applyFont="1" applyFill="1" applyAlignment="1" applyProtection="1">
      <alignment horizontal="left"/>
    </xf>
    <xf numFmtId="0" fontId="64" fillId="4" borderId="0" xfId="0" applyFont="1" applyFill="1" applyAlignment="1" applyProtection="1">
      <alignment horizontal="left"/>
    </xf>
    <xf numFmtId="0" fontId="7" fillId="4" borderId="0" xfId="0" applyFont="1" applyFill="1" applyAlignment="1" applyProtection="1">
      <alignment horizontal="left"/>
    </xf>
    <xf numFmtId="0" fontId="20" fillId="4" borderId="0" xfId="0" applyFont="1" applyFill="1" applyAlignment="1" applyProtection="1">
      <alignment horizontal="left"/>
    </xf>
    <xf numFmtId="2" fontId="0" fillId="4" borderId="10" xfId="0" applyNumberFormat="1" applyFill="1" applyBorder="1" applyAlignment="1" applyProtection="1">
      <alignment horizontal="center"/>
    </xf>
    <xf numFmtId="2" fontId="0" fillId="4" borderId="8" xfId="0" applyNumberFormat="1" applyFill="1" applyBorder="1" applyAlignment="1" applyProtection="1">
      <alignment horizontal="center"/>
    </xf>
    <xf numFmtId="0" fontId="9" fillId="4" borderId="0" xfId="0" applyFont="1" applyFill="1" applyAlignment="1" applyProtection="1">
      <alignment horizontal="left"/>
    </xf>
    <xf numFmtId="0" fontId="9" fillId="4" borderId="0" xfId="0" applyFont="1" applyFill="1" applyBorder="1" applyAlignment="1" applyProtection="1">
      <alignment horizontal="left"/>
    </xf>
    <xf numFmtId="0" fontId="11" fillId="4" borderId="0" xfId="0" applyFont="1" applyFill="1" applyAlignment="1" applyProtection="1">
      <alignment horizontal="right"/>
    </xf>
    <xf numFmtId="2" fontId="0" fillId="4" borderId="0" xfId="0" quotePrefix="1" applyNumberFormat="1" applyFill="1" applyAlignment="1" applyProtection="1">
      <alignment horizontal="center"/>
    </xf>
    <xf numFmtId="0" fontId="9" fillId="4" borderId="0" xfId="0" applyFont="1" applyFill="1" applyAlignment="1" applyProtection="1">
      <alignment horizontal="right"/>
    </xf>
    <xf numFmtId="0" fontId="4" fillId="4" borderId="1" xfId="0" applyFont="1" applyFill="1" applyBorder="1" applyAlignment="1" applyProtection="1">
      <alignment horizontal="center"/>
    </xf>
    <xf numFmtId="0" fontId="0" fillId="4" borderId="2" xfId="0" applyFill="1" applyBorder="1" applyAlignment="1" applyProtection="1">
      <alignment horizontal="center"/>
    </xf>
    <xf numFmtId="0" fontId="0" fillId="4" borderId="3" xfId="0" applyFill="1" applyBorder="1" applyAlignment="1" applyProtection="1">
      <alignment horizontal="center"/>
    </xf>
    <xf numFmtId="0" fontId="4" fillId="4" borderId="33" xfId="0" applyFont="1" applyFill="1" applyBorder="1" applyAlignment="1" applyProtection="1">
      <alignment horizontal="left"/>
    </xf>
    <xf numFmtId="0" fontId="0" fillId="4" borderId="23" xfId="0" applyFill="1" applyBorder="1" applyAlignment="1" applyProtection="1">
      <alignment horizontal="center"/>
    </xf>
    <xf numFmtId="0" fontId="0" fillId="4" borderId="9" xfId="0" applyFill="1" applyBorder="1" applyAlignment="1" applyProtection="1">
      <alignment horizontal="center"/>
    </xf>
    <xf numFmtId="0" fontId="10" fillId="4" borderId="0" xfId="0" applyFont="1" applyFill="1" applyBorder="1" applyAlignment="1" applyProtection="1">
      <alignment horizontal="left"/>
    </xf>
    <xf numFmtId="0" fontId="10" fillId="4" borderId="0" xfId="0" applyFont="1" applyFill="1" applyBorder="1" applyAlignment="1" applyProtection="1">
      <alignment horizontal="center"/>
    </xf>
    <xf numFmtId="0" fontId="0" fillId="7" borderId="9" xfId="0" applyFill="1" applyBorder="1" applyAlignment="1" applyProtection="1">
      <alignment horizontal="center"/>
    </xf>
    <xf numFmtId="10" fontId="0" fillId="4" borderId="0" xfId="0" applyNumberFormat="1" applyFill="1" applyBorder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0" fontId="11" fillId="4" borderId="0" xfId="0" applyFont="1" applyFill="1" applyBorder="1" applyAlignment="1" applyProtection="1"/>
    <xf numFmtId="0" fontId="4" fillId="4" borderId="0" xfId="0" applyFont="1" applyFill="1" applyAlignment="1" applyProtection="1">
      <alignment horizontal="left"/>
    </xf>
    <xf numFmtId="0" fontId="8" fillId="4" borderId="0" xfId="0" applyFont="1" applyFill="1" applyAlignment="1" applyProtection="1">
      <alignment horizontal="right" vertical="center"/>
    </xf>
    <xf numFmtId="2" fontId="11" fillId="4" borderId="15" xfId="0" applyNumberFormat="1" applyFont="1" applyFill="1" applyBorder="1" applyAlignment="1" applyProtection="1">
      <alignment horizontal="center" vertical="center"/>
    </xf>
    <xf numFmtId="0" fontId="0" fillId="4" borderId="7" xfId="0" applyFill="1" applyBorder="1" applyAlignment="1" applyProtection="1">
      <alignment horizontal="center"/>
    </xf>
    <xf numFmtId="0" fontId="0" fillId="4" borderId="14" xfId="0" applyFill="1" applyBorder="1" applyAlignment="1" applyProtection="1">
      <alignment horizontal="left"/>
    </xf>
    <xf numFmtId="38" fontId="0" fillId="4" borderId="0" xfId="1" applyNumberFormat="1" applyFont="1" applyFill="1" applyBorder="1" applyAlignment="1" applyProtection="1">
      <alignment horizontal="center"/>
    </xf>
    <xf numFmtId="0" fontId="0" fillId="4" borderId="6" xfId="0" applyFill="1" applyBorder="1" applyAlignment="1" applyProtection="1">
      <alignment horizontal="left"/>
    </xf>
    <xf numFmtId="0" fontId="25" fillId="4" borderId="0" xfId="0" applyFont="1" applyFill="1" applyAlignment="1" applyProtection="1">
      <alignment horizontal="left"/>
    </xf>
    <xf numFmtId="0" fontId="0" fillId="4" borderId="0" xfId="0" quotePrefix="1" applyFill="1" applyBorder="1" applyAlignment="1" applyProtection="1">
      <alignment horizontal="left"/>
    </xf>
    <xf numFmtId="0" fontId="0" fillId="4" borderId="0" xfId="0" applyFill="1" applyAlignment="1" applyProtection="1">
      <alignment horizontal="left" vertical="center"/>
    </xf>
    <xf numFmtId="0" fontId="5" fillId="4" borderId="0" xfId="0" applyFont="1" applyFill="1" applyAlignment="1" applyProtection="1">
      <alignment horizontal="center" vertical="center"/>
    </xf>
    <xf numFmtId="0" fontId="0" fillId="4" borderId="0" xfId="0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left"/>
    </xf>
    <xf numFmtId="0" fontId="9" fillId="4" borderId="0" xfId="0" applyFont="1" applyFill="1" applyAlignment="1" applyProtection="1">
      <alignment horizontal="center"/>
    </xf>
    <xf numFmtId="0" fontId="19" fillId="4" borderId="0" xfId="0" applyFont="1" applyFill="1" applyAlignment="1" applyProtection="1">
      <alignment horizontal="center"/>
    </xf>
    <xf numFmtId="0" fontId="0" fillId="4" borderId="1" xfId="0" applyFill="1" applyBorder="1" applyAlignment="1" applyProtection="1">
      <alignment horizontal="left"/>
    </xf>
    <xf numFmtId="0" fontId="0" fillId="4" borderId="2" xfId="0" applyFill="1" applyBorder="1" applyAlignment="1" applyProtection="1">
      <alignment horizontal="left"/>
    </xf>
    <xf numFmtId="0" fontId="25" fillId="4" borderId="3" xfId="0" applyFont="1" applyFill="1" applyBorder="1" applyAlignment="1" applyProtection="1">
      <alignment horizontal="left"/>
    </xf>
    <xf numFmtId="0" fontId="0" fillId="4" borderId="4" xfId="0" applyFill="1" applyBorder="1" applyAlignment="1" applyProtection="1">
      <alignment horizontal="left"/>
    </xf>
    <xf numFmtId="0" fontId="25" fillId="4" borderId="0" xfId="0" applyFont="1" applyFill="1" applyBorder="1" applyAlignment="1" applyProtection="1">
      <alignment horizontal="left"/>
    </xf>
    <xf numFmtId="0" fontId="20" fillId="4" borderId="0" xfId="0" applyFont="1" applyFill="1" applyBorder="1" applyAlignment="1" applyProtection="1">
      <alignment horizontal="center"/>
    </xf>
    <xf numFmtId="0" fontId="25" fillId="4" borderId="13" xfId="0" applyFont="1" applyFill="1" applyBorder="1" applyAlignment="1" applyProtection="1">
      <alignment horizontal="left"/>
    </xf>
    <xf numFmtId="0" fontId="10" fillId="4" borderId="0" xfId="0" applyFont="1" applyFill="1" applyAlignment="1" applyProtection="1">
      <alignment horizontal="center"/>
    </xf>
    <xf numFmtId="0" fontId="25" fillId="4" borderId="4" xfId="0" applyFont="1" applyFill="1" applyBorder="1" applyAlignment="1" applyProtection="1">
      <alignment horizontal="left"/>
    </xf>
    <xf numFmtId="0" fontId="21" fillId="4" borderId="0" xfId="0" applyFont="1" applyFill="1" applyAlignment="1" applyProtection="1">
      <alignment horizontal="right" vertical="top"/>
    </xf>
    <xf numFmtId="0" fontId="16" fillId="4" borderId="0" xfId="0" applyFont="1" applyFill="1" applyAlignment="1" applyProtection="1">
      <alignment horizontal="center"/>
    </xf>
    <xf numFmtId="0" fontId="18" fillId="4" borderId="0" xfId="0" applyFont="1" applyFill="1" applyAlignment="1" applyProtection="1">
      <alignment horizontal="left"/>
    </xf>
    <xf numFmtId="0" fontId="0" fillId="4" borderId="0" xfId="0" applyFill="1" applyAlignment="1" applyProtection="1">
      <alignment horizontal="right" vertical="top"/>
    </xf>
    <xf numFmtId="0" fontId="24" fillId="4" borderId="0" xfId="0" applyFont="1" applyFill="1" applyAlignment="1" applyProtection="1">
      <alignment horizontal="center"/>
    </xf>
    <xf numFmtId="0" fontId="5" fillId="4" borderId="0" xfId="0" applyFont="1" applyFill="1" applyBorder="1" applyAlignment="1" applyProtection="1">
      <alignment horizontal="center" vertical="center"/>
    </xf>
    <xf numFmtId="0" fontId="11" fillId="4" borderId="0" xfId="0" applyFont="1" applyFill="1" applyBorder="1" applyAlignment="1" applyProtection="1">
      <alignment horizontal="left" vertical="center"/>
    </xf>
    <xf numFmtId="0" fontId="19" fillId="4" borderId="0" xfId="0" applyFont="1" applyFill="1" applyBorder="1" applyAlignment="1" applyProtection="1">
      <alignment horizontal="center"/>
    </xf>
    <xf numFmtId="2" fontId="0" fillId="4" borderId="8" xfId="0" applyNumberFormat="1" applyFill="1" applyBorder="1" applyAlignment="1" applyProtection="1">
      <alignment horizontal="center" vertical="center"/>
    </xf>
    <xf numFmtId="0" fontId="8" fillId="4" borderId="0" xfId="0" applyFont="1" applyFill="1" applyBorder="1" applyAlignment="1" applyProtection="1">
      <alignment horizontal="left"/>
    </xf>
    <xf numFmtId="0" fontId="16" fillId="4" borderId="0" xfId="0" applyFont="1" applyFill="1" applyBorder="1" applyAlignment="1" applyProtection="1">
      <alignment horizontal="center"/>
    </xf>
    <xf numFmtId="166" fontId="0" fillId="4" borderId="8" xfId="0" applyNumberFormat="1" applyFill="1" applyBorder="1" applyAlignment="1" applyProtection="1">
      <alignment horizontal="center" vertical="center"/>
    </xf>
    <xf numFmtId="166" fontId="0" fillId="4" borderId="9" xfId="0" applyNumberFormat="1" applyFill="1" applyBorder="1" applyAlignment="1" applyProtection="1">
      <alignment horizontal="center" vertical="center"/>
    </xf>
    <xf numFmtId="166" fontId="0" fillId="4" borderId="0" xfId="0" applyNumberFormat="1" applyFill="1" applyBorder="1" applyAlignment="1" applyProtection="1">
      <alignment horizontal="center" vertical="center"/>
    </xf>
    <xf numFmtId="0" fontId="0" fillId="4" borderId="0" xfId="0" applyFill="1" applyBorder="1" applyAlignment="1" applyProtection="1">
      <alignment horizontal="center" vertical="center"/>
    </xf>
    <xf numFmtId="0" fontId="4" fillId="4" borderId="0" xfId="0" applyFont="1" applyFill="1" applyAlignment="1" applyProtection="1">
      <alignment horizontal="right" vertical="center"/>
    </xf>
    <xf numFmtId="166" fontId="0" fillId="4" borderId="7" xfId="0" applyNumberFormat="1" applyFill="1" applyBorder="1" applyAlignment="1" applyProtection="1">
      <alignment horizontal="center" vertical="center"/>
    </xf>
    <xf numFmtId="0" fontId="8" fillId="4" borderId="0" xfId="0" applyFont="1" applyFill="1" applyAlignment="1" applyProtection="1">
      <alignment horizontal="left" vertical="center"/>
    </xf>
    <xf numFmtId="0" fontId="26" fillId="4" borderId="0" xfId="0" applyFont="1" applyFill="1" applyAlignment="1" applyProtection="1">
      <alignment horizontal="left" vertical="center"/>
    </xf>
    <xf numFmtId="0" fontId="11" fillId="4" borderId="0" xfId="0" quotePrefix="1" applyFont="1" applyFill="1" applyAlignment="1" applyProtection="1">
      <alignment horizontal="right"/>
    </xf>
    <xf numFmtId="165" fontId="0" fillId="4" borderId="0" xfId="0" applyNumberFormat="1" applyFill="1" applyAlignment="1" applyProtection="1">
      <alignment horizontal="center"/>
    </xf>
    <xf numFmtId="165" fontId="0" fillId="4" borderId="8" xfId="0" applyNumberFormat="1" applyFill="1" applyBorder="1" applyAlignment="1" applyProtection="1">
      <alignment horizontal="center"/>
    </xf>
    <xf numFmtId="9" fontId="11" fillId="4" borderId="0" xfId="0" applyNumberFormat="1" applyFont="1" applyFill="1" applyAlignment="1" applyProtection="1">
      <alignment horizontal="center" vertical="top"/>
    </xf>
    <xf numFmtId="0" fontId="11" fillId="4" borderId="8" xfId="0" applyFont="1" applyFill="1" applyBorder="1" applyAlignment="1" applyProtection="1">
      <alignment horizontal="center"/>
    </xf>
    <xf numFmtId="9" fontId="11" fillId="4" borderId="23" xfId="0" applyNumberFormat="1" applyFont="1" applyFill="1" applyBorder="1" applyAlignment="1" applyProtection="1">
      <alignment horizontal="center"/>
    </xf>
    <xf numFmtId="9" fontId="11" fillId="4" borderId="9" xfId="0" applyNumberFormat="1" applyFont="1" applyFill="1" applyBorder="1" applyAlignment="1" applyProtection="1">
      <alignment horizontal="center"/>
    </xf>
    <xf numFmtId="0" fontId="11" fillId="4" borderId="12" xfId="0" applyFont="1" applyFill="1" applyBorder="1" applyAlignment="1" applyProtection="1">
      <alignment horizontal="center"/>
    </xf>
    <xf numFmtId="2" fontId="0" fillId="4" borderId="0" xfId="0" applyNumberFormat="1" applyFill="1" applyAlignment="1" applyProtection="1">
      <alignment horizontal="center"/>
    </xf>
    <xf numFmtId="2" fontId="0" fillId="4" borderId="13" xfId="0" applyNumberFormat="1" applyFill="1" applyBorder="1" applyAlignment="1" applyProtection="1">
      <alignment horizontal="center"/>
    </xf>
    <xf numFmtId="9" fontId="11" fillId="4" borderId="0" xfId="0" applyNumberFormat="1" applyFont="1" applyFill="1" applyBorder="1" applyAlignment="1" applyProtection="1">
      <alignment horizontal="center" vertical="center"/>
    </xf>
    <xf numFmtId="0" fontId="11" fillId="4" borderId="11" xfId="0" applyFont="1" applyFill="1" applyBorder="1" applyAlignment="1" applyProtection="1">
      <alignment horizontal="center" vertical="center"/>
    </xf>
    <xf numFmtId="9" fontId="11" fillId="4" borderId="6" xfId="0" applyNumberFormat="1" applyFont="1" applyFill="1" applyBorder="1" applyAlignment="1" applyProtection="1">
      <alignment horizontal="center" vertical="center"/>
    </xf>
    <xf numFmtId="9" fontId="11" fillId="4" borderId="7" xfId="0" applyNumberFormat="1" applyFont="1" applyFill="1" applyBorder="1" applyAlignment="1" applyProtection="1">
      <alignment horizontal="center" vertical="center"/>
    </xf>
    <xf numFmtId="0" fontId="0" fillId="4" borderId="0" xfId="0" applyFill="1" applyBorder="1" applyAlignment="1" applyProtection="1">
      <alignment horizontal="left" vertical="center"/>
    </xf>
    <xf numFmtId="0" fontId="11" fillId="4" borderId="12" xfId="0" applyFont="1" applyFill="1" applyBorder="1" applyAlignment="1" applyProtection="1">
      <alignment horizontal="center" vertical="center"/>
    </xf>
    <xf numFmtId="1" fontId="0" fillId="4" borderId="0" xfId="0" applyNumberFormat="1" applyFill="1" applyBorder="1" applyAlignment="1" applyProtection="1">
      <alignment horizontal="center" vertical="center"/>
    </xf>
    <xf numFmtId="1" fontId="0" fillId="4" borderId="13" xfId="0" applyNumberFormat="1" applyFill="1" applyBorder="1" applyAlignment="1" applyProtection="1">
      <alignment horizontal="center" vertical="center"/>
    </xf>
    <xf numFmtId="2" fontId="0" fillId="4" borderId="0" xfId="0" applyNumberFormat="1" applyFill="1" applyAlignment="1" applyProtection="1">
      <alignment horizontal="right"/>
    </xf>
    <xf numFmtId="0" fontId="11" fillId="4" borderId="11" xfId="0" applyFont="1" applyFill="1" applyBorder="1" applyAlignment="1" applyProtection="1">
      <alignment horizontal="center"/>
    </xf>
    <xf numFmtId="2" fontId="0" fillId="4" borderId="6" xfId="0" applyNumberFormat="1" applyFill="1" applyBorder="1" applyAlignment="1" applyProtection="1">
      <alignment horizontal="right"/>
    </xf>
    <xf numFmtId="2" fontId="0" fillId="4" borderId="6" xfId="0" applyNumberFormat="1" applyFill="1" applyBorder="1" applyAlignment="1" applyProtection="1">
      <alignment horizontal="center"/>
    </xf>
    <xf numFmtId="2" fontId="0" fillId="4" borderId="7" xfId="0" applyNumberFormat="1" applyFill="1" applyBorder="1" applyAlignment="1" applyProtection="1">
      <alignment horizontal="center"/>
    </xf>
    <xf numFmtId="1" fontId="0" fillId="4" borderId="0" xfId="0" applyNumberFormat="1" applyFill="1" applyBorder="1" applyAlignment="1" applyProtection="1">
      <alignment horizontal="right" vertical="center"/>
    </xf>
    <xf numFmtId="1" fontId="0" fillId="4" borderId="6" xfId="0" applyNumberFormat="1" applyFill="1" applyBorder="1" applyAlignment="1" applyProtection="1">
      <alignment horizontal="right" vertical="center"/>
    </xf>
    <xf numFmtId="1" fontId="0" fillId="4" borderId="6" xfId="0" applyNumberFormat="1" applyFill="1" applyBorder="1" applyAlignment="1" applyProtection="1">
      <alignment horizontal="center" vertical="center"/>
    </xf>
    <xf numFmtId="1" fontId="0" fillId="4" borderId="7" xfId="0" applyNumberFormat="1" applyFill="1" applyBorder="1" applyAlignment="1" applyProtection="1">
      <alignment horizontal="center" vertical="center"/>
    </xf>
    <xf numFmtId="0" fontId="25" fillId="4" borderId="5" xfId="0" applyFont="1" applyFill="1" applyBorder="1" applyAlignment="1" applyProtection="1">
      <alignment horizontal="left"/>
    </xf>
    <xf numFmtId="0" fontId="25" fillId="4" borderId="6" xfId="0" applyFont="1" applyFill="1" applyBorder="1" applyAlignment="1" applyProtection="1">
      <alignment horizontal="left"/>
    </xf>
    <xf numFmtId="0" fontId="25" fillId="4" borderId="7" xfId="0" applyFont="1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left"/>
      <protection locked="0"/>
    </xf>
    <xf numFmtId="0" fontId="0" fillId="5" borderId="58" xfId="0" applyFill="1" applyBorder="1" applyAlignment="1">
      <alignment horizontal="left"/>
    </xf>
    <xf numFmtId="0" fontId="0" fillId="5" borderId="59" xfId="0" applyFill="1" applyBorder="1" applyAlignment="1">
      <alignment horizontal="left"/>
    </xf>
    <xf numFmtId="0" fontId="0" fillId="5" borderId="61" xfId="0" applyFill="1" applyBorder="1" applyAlignment="1">
      <alignment horizontal="left"/>
    </xf>
    <xf numFmtId="0" fontId="0" fillId="5" borderId="0" xfId="0" applyFill="1" applyBorder="1" applyAlignment="1">
      <alignment horizontal="left"/>
    </xf>
    <xf numFmtId="0" fontId="0" fillId="5" borderId="0" xfId="0" applyFill="1" applyBorder="1" applyAlignment="1"/>
    <xf numFmtId="0" fontId="45" fillId="5" borderId="61" xfId="0" applyFont="1" applyFill="1" applyBorder="1" applyAlignment="1">
      <alignment horizontal="left"/>
    </xf>
    <xf numFmtId="0" fontId="7" fillId="5" borderId="0" xfId="0" applyFont="1" applyFill="1" applyBorder="1" applyAlignment="1">
      <alignment horizontal="left"/>
    </xf>
    <xf numFmtId="0" fontId="0" fillId="5" borderId="62" xfId="0" applyFill="1" applyBorder="1" applyAlignment="1">
      <alignment horizontal="left"/>
    </xf>
    <xf numFmtId="0" fontId="4" fillId="5" borderId="61" xfId="0" applyFont="1" applyFill="1" applyBorder="1" applyAlignment="1">
      <alignment horizontal="left"/>
    </xf>
    <xf numFmtId="0" fontId="4" fillId="5" borderId="62" xfId="0" applyFont="1" applyFill="1" applyBorder="1" applyAlignment="1">
      <alignment horizontal="left"/>
    </xf>
    <xf numFmtId="0" fontId="0" fillId="5" borderId="61" xfId="0" applyFill="1" applyBorder="1" applyAlignment="1"/>
    <xf numFmtId="0" fontId="0" fillId="5" borderId="62" xfId="0" applyFill="1" applyBorder="1" applyAlignment="1"/>
    <xf numFmtId="0" fontId="7" fillId="5" borderId="62" xfId="0" applyFont="1" applyFill="1" applyBorder="1" applyAlignment="1">
      <alignment horizontal="left"/>
    </xf>
    <xf numFmtId="0" fontId="7" fillId="5" borderId="61" xfId="0" applyFont="1" applyFill="1" applyBorder="1" applyAlignment="1">
      <alignment horizontal="left"/>
    </xf>
    <xf numFmtId="0" fontId="0" fillId="5" borderId="2" xfId="0" applyFill="1" applyBorder="1" applyAlignment="1"/>
    <xf numFmtId="0" fontId="4" fillId="5" borderId="61" xfId="0" applyFont="1" applyFill="1" applyBorder="1" applyAlignment="1"/>
    <xf numFmtId="0" fontId="4" fillId="5" borderId="62" xfId="0" applyFont="1" applyFill="1" applyBorder="1" applyAlignment="1"/>
    <xf numFmtId="0" fontId="0" fillId="5" borderId="6" xfId="0" applyFill="1" applyBorder="1" applyAlignment="1"/>
    <xf numFmtId="0" fontId="0" fillId="5" borderId="8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5" borderId="63" xfId="0" applyFill="1" applyBorder="1" applyAlignment="1">
      <alignment horizontal="left"/>
    </xf>
    <xf numFmtId="0" fontId="0" fillId="5" borderId="64" xfId="0" applyFill="1" applyBorder="1" applyAlignment="1">
      <alignment horizontal="left"/>
    </xf>
    <xf numFmtId="0" fontId="0" fillId="5" borderId="64" xfId="0" applyFill="1" applyBorder="1" applyAlignment="1"/>
    <xf numFmtId="0" fontId="0" fillId="5" borderId="64" xfId="0" applyFill="1" applyBorder="1" applyAlignment="1">
      <alignment horizontal="right"/>
    </xf>
    <xf numFmtId="0" fontId="0" fillId="5" borderId="67" xfId="0" applyFill="1" applyBorder="1" applyAlignment="1">
      <alignment horizontal="center"/>
    </xf>
    <xf numFmtId="0" fontId="0" fillId="5" borderId="66" xfId="0" applyFill="1" applyBorder="1" applyAlignment="1">
      <alignment horizontal="left"/>
    </xf>
    <xf numFmtId="0" fontId="0" fillId="5" borderId="0" xfId="0" applyFill="1" applyAlignment="1">
      <alignment horizontal="left"/>
    </xf>
    <xf numFmtId="0" fontId="0" fillId="5" borderId="0" xfId="0" applyFill="1" applyAlignment="1"/>
    <xf numFmtId="0" fontId="14" fillId="5" borderId="0" xfId="0" applyFont="1" applyFill="1" applyAlignment="1">
      <alignment horizontal="left"/>
    </xf>
    <xf numFmtId="0" fontId="0" fillId="5" borderId="0" xfId="0" applyFill="1" applyAlignment="1" applyProtection="1">
      <alignment horizontal="left"/>
    </xf>
    <xf numFmtId="0" fontId="0" fillId="5" borderId="58" xfId="0" applyFill="1" applyBorder="1" applyAlignment="1" applyProtection="1">
      <alignment horizontal="left"/>
    </xf>
    <xf numFmtId="0" fontId="0" fillId="5" borderId="59" xfId="0" applyFill="1" applyBorder="1" applyAlignment="1" applyProtection="1">
      <alignment horizontal="left"/>
    </xf>
    <xf numFmtId="0" fontId="0" fillId="5" borderId="61" xfId="0" applyFill="1" applyBorder="1" applyAlignment="1" applyProtection="1">
      <alignment horizontal="left"/>
    </xf>
    <xf numFmtId="0" fontId="0" fillId="5" borderId="0" xfId="0" applyFill="1" applyBorder="1" applyAlignment="1" applyProtection="1">
      <alignment horizontal="left"/>
    </xf>
    <xf numFmtId="0" fontId="0" fillId="5" borderId="61" xfId="0" applyFill="1" applyBorder="1" applyAlignment="1" applyProtection="1"/>
    <xf numFmtId="0" fontId="0" fillId="5" borderId="62" xfId="0" applyFill="1" applyBorder="1" applyAlignment="1" applyProtection="1"/>
    <xf numFmtId="0" fontId="0" fillId="5" borderId="62" xfId="0" applyFill="1" applyBorder="1" applyAlignment="1" applyProtection="1">
      <alignment horizontal="left"/>
    </xf>
    <xf numFmtId="0" fontId="33" fillId="5" borderId="0" xfId="0" applyFont="1" applyFill="1" applyBorder="1" applyProtection="1"/>
    <xf numFmtId="0" fontId="4" fillId="5" borderId="61" xfId="0" applyFont="1" applyFill="1" applyBorder="1" applyAlignment="1" applyProtection="1">
      <alignment horizontal="left"/>
    </xf>
    <xf numFmtId="0" fontId="9" fillId="5" borderId="0" xfId="0" applyFont="1" applyFill="1" applyBorder="1" applyAlignment="1" applyProtection="1">
      <alignment horizontal="center"/>
    </xf>
    <xf numFmtId="0" fontId="0" fillId="5" borderId="2" xfId="0" applyFill="1" applyBorder="1" applyAlignment="1" applyProtection="1"/>
    <xf numFmtId="0" fontId="0" fillId="5" borderId="0" xfId="0" applyFill="1" applyBorder="1" applyAlignment="1" applyProtection="1"/>
    <xf numFmtId="0" fontId="0" fillId="5" borderId="6" xfId="0" applyFill="1" applyBorder="1" applyAlignment="1" applyProtection="1"/>
    <xf numFmtId="0" fontId="0" fillId="5" borderId="0" xfId="0" applyFill="1" applyBorder="1" applyAlignment="1" applyProtection="1">
      <alignment horizontal="center"/>
    </xf>
    <xf numFmtId="0" fontId="12" fillId="5" borderId="0" xfId="0" applyFont="1" applyFill="1" applyBorder="1" applyAlignment="1" applyProtection="1">
      <alignment horizontal="right"/>
    </xf>
    <xf numFmtId="0" fontId="12" fillId="5" borderId="8" xfId="0" applyFont="1" applyFill="1" applyBorder="1" applyAlignment="1" applyProtection="1">
      <alignment horizontal="center"/>
    </xf>
    <xf numFmtId="0" fontId="42" fillId="5" borderId="0" xfId="0" applyFont="1" applyFill="1" applyBorder="1" applyAlignment="1" applyProtection="1">
      <alignment horizontal="left" vertical="top"/>
    </xf>
    <xf numFmtId="0" fontId="0" fillId="5" borderId="0" xfId="0" applyFill="1" applyBorder="1" applyProtection="1"/>
    <xf numFmtId="0" fontId="27" fillId="5" borderId="0" xfId="0" applyFont="1" applyFill="1" applyBorder="1" applyProtection="1"/>
    <xf numFmtId="0" fontId="12" fillId="5" borderId="0" xfId="0" applyFont="1" applyFill="1" applyBorder="1" applyAlignment="1" applyProtection="1">
      <alignment horizontal="left"/>
    </xf>
    <xf numFmtId="0" fontId="27" fillId="5" borderId="62" xfId="0" applyFont="1" applyFill="1" applyBorder="1" applyProtection="1"/>
    <xf numFmtId="0" fontId="11" fillId="5" borderId="61" xfId="0" applyFont="1" applyFill="1" applyBorder="1" applyProtection="1"/>
    <xf numFmtId="0" fontId="35" fillId="5" borderId="0" xfId="0" applyFont="1" applyFill="1" applyBorder="1" applyAlignment="1" applyProtection="1">
      <alignment horizontal="center"/>
    </xf>
    <xf numFmtId="0" fontId="27" fillId="5" borderId="0" xfId="0" applyFont="1" applyFill="1" applyBorder="1" applyAlignment="1" applyProtection="1">
      <alignment horizontal="center"/>
    </xf>
    <xf numFmtId="0" fontId="34" fillId="5" borderId="0" xfId="0" applyFont="1" applyFill="1" applyBorder="1" applyAlignment="1" applyProtection="1">
      <alignment horizontal="center"/>
    </xf>
    <xf numFmtId="0" fontId="12" fillId="5" borderId="0" xfId="0" applyFont="1" applyFill="1" applyBorder="1" applyAlignment="1" applyProtection="1">
      <alignment horizontal="center"/>
    </xf>
    <xf numFmtId="0" fontId="36" fillId="5" borderId="0" xfId="0" applyFont="1" applyFill="1" applyBorder="1" applyAlignment="1" applyProtection="1">
      <alignment horizontal="center"/>
    </xf>
    <xf numFmtId="0" fontId="43" fillId="5" borderId="61" xfId="0" applyFont="1" applyFill="1" applyBorder="1" applyAlignment="1" applyProtection="1">
      <alignment horizontal="left"/>
    </xf>
    <xf numFmtId="0" fontId="37" fillId="5" borderId="61" xfId="0" applyFont="1" applyFill="1" applyBorder="1" applyAlignment="1" applyProtection="1">
      <alignment horizontal="right"/>
    </xf>
    <xf numFmtId="0" fontId="35" fillId="5" borderId="0" xfId="0" applyFont="1" applyFill="1" applyBorder="1" applyAlignment="1" applyProtection="1">
      <alignment horizontal="left"/>
    </xf>
    <xf numFmtId="0" fontId="34" fillId="5" borderId="0" xfId="0" applyFont="1" applyFill="1" applyBorder="1" applyAlignment="1" applyProtection="1">
      <alignment horizontal="left"/>
    </xf>
    <xf numFmtId="0" fontId="9" fillId="5" borderId="0" xfId="0" applyFont="1" applyFill="1" applyBorder="1" applyAlignment="1">
      <alignment horizontal="center"/>
    </xf>
    <xf numFmtId="0" fontId="80" fillId="5" borderId="0" xfId="0" applyFont="1" applyFill="1" applyBorder="1" applyAlignment="1" applyProtection="1">
      <alignment horizontal="left"/>
    </xf>
    <xf numFmtId="0" fontId="41" fillId="5" borderId="0" xfId="0" applyFont="1" applyFill="1" applyBorder="1"/>
    <xf numFmtId="0" fontId="41" fillId="5" borderId="0" xfId="0" applyFont="1" applyFill="1" applyBorder="1" applyProtection="1"/>
    <xf numFmtId="0" fontId="27" fillId="5" borderId="61" xfId="0" applyFont="1" applyFill="1" applyBorder="1" applyProtection="1"/>
    <xf numFmtId="0" fontId="8" fillId="5" borderId="0" xfId="0" applyFont="1" applyFill="1" applyBorder="1" applyProtection="1"/>
    <xf numFmtId="0" fontId="8" fillId="5" borderId="0" xfId="0" applyFont="1" applyFill="1" applyBorder="1" applyAlignment="1" applyProtection="1">
      <alignment horizontal="center"/>
    </xf>
    <xf numFmtId="0" fontId="9" fillId="5" borderId="2" xfId="0" applyFont="1" applyFill="1" applyBorder="1" applyAlignment="1" applyProtection="1">
      <alignment horizontal="center"/>
    </xf>
    <xf numFmtId="0" fontId="46" fillId="5" borderId="0" xfId="0" applyFont="1" applyFill="1" applyBorder="1" applyAlignment="1" applyProtection="1">
      <alignment horizontal="left"/>
    </xf>
    <xf numFmtId="0" fontId="11" fillId="5" borderId="0" xfId="0" applyFont="1" applyFill="1" applyBorder="1" applyAlignment="1" applyProtection="1">
      <alignment horizontal="center"/>
    </xf>
    <xf numFmtId="0" fontId="29" fillId="5" borderId="0" xfId="0" applyFont="1" applyFill="1" applyBorder="1" applyProtection="1"/>
    <xf numFmtId="0" fontId="0" fillId="5" borderId="0" xfId="0" applyFill="1" applyBorder="1" applyAlignment="1" applyProtection="1">
      <alignment horizontal="right"/>
    </xf>
    <xf numFmtId="0" fontId="7" fillId="5" borderId="0" xfId="0" applyFont="1" applyFill="1" applyBorder="1" applyAlignment="1" applyProtection="1">
      <alignment horizontal="center"/>
    </xf>
    <xf numFmtId="0" fontId="4" fillId="5" borderId="61" xfId="0" applyFont="1" applyFill="1" applyBorder="1" applyAlignment="1" applyProtection="1">
      <alignment horizontal="right"/>
    </xf>
    <xf numFmtId="0" fontId="29" fillId="5" borderId="0" xfId="0" applyFont="1" applyFill="1" applyBorder="1" applyAlignment="1" applyProtection="1">
      <alignment horizontal="center"/>
    </xf>
    <xf numFmtId="0" fontId="29" fillId="5" borderId="6" xfId="0" applyFont="1" applyFill="1" applyBorder="1" applyAlignment="1" applyProtection="1">
      <alignment horizontal="center"/>
    </xf>
    <xf numFmtId="0" fontId="12" fillId="5" borderId="2" xfId="0" applyFont="1" applyFill="1" applyBorder="1" applyAlignment="1" applyProtection="1">
      <alignment horizontal="center"/>
    </xf>
    <xf numFmtId="0" fontId="0" fillId="5" borderId="8" xfId="0" applyFill="1" applyBorder="1" applyAlignment="1" applyProtection="1">
      <alignment horizontal="center"/>
    </xf>
    <xf numFmtId="0" fontId="39" fillId="5" borderId="0" xfId="0" applyFont="1" applyFill="1" applyBorder="1" applyAlignment="1" applyProtection="1">
      <alignment horizontal="left"/>
    </xf>
    <xf numFmtId="0" fontId="0" fillId="5" borderId="11" xfId="0" applyFill="1" applyBorder="1" applyAlignment="1" applyProtection="1">
      <alignment horizontal="center"/>
    </xf>
    <xf numFmtId="0" fontId="0" fillId="5" borderId="62" xfId="0" applyFill="1" applyBorder="1" applyProtection="1"/>
    <xf numFmtId="0" fontId="40" fillId="5" borderId="0" xfId="0" applyFont="1" applyFill="1" applyBorder="1" applyAlignment="1" applyProtection="1">
      <alignment horizontal="left"/>
    </xf>
    <xf numFmtId="0" fontId="38" fillId="5" borderId="0" xfId="0" applyFont="1" applyFill="1" applyBorder="1" applyAlignment="1" applyProtection="1">
      <alignment horizontal="center"/>
    </xf>
    <xf numFmtId="0" fontId="0" fillId="5" borderId="63" xfId="0" applyFill="1" applyBorder="1" applyAlignment="1" applyProtection="1">
      <alignment horizontal="left"/>
    </xf>
    <xf numFmtId="0" fontId="0" fillId="5" borderId="64" xfId="0" applyFill="1" applyBorder="1" applyAlignment="1" applyProtection="1">
      <alignment horizontal="left"/>
    </xf>
    <xf numFmtId="0" fontId="0" fillId="5" borderId="64" xfId="0" applyFill="1" applyBorder="1" applyProtection="1"/>
    <xf numFmtId="0" fontId="0" fillId="5" borderId="64" xfId="0" applyFill="1" applyBorder="1" applyAlignment="1" applyProtection="1">
      <alignment horizontal="right"/>
    </xf>
    <xf numFmtId="2" fontId="4" fillId="5" borderId="65" xfId="0" applyNumberFormat="1" applyFont="1" applyFill="1" applyBorder="1" applyAlignment="1" applyProtection="1">
      <alignment horizontal="center"/>
    </xf>
    <xf numFmtId="0" fontId="0" fillId="5" borderId="66" xfId="0" applyFill="1" applyBorder="1" applyProtection="1"/>
    <xf numFmtId="0" fontId="76" fillId="5" borderId="59" xfId="0" applyFont="1" applyFill="1" applyBorder="1" applyAlignment="1" applyProtection="1"/>
    <xf numFmtId="0" fontId="0" fillId="5" borderId="61" xfId="0" applyFill="1" applyBorder="1" applyAlignment="1" applyProtection="1">
      <alignment horizontal="left" vertical="center"/>
    </xf>
    <xf numFmtId="0" fontId="0" fillId="5" borderId="0" xfId="0" applyFill="1" applyBorder="1" applyAlignment="1" applyProtection="1">
      <alignment horizontal="left" vertical="center"/>
    </xf>
    <xf numFmtId="0" fontId="76" fillId="5" borderId="59" xfId="0" applyFont="1" applyFill="1" applyBorder="1" applyAlignment="1"/>
    <xf numFmtId="0" fontId="88" fillId="5" borderId="0" xfId="0" applyFont="1" applyFill="1" applyBorder="1" applyAlignment="1" applyProtection="1">
      <alignment horizontal="left"/>
    </xf>
    <xf numFmtId="0" fontId="30" fillId="5" borderId="0" xfId="0" applyFont="1" applyFill="1" applyBorder="1" applyAlignment="1" applyProtection="1">
      <alignment horizontal="right"/>
    </xf>
    <xf numFmtId="0" fontId="0" fillId="5" borderId="61" xfId="0" applyFill="1" applyBorder="1"/>
    <xf numFmtId="0" fontId="15" fillId="5" borderId="0" xfId="0" applyFont="1" applyFill="1" applyBorder="1" applyAlignment="1" applyProtection="1">
      <alignment horizontal="center" wrapText="1"/>
    </xf>
    <xf numFmtId="0" fontId="11" fillId="5" borderId="0" xfId="0" applyFont="1" applyFill="1" applyBorder="1" applyAlignment="1">
      <alignment horizontal="left"/>
    </xf>
    <xf numFmtId="0" fontId="4" fillId="5" borderId="0" xfId="0" applyFont="1" applyFill="1" applyBorder="1" applyAlignment="1" applyProtection="1">
      <alignment horizontal="left"/>
    </xf>
    <xf numFmtId="0" fontId="23" fillId="5" borderId="73" xfId="0" applyFont="1" applyFill="1" applyBorder="1" applyAlignment="1" applyProtection="1">
      <alignment horizontal="left"/>
    </xf>
    <xf numFmtId="0" fontId="6" fillId="5" borderId="74" xfId="0" applyFont="1" applyFill="1" applyBorder="1" applyAlignment="1" applyProtection="1">
      <alignment horizontal="left"/>
    </xf>
    <xf numFmtId="0" fontId="0" fillId="5" borderId="74" xfId="0" applyFill="1" applyBorder="1" applyAlignment="1">
      <alignment horizontal="left"/>
    </xf>
    <xf numFmtId="0" fontId="33" fillId="5" borderId="74" xfId="0" applyFont="1" applyFill="1" applyBorder="1" applyProtection="1"/>
    <xf numFmtId="0" fontId="0" fillId="5" borderId="74" xfId="0" applyFill="1" applyBorder="1" applyAlignment="1" applyProtection="1">
      <alignment horizontal="left"/>
    </xf>
    <xf numFmtId="0" fontId="0" fillId="5" borderId="75" xfId="0" applyFill="1" applyBorder="1" applyAlignment="1" applyProtection="1">
      <alignment horizontal="left"/>
    </xf>
    <xf numFmtId="0" fontId="0" fillId="5" borderId="76" xfId="0" applyFill="1" applyBorder="1" applyAlignment="1" applyProtection="1">
      <alignment horizontal="left"/>
    </xf>
    <xf numFmtId="0" fontId="0" fillId="5" borderId="77" xfId="0" applyFill="1" applyBorder="1" applyAlignment="1" applyProtection="1">
      <alignment horizontal="left"/>
    </xf>
    <xf numFmtId="0" fontId="1" fillId="5" borderId="77" xfId="0" applyFont="1" applyFill="1" applyBorder="1" applyAlignment="1" applyProtection="1">
      <alignment horizontal="right"/>
    </xf>
    <xf numFmtId="0" fontId="12" fillId="5" borderId="78" xfId="0" applyFont="1" applyFill="1" applyBorder="1" applyAlignment="1" applyProtection="1">
      <alignment horizontal="center"/>
    </xf>
    <xf numFmtId="0" fontId="42" fillId="5" borderId="77" xfId="0" applyFont="1" applyFill="1" applyBorder="1" applyAlignment="1" applyProtection="1">
      <alignment horizontal="left" vertical="top"/>
    </xf>
    <xf numFmtId="0" fontId="0" fillId="5" borderId="79" xfId="0" applyFill="1" applyBorder="1" applyAlignment="1" applyProtection="1">
      <alignment horizontal="left"/>
    </xf>
    <xf numFmtId="0" fontId="27" fillId="5" borderId="77" xfId="0" applyFont="1" applyFill="1" applyBorder="1" applyAlignment="1" applyProtection="1">
      <alignment horizontal="center"/>
    </xf>
    <xf numFmtId="0" fontId="27" fillId="5" borderId="77" xfId="0" applyFont="1" applyFill="1" applyBorder="1" applyProtection="1"/>
    <xf numFmtId="0" fontId="41" fillId="5" borderId="77" xfId="0" applyFont="1" applyFill="1" applyBorder="1" applyAlignment="1" applyProtection="1">
      <alignment horizontal="right"/>
    </xf>
    <xf numFmtId="0" fontId="27" fillId="5" borderId="79" xfId="0" applyFont="1" applyFill="1" applyBorder="1" applyProtection="1"/>
    <xf numFmtId="0" fontId="88" fillId="5" borderId="61" xfId="0" applyFont="1" applyFill="1" applyBorder="1" applyAlignment="1" applyProtection="1">
      <alignment horizontal="left"/>
    </xf>
    <xf numFmtId="0" fontId="100" fillId="5" borderId="0" xfId="0" applyFont="1" applyFill="1" applyBorder="1" applyAlignment="1" applyProtection="1">
      <alignment horizontal="left"/>
    </xf>
    <xf numFmtId="0" fontId="73" fillId="0" borderId="0" xfId="0" applyFont="1" applyAlignment="1">
      <alignment horizontal="center"/>
    </xf>
    <xf numFmtId="0" fontId="8" fillId="5" borderId="0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/>
    </xf>
    <xf numFmtId="2" fontId="52" fillId="0" borderId="43" xfId="0" applyNumberFormat="1" applyFont="1" applyBorder="1" applyAlignment="1" applyProtection="1">
      <alignment horizontal="center" vertical="center"/>
    </xf>
    <xf numFmtId="0" fontId="8" fillId="0" borderId="44" xfId="0" applyFont="1" applyBorder="1" applyAlignment="1" applyProtection="1">
      <alignment horizontal="center" vertical="center"/>
    </xf>
    <xf numFmtId="0" fontId="8" fillId="0" borderId="45" xfId="0" applyFont="1" applyBorder="1" applyAlignment="1" applyProtection="1">
      <alignment horizontal="center" vertical="center"/>
    </xf>
    <xf numFmtId="0" fontId="25" fillId="0" borderId="10" xfId="0" quotePrefix="1" applyFont="1" applyFill="1" applyBorder="1" applyAlignment="1" applyProtection="1">
      <alignment horizontal="center" vertical="center"/>
    </xf>
    <xf numFmtId="0" fontId="25" fillId="0" borderId="11" xfId="0" applyFont="1" applyFill="1" applyBorder="1" applyAlignment="1" applyProtection="1">
      <alignment horizontal="center" vertical="center"/>
    </xf>
    <xf numFmtId="0" fontId="92" fillId="0" borderId="0" xfId="2" applyFont="1" applyBorder="1" applyAlignment="1" applyProtection="1">
      <alignment horizontal="left"/>
      <protection locked="0"/>
    </xf>
    <xf numFmtId="0" fontId="92" fillId="0" borderId="0" xfId="2" applyFont="1" applyAlignment="1" applyProtection="1">
      <alignment horizontal="left"/>
      <protection locked="0"/>
    </xf>
    <xf numFmtId="0" fontId="67" fillId="4" borderId="0" xfId="0" applyFont="1" applyFill="1" applyBorder="1" applyAlignment="1" applyProtection="1">
      <alignment horizontal="center" vertical="center" wrapText="1"/>
    </xf>
    <xf numFmtId="168" fontId="0" fillId="0" borderId="0" xfId="0" applyNumberFormat="1" applyFill="1" applyBorder="1" applyAlignment="1" applyProtection="1">
      <alignment horizontal="left"/>
    </xf>
    <xf numFmtId="0" fontId="0" fillId="0" borderId="0" xfId="0" applyFill="1" applyBorder="1" applyAlignment="1" applyProtection="1">
      <alignment horizontal="left"/>
    </xf>
    <xf numFmtId="0" fontId="0" fillId="6" borderId="16" xfId="0" applyFill="1" applyBorder="1" applyAlignment="1" applyProtection="1">
      <alignment horizontal="center"/>
      <protection locked="0"/>
    </xf>
    <xf numFmtId="2" fontId="47" fillId="4" borderId="0" xfId="0" applyNumberFormat="1" applyFont="1" applyFill="1" applyBorder="1" applyAlignment="1" applyProtection="1">
      <alignment horizontal="center" wrapText="1"/>
    </xf>
    <xf numFmtId="0" fontId="0" fillId="4" borderId="0" xfId="0" applyFill="1" applyBorder="1" applyAlignment="1" applyProtection="1">
      <alignment horizontal="center"/>
    </xf>
    <xf numFmtId="0" fontId="94" fillId="0" borderId="0" xfId="0" applyFont="1" applyBorder="1" applyAlignment="1" applyProtection="1">
      <alignment horizontal="center" vertical="top"/>
    </xf>
    <xf numFmtId="0" fontId="94" fillId="0" borderId="0" xfId="0" applyFont="1" applyBorder="1" applyAlignment="1" applyProtection="1">
      <alignment horizontal="center" vertical="center"/>
    </xf>
    <xf numFmtId="0" fontId="28" fillId="4" borderId="0" xfId="0" applyFont="1" applyFill="1" applyBorder="1" applyAlignment="1" applyProtection="1">
      <alignment horizontal="center"/>
    </xf>
    <xf numFmtId="0" fontId="90" fillId="5" borderId="0" xfId="0" applyFont="1" applyFill="1" applyAlignment="1" applyProtection="1">
      <alignment horizontal="center"/>
    </xf>
    <xf numFmtId="0" fontId="0" fillId="6" borderId="16" xfId="0" applyFill="1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 vertical="center"/>
    </xf>
    <xf numFmtId="2" fontId="25" fillId="0" borderId="10" xfId="0" applyNumberFormat="1" applyFont="1" applyFill="1" applyBorder="1" applyAlignment="1" applyProtection="1">
      <alignment horizontal="center" vertical="center"/>
    </xf>
    <xf numFmtId="2" fontId="25" fillId="0" borderId="12" xfId="0" applyNumberFormat="1" applyFont="1" applyFill="1" applyBorder="1" applyAlignment="1" applyProtection="1">
      <alignment horizontal="center" vertical="center"/>
    </xf>
    <xf numFmtId="2" fontId="25" fillId="0" borderId="11" xfId="0" applyNumberFormat="1" applyFont="1" applyFill="1" applyBorder="1" applyAlignment="1" applyProtection="1">
      <alignment horizontal="center" vertical="center"/>
    </xf>
    <xf numFmtId="0" fontId="3" fillId="4" borderId="0" xfId="2" applyFill="1" applyBorder="1" applyAlignment="1" applyProtection="1">
      <alignment horizontal="left"/>
    </xf>
    <xf numFmtId="0" fontId="41" fillId="4" borderId="0" xfId="0" applyFont="1" applyFill="1" applyBorder="1" applyAlignment="1" applyProtection="1">
      <alignment horizontal="center" vertical="center"/>
    </xf>
    <xf numFmtId="0" fontId="3" fillId="4" borderId="0" xfId="2" applyFill="1" applyBorder="1" applyAlignment="1" applyProtection="1">
      <alignment horizontal="center"/>
    </xf>
    <xf numFmtId="0" fontId="0" fillId="4" borderId="0" xfId="0" applyFill="1" applyBorder="1" applyAlignment="1" applyProtection="1">
      <alignment horizontal="left"/>
    </xf>
    <xf numFmtId="0" fontId="0" fillId="4" borderId="0" xfId="0" applyFill="1" applyAlignment="1" applyProtection="1">
      <alignment horizontal="center"/>
      <protection locked="0"/>
    </xf>
    <xf numFmtId="0" fontId="7" fillId="4" borderId="4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82" fillId="0" borderId="0" xfId="0" applyFont="1" applyBorder="1" applyAlignment="1" applyProtection="1">
      <alignment horizontal="center" wrapText="1"/>
    </xf>
    <xf numFmtId="0" fontId="0" fillId="4" borderId="0" xfId="0" applyFill="1" applyAlignment="1">
      <alignment horizontal="center"/>
    </xf>
    <xf numFmtId="0" fontId="0" fillId="3" borderId="33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vertical="top"/>
    </xf>
    <xf numFmtId="0" fontId="3" fillId="0" borderId="36" xfId="2" applyBorder="1" applyAlignment="1" applyProtection="1">
      <alignment horizontal="right"/>
      <protection locked="0"/>
    </xf>
    <xf numFmtId="0" fontId="3" fillId="0" borderId="13" xfId="2" applyBorder="1" applyAlignment="1" applyProtection="1">
      <alignment horizontal="right"/>
      <protection locked="0"/>
    </xf>
    <xf numFmtId="0" fontId="3" fillId="0" borderId="36" xfId="2" applyBorder="1" applyAlignment="1" applyProtection="1">
      <alignment horizontal="left"/>
      <protection locked="0"/>
    </xf>
    <xf numFmtId="0" fontId="3" fillId="0" borderId="0" xfId="2" applyBorder="1" applyAlignment="1" applyProtection="1">
      <alignment horizontal="left"/>
      <protection locked="0"/>
    </xf>
    <xf numFmtId="0" fontId="84" fillId="0" borderId="0" xfId="2" applyFont="1" applyBorder="1" applyAlignment="1" applyProtection="1">
      <alignment horizontal="left"/>
      <protection locked="0"/>
    </xf>
    <xf numFmtId="0" fontId="99" fillId="5" borderId="59" xfId="0" applyFont="1" applyFill="1" applyBorder="1" applyAlignment="1" applyProtection="1">
      <alignment horizontal="center" vertical="center"/>
    </xf>
    <xf numFmtId="0" fontId="99" fillId="5" borderId="60" xfId="0" applyFont="1" applyFill="1" applyBorder="1" applyAlignment="1" applyProtection="1">
      <alignment horizontal="center" vertical="center"/>
    </xf>
    <xf numFmtId="0" fontId="99" fillId="5" borderId="0" xfId="0" applyFont="1" applyFill="1" applyBorder="1" applyAlignment="1" applyProtection="1">
      <alignment horizontal="center" vertical="center"/>
    </xf>
    <xf numFmtId="0" fontId="99" fillId="5" borderId="62" xfId="0" applyFont="1" applyFill="1" applyBorder="1" applyAlignment="1" applyProtection="1">
      <alignment horizontal="center" vertical="center"/>
    </xf>
    <xf numFmtId="0" fontId="97" fillId="5" borderId="0" xfId="0" applyFont="1" applyFill="1" applyBorder="1" applyAlignment="1" applyProtection="1">
      <alignment horizontal="center" vertical="center" wrapText="1"/>
    </xf>
    <xf numFmtId="0" fontId="97" fillId="5" borderId="0" xfId="0" applyFont="1" applyFill="1" applyBorder="1" applyAlignment="1" applyProtection="1">
      <alignment horizontal="center" vertical="center"/>
    </xf>
    <xf numFmtId="0" fontId="99" fillId="5" borderId="59" xfId="0" applyFont="1" applyFill="1" applyBorder="1" applyAlignment="1">
      <alignment horizontal="center" vertical="center"/>
    </xf>
    <xf numFmtId="0" fontId="99" fillId="5" borderId="60" xfId="0" applyFont="1" applyFill="1" applyBorder="1" applyAlignment="1">
      <alignment horizontal="center" vertical="center"/>
    </xf>
    <xf numFmtId="0" fontId="99" fillId="5" borderId="0" xfId="0" applyFont="1" applyFill="1" applyBorder="1" applyAlignment="1">
      <alignment horizontal="center" vertical="center"/>
    </xf>
    <xf numFmtId="0" fontId="99" fillId="5" borderId="62" xfId="0" applyFont="1" applyFill="1" applyBorder="1" applyAlignment="1">
      <alignment horizontal="center" vertical="center"/>
    </xf>
    <xf numFmtId="0" fontId="97" fillId="5" borderId="0" xfId="0" applyFont="1" applyFill="1" applyBorder="1" applyAlignment="1">
      <alignment horizontal="center" vertical="center"/>
    </xf>
    <xf numFmtId="0" fontId="35" fillId="5" borderId="0" xfId="0" applyFont="1" applyFill="1" applyBorder="1" applyAlignment="1" applyProtection="1">
      <alignment horizontal="center" wrapText="1"/>
    </xf>
    <xf numFmtId="0" fontId="35" fillId="5" borderId="6" xfId="0" applyFont="1" applyFill="1" applyBorder="1" applyAlignment="1" applyProtection="1">
      <alignment horizontal="center" wrapText="1"/>
    </xf>
    <xf numFmtId="0" fontId="0" fillId="4" borderId="0" xfId="0" applyFill="1" applyAlignment="1" applyProtection="1">
      <alignment horizontal="center"/>
    </xf>
    <xf numFmtId="0" fontId="11" fillId="4" borderId="0" xfId="0" applyFont="1" applyFill="1" applyBorder="1" applyAlignment="1" applyProtection="1">
      <alignment horizontal="center"/>
    </xf>
    <xf numFmtId="0" fontId="27" fillId="0" borderId="36" xfId="0" applyFont="1" applyBorder="1" applyAlignment="1" applyProtection="1">
      <alignment horizontal="center" textRotation="90"/>
    </xf>
    <xf numFmtId="0" fontId="8" fillId="4" borderId="0" xfId="0" applyFont="1" applyFill="1" applyAlignment="1" applyProtection="1">
      <alignment horizontal="center"/>
    </xf>
    <xf numFmtId="0" fontId="3" fillId="0" borderId="34" xfId="2" applyBorder="1" applyAlignment="1" applyProtection="1">
      <alignment horizontal="left"/>
    </xf>
    <xf numFmtId="0" fontId="18" fillId="4" borderId="0" xfId="0" applyFont="1" applyFill="1" applyAlignment="1" applyProtection="1">
      <alignment horizontal="center"/>
    </xf>
    <xf numFmtId="0" fontId="20" fillId="4" borderId="2" xfId="0" applyFont="1" applyFill="1" applyBorder="1" applyAlignment="1" applyProtection="1">
      <alignment horizontal="center" wrapText="1"/>
    </xf>
    <xf numFmtId="0" fontId="20" fillId="4" borderId="0" xfId="0" applyFont="1" applyFill="1" applyBorder="1" applyAlignment="1" applyProtection="1">
      <alignment horizontal="center" wrapText="1"/>
    </xf>
    <xf numFmtId="0" fontId="31" fillId="0" borderId="34" xfId="0" applyFont="1" applyBorder="1" applyAlignment="1" applyProtection="1">
      <alignment horizontal="center"/>
    </xf>
    <xf numFmtId="0" fontId="91" fillId="0" borderId="0" xfId="2" applyFont="1" applyBorder="1" applyAlignment="1" applyProtection="1">
      <alignment horizontal="left" vertical="top" wrapText="1"/>
    </xf>
    <xf numFmtId="0" fontId="91" fillId="0" borderId="70" xfId="2" applyFont="1" applyBorder="1" applyAlignment="1" applyProtection="1">
      <alignment horizontal="left" vertical="top" wrapText="1"/>
    </xf>
    <xf numFmtId="0" fontId="31" fillId="0" borderId="0" xfId="0" applyFont="1" applyBorder="1" applyAlignment="1" applyProtection="1">
      <alignment horizontal="center"/>
    </xf>
    <xf numFmtId="0" fontId="27" fillId="0" borderId="0" xfId="0" applyFont="1" applyBorder="1" applyAlignment="1" applyProtection="1">
      <alignment horizontal="center" textRotation="90"/>
    </xf>
    <xf numFmtId="0" fontId="3" fillId="0" borderId="0" xfId="2" applyBorder="1" applyAlignment="1" applyProtection="1">
      <alignment horizontal="center"/>
    </xf>
    <xf numFmtId="0" fontId="18" fillId="4" borderId="6" xfId="0" applyFont="1" applyFill="1" applyBorder="1" applyAlignment="1" applyProtection="1">
      <alignment horizontal="center"/>
    </xf>
    <xf numFmtId="0" fontId="0" fillId="4" borderId="0" xfId="0" applyFill="1" applyAlignment="1" applyProtection="1">
      <alignment horizontal="left" vertical="center"/>
    </xf>
    <xf numFmtId="0" fontId="22" fillId="4" borderId="0" xfId="0" applyFont="1" applyFill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/>
    </xf>
    <xf numFmtId="0" fontId="66" fillId="0" borderId="2" xfId="3" applyFont="1" applyBorder="1" applyAlignment="1">
      <alignment horizontal="center"/>
    </xf>
    <xf numFmtId="0" fontId="66" fillId="0" borderId="6" xfId="3" applyFont="1" applyBorder="1" applyAlignment="1">
      <alignment horizontal="left"/>
    </xf>
    <xf numFmtId="0" fontId="66" fillId="0" borderId="23" xfId="3" applyFont="1" applyBorder="1" applyAlignment="1">
      <alignment horizontal="left"/>
    </xf>
    <xf numFmtId="0" fontId="51" fillId="0" borderId="6" xfId="3" applyFont="1" applyBorder="1" applyAlignment="1">
      <alignment horizontal="center"/>
    </xf>
    <xf numFmtId="0" fontId="57" fillId="0" borderId="0" xfId="5" applyFont="1" applyAlignment="1">
      <alignment horizontal="center" vertical="center"/>
    </xf>
    <xf numFmtId="0" fontId="55" fillId="0" borderId="0" xfId="5" applyFont="1" applyAlignment="1">
      <alignment horizontal="center" vertical="center"/>
    </xf>
    <xf numFmtId="0" fontId="56" fillId="0" borderId="48" xfId="5" applyFont="1" applyBorder="1" applyAlignment="1">
      <alignment horizontal="center" vertical="center" wrapText="1"/>
    </xf>
    <xf numFmtId="0" fontId="56" fillId="0" borderId="49" xfId="5" applyFont="1" applyBorder="1" applyAlignment="1">
      <alignment horizontal="center" vertical="center" wrapText="1"/>
    </xf>
    <xf numFmtId="0" fontId="56" fillId="0" borderId="50" xfId="5" applyFont="1" applyBorder="1" applyAlignment="1">
      <alignment horizontal="center" vertical="center" wrapText="1"/>
    </xf>
    <xf numFmtId="0" fontId="58" fillId="0" borderId="46" xfId="5" applyFont="1" applyBorder="1" applyAlignment="1">
      <alignment horizontal="center" vertical="center" wrapText="1"/>
    </xf>
    <xf numFmtId="0" fontId="58" fillId="0" borderId="47" xfId="5" applyFont="1" applyBorder="1" applyAlignment="1">
      <alignment horizontal="center" vertical="center" wrapText="1"/>
    </xf>
    <xf numFmtId="0" fontId="58" fillId="0" borderId="51" xfId="5" applyFont="1" applyBorder="1" applyAlignment="1">
      <alignment horizontal="center" vertical="center" wrapText="1"/>
    </xf>
    <xf numFmtId="0" fontId="58" fillId="0" borderId="52" xfId="5" applyFont="1" applyBorder="1" applyAlignment="1">
      <alignment horizontal="center" vertical="center" wrapText="1"/>
    </xf>
    <xf numFmtId="0" fontId="58" fillId="0" borderId="53" xfId="5" applyFont="1" applyBorder="1" applyAlignment="1">
      <alignment horizontal="center" vertical="center" wrapText="1"/>
    </xf>
    <xf numFmtId="0" fontId="58" fillId="0" borderId="54" xfId="5" applyFont="1" applyBorder="1" applyAlignment="1">
      <alignment horizontal="center" vertical="center" wrapText="1"/>
    </xf>
    <xf numFmtId="0" fontId="58" fillId="0" borderId="55" xfId="5" applyFont="1" applyBorder="1" applyAlignment="1">
      <alignment horizontal="center" vertical="center" wrapText="1"/>
    </xf>
    <xf numFmtId="0" fontId="58" fillId="0" borderId="56" xfId="5" applyFont="1" applyBorder="1" applyAlignment="1">
      <alignment horizontal="center" vertical="center" wrapText="1"/>
    </xf>
    <xf numFmtId="0" fontId="58" fillId="0" borderId="57" xfId="5" applyFont="1" applyBorder="1" applyAlignment="1">
      <alignment horizontal="center" vertical="center" wrapText="1"/>
    </xf>
    <xf numFmtId="0" fontId="50" fillId="0" borderId="0" xfId="0" applyFont="1" applyAlignment="1">
      <alignment horizontal="center"/>
    </xf>
    <xf numFmtId="0" fontId="52" fillId="0" borderId="0" xfId="0" applyFont="1" applyAlignment="1">
      <alignment horizontal="center"/>
    </xf>
    <xf numFmtId="0" fontId="51" fillId="3" borderId="6" xfId="0" applyFont="1" applyFill="1" applyBorder="1" applyAlignment="1">
      <alignment horizontal="left"/>
    </xf>
    <xf numFmtId="0" fontId="51" fillId="0" borderId="2" xfId="0" applyFont="1" applyBorder="1" applyAlignment="1">
      <alignment horizontal="center"/>
    </xf>
    <xf numFmtId="0" fontId="51" fillId="0" borderId="0" xfId="0" applyFont="1" applyAlignment="1">
      <alignment horizontal="center"/>
    </xf>
    <xf numFmtId="0" fontId="51" fillId="3" borderId="23" xfId="0" applyFont="1" applyFill="1" applyBorder="1" applyAlignment="1">
      <alignment horizontal="center"/>
    </xf>
    <xf numFmtId="0" fontId="51" fillId="3" borderId="6" xfId="0" applyFont="1" applyFill="1" applyBorder="1" applyAlignment="1">
      <alignment horizontal="center"/>
    </xf>
    <xf numFmtId="0" fontId="51" fillId="3" borderId="6" xfId="0" applyFont="1" applyFill="1" applyBorder="1" applyAlignment="1"/>
  </cellXfs>
  <cellStyles count="7">
    <cellStyle name="Comma" xfId="1" builtinId="3"/>
    <cellStyle name="Hyperlink" xfId="2" builtinId="8"/>
    <cellStyle name="Normal" xfId="0" builtinId="0"/>
    <cellStyle name="Normal_DEVIATIONFORM" xfId="3" xr:uid="{00000000-0005-0000-0000-000003000000}"/>
    <cellStyle name="Normal_SWRWKSHT" xfId="4" xr:uid="{00000000-0005-0000-0000-000004000000}"/>
    <cellStyle name="Normal_USCS - SE" xfId="5" xr:uid="{00000000-0005-0000-0000-000005000000}"/>
    <cellStyle name="Percent" xfId="6" builtinId="5"/>
  </cellStyles>
  <dxfs count="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3366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584200</xdr:colOff>
      <xdr:row>32</xdr:row>
      <xdr:rowOff>88898</xdr:rowOff>
    </xdr:from>
    <xdr:to>
      <xdr:col>9</xdr:col>
      <xdr:colOff>380999</xdr:colOff>
      <xdr:row>32</xdr:row>
      <xdr:rowOff>88899</xdr:rowOff>
    </xdr:to>
    <xdr:sp macro="" textlink="">
      <xdr:nvSpPr>
        <xdr:cNvPr id="2343" name="Line 19">
          <a:extLst>
            <a:ext uri="{FF2B5EF4-FFF2-40B4-BE49-F238E27FC236}">
              <a16:creationId xmlns:a16="http://schemas.microsoft.com/office/drawing/2014/main" id="{00000000-0008-0000-0100-000027090000}"/>
            </a:ext>
          </a:extLst>
        </xdr:cNvPr>
        <xdr:cNvSpPr>
          <a:spLocks noChangeShapeType="1"/>
        </xdr:cNvSpPr>
      </xdr:nvSpPr>
      <xdr:spPr bwMode="auto">
        <a:xfrm>
          <a:off x="3111500" y="5257798"/>
          <a:ext cx="2311399" cy="1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 type="stealth" w="med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330201</xdr:colOff>
      <xdr:row>31</xdr:row>
      <xdr:rowOff>85724</xdr:rowOff>
    </xdr:from>
    <xdr:to>
      <xdr:col>9</xdr:col>
      <xdr:colOff>381001</xdr:colOff>
      <xdr:row>31</xdr:row>
      <xdr:rowOff>88899</xdr:rowOff>
    </xdr:to>
    <xdr:sp macro="" textlink="">
      <xdr:nvSpPr>
        <xdr:cNvPr id="2344" name="Line 22">
          <a:extLst>
            <a:ext uri="{FF2B5EF4-FFF2-40B4-BE49-F238E27FC236}">
              <a16:creationId xmlns:a16="http://schemas.microsoft.com/office/drawing/2014/main" id="{00000000-0008-0000-0100-000028090000}"/>
            </a:ext>
          </a:extLst>
        </xdr:cNvPr>
        <xdr:cNvSpPr>
          <a:spLocks noChangeShapeType="1"/>
        </xdr:cNvSpPr>
      </xdr:nvSpPr>
      <xdr:spPr bwMode="auto">
        <a:xfrm flipV="1">
          <a:off x="4076701" y="5089524"/>
          <a:ext cx="1346200" cy="3175"/>
        </a:xfrm>
        <a:prstGeom prst="line">
          <a:avLst/>
        </a:prstGeom>
        <a:noFill/>
        <a:ln w="9525">
          <a:solidFill>
            <a:srgbClr val="000000"/>
          </a:solidFill>
          <a:prstDash val="dash"/>
          <a:round/>
          <a:headEnd/>
          <a:tailEnd type="stealth" w="med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74</xdr:row>
      <xdr:rowOff>66675</xdr:rowOff>
    </xdr:from>
    <xdr:to>
      <xdr:col>12</xdr:col>
      <xdr:colOff>0</xdr:colOff>
      <xdr:row>80</xdr:row>
      <xdr:rowOff>104775</xdr:rowOff>
    </xdr:to>
    <xdr:sp macro="" textlink="">
      <xdr:nvSpPr>
        <xdr:cNvPr id="2" name="Rectangle 1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714375" y="7210425"/>
          <a:ext cx="4638675" cy="8953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504825</xdr:colOff>
      <xdr:row>81</xdr:row>
      <xdr:rowOff>85725</xdr:rowOff>
    </xdr:from>
    <xdr:to>
      <xdr:col>10</xdr:col>
      <xdr:colOff>66675</xdr:colOff>
      <xdr:row>83</xdr:row>
      <xdr:rowOff>76200</xdr:rowOff>
    </xdr:to>
    <xdr:sp macro="" textlink="">
      <xdr:nvSpPr>
        <xdr:cNvPr id="3" name="Line 56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 flipH="1">
          <a:off x="4114800" y="8229600"/>
          <a:ext cx="142875" cy="276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85725</xdr:colOff>
      <xdr:row>36</xdr:row>
      <xdr:rowOff>66675</xdr:rowOff>
    </xdr:from>
    <xdr:to>
      <xdr:col>16</xdr:col>
      <xdr:colOff>381000</xdr:colOff>
      <xdr:row>36</xdr:row>
      <xdr:rowOff>66675</xdr:rowOff>
    </xdr:to>
    <xdr:sp macro="" textlink="">
      <xdr:nvSpPr>
        <xdr:cNvPr id="4" name="Line 2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 flipH="1">
          <a:off x="7181850" y="1638300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476251</xdr:colOff>
      <xdr:row>7</xdr:row>
      <xdr:rowOff>85725</xdr:rowOff>
    </xdr:from>
    <xdr:to>
      <xdr:col>5</xdr:col>
      <xdr:colOff>390525</xdr:colOff>
      <xdr:row>8</xdr:row>
      <xdr:rowOff>19050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 bwMode="auto">
        <a:xfrm flipH="1">
          <a:off x="2533651" y="1228725"/>
          <a:ext cx="428624" cy="9525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6</xdr:col>
      <xdr:colOff>152400</xdr:colOff>
      <xdr:row>7</xdr:row>
      <xdr:rowOff>85725</xdr:rowOff>
    </xdr:from>
    <xdr:to>
      <xdr:col>7</xdr:col>
      <xdr:colOff>0</xdr:colOff>
      <xdr:row>8</xdr:row>
      <xdr:rowOff>19050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 bwMode="auto">
        <a:xfrm>
          <a:off x="3238500" y="1228725"/>
          <a:ext cx="361950" cy="9525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3</xdr:col>
      <xdr:colOff>304800</xdr:colOff>
      <xdr:row>66</xdr:row>
      <xdr:rowOff>0</xdr:rowOff>
    </xdr:from>
    <xdr:to>
      <xdr:col>3</xdr:col>
      <xdr:colOff>304800</xdr:colOff>
      <xdr:row>75</xdr:row>
      <xdr:rowOff>0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 bwMode="auto">
        <a:xfrm flipH="1" flipV="1">
          <a:off x="1590675" y="14573250"/>
          <a:ext cx="0" cy="1285875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304800</xdr:colOff>
      <xdr:row>37</xdr:row>
      <xdr:rowOff>9525</xdr:rowOff>
    </xdr:from>
    <xdr:to>
      <xdr:col>3</xdr:col>
      <xdr:colOff>304800</xdr:colOff>
      <xdr:row>53</xdr:row>
      <xdr:rowOff>9525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spLocks noChangeShapeType="1"/>
        </xdr:cNvSpPr>
      </xdr:nvSpPr>
      <xdr:spPr bwMode="auto">
        <a:xfrm>
          <a:off x="1590675" y="10010775"/>
          <a:ext cx="0" cy="228600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304800</xdr:colOff>
      <xdr:row>37</xdr:row>
      <xdr:rowOff>0</xdr:rowOff>
    </xdr:from>
    <xdr:to>
      <xdr:col>3</xdr:col>
      <xdr:colOff>304800</xdr:colOff>
      <xdr:row>53</xdr:row>
      <xdr:rowOff>0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>
          <a:spLocks noChangeShapeType="1"/>
        </xdr:cNvSpPr>
      </xdr:nvSpPr>
      <xdr:spPr bwMode="auto">
        <a:xfrm flipH="1" flipV="1">
          <a:off x="1590675" y="10001250"/>
          <a:ext cx="0" cy="228600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304800</xdr:colOff>
      <xdr:row>66</xdr:row>
      <xdr:rowOff>9525</xdr:rowOff>
    </xdr:from>
    <xdr:to>
      <xdr:col>3</xdr:col>
      <xdr:colOff>304800</xdr:colOff>
      <xdr:row>75</xdr:row>
      <xdr:rowOff>0</xdr:rowOff>
    </xdr:to>
    <xdr:sp macro="" textlink="">
      <xdr:nvSpPr>
        <xdr:cNvPr id="7" name="Line 3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spLocks noChangeShapeType="1"/>
        </xdr:cNvSpPr>
      </xdr:nvSpPr>
      <xdr:spPr bwMode="auto">
        <a:xfrm>
          <a:off x="1590675" y="14582775"/>
          <a:ext cx="0" cy="127635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266700</xdr:colOff>
      <xdr:row>125</xdr:row>
      <xdr:rowOff>0</xdr:rowOff>
    </xdr:from>
    <xdr:to>
      <xdr:col>6</xdr:col>
      <xdr:colOff>266700</xdr:colOff>
      <xdr:row>125</xdr:row>
      <xdr:rowOff>0</xdr:rowOff>
    </xdr:to>
    <xdr:sp macro="" textlink="">
      <xdr:nvSpPr>
        <xdr:cNvPr id="8" name="Line 73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>
          <a:spLocks noChangeShapeType="1"/>
        </xdr:cNvSpPr>
      </xdr:nvSpPr>
      <xdr:spPr bwMode="auto">
        <a:xfrm flipV="1">
          <a:off x="3295650" y="24145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304800</xdr:colOff>
      <xdr:row>125</xdr:row>
      <xdr:rowOff>0</xdr:rowOff>
    </xdr:from>
    <xdr:to>
      <xdr:col>8</xdr:col>
      <xdr:colOff>304800</xdr:colOff>
      <xdr:row>125</xdr:row>
      <xdr:rowOff>0</xdr:rowOff>
    </xdr:to>
    <xdr:sp macro="" textlink="">
      <xdr:nvSpPr>
        <xdr:cNvPr id="9" name="Line 7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>
          <a:spLocks noChangeShapeType="1"/>
        </xdr:cNvSpPr>
      </xdr:nvSpPr>
      <xdr:spPr bwMode="auto">
        <a:xfrm flipV="1">
          <a:off x="4495800" y="24145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304800</xdr:colOff>
      <xdr:row>125</xdr:row>
      <xdr:rowOff>0</xdr:rowOff>
    </xdr:from>
    <xdr:to>
      <xdr:col>9</xdr:col>
      <xdr:colOff>304800</xdr:colOff>
      <xdr:row>125</xdr:row>
      <xdr:rowOff>0</xdr:rowOff>
    </xdr:to>
    <xdr:sp macro="" textlink="">
      <xdr:nvSpPr>
        <xdr:cNvPr id="10" name="Line 75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>
          <a:spLocks noChangeShapeType="1"/>
        </xdr:cNvSpPr>
      </xdr:nvSpPr>
      <xdr:spPr bwMode="auto">
        <a:xfrm flipV="1">
          <a:off x="5076825" y="24145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304800</xdr:colOff>
      <xdr:row>125</xdr:row>
      <xdr:rowOff>0</xdr:rowOff>
    </xdr:from>
    <xdr:to>
      <xdr:col>9</xdr:col>
      <xdr:colOff>304800</xdr:colOff>
      <xdr:row>125</xdr:row>
      <xdr:rowOff>0</xdr:rowOff>
    </xdr:to>
    <xdr:sp macro="" textlink="">
      <xdr:nvSpPr>
        <xdr:cNvPr id="11" name="Line 76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>
          <a:spLocks noChangeShapeType="1"/>
        </xdr:cNvSpPr>
      </xdr:nvSpPr>
      <xdr:spPr bwMode="auto">
        <a:xfrm>
          <a:off x="5076825" y="24145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304800</xdr:colOff>
      <xdr:row>125</xdr:row>
      <xdr:rowOff>0</xdr:rowOff>
    </xdr:from>
    <xdr:to>
      <xdr:col>9</xdr:col>
      <xdr:colOff>304800</xdr:colOff>
      <xdr:row>125</xdr:row>
      <xdr:rowOff>0</xdr:rowOff>
    </xdr:to>
    <xdr:sp macro="" textlink="">
      <xdr:nvSpPr>
        <xdr:cNvPr id="12" name="Line 77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>
          <a:spLocks noChangeShapeType="1"/>
        </xdr:cNvSpPr>
      </xdr:nvSpPr>
      <xdr:spPr bwMode="auto">
        <a:xfrm flipV="1">
          <a:off x="5076825" y="24145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304800</xdr:colOff>
      <xdr:row>125</xdr:row>
      <xdr:rowOff>0</xdr:rowOff>
    </xdr:from>
    <xdr:to>
      <xdr:col>8</xdr:col>
      <xdr:colOff>304800</xdr:colOff>
      <xdr:row>125</xdr:row>
      <xdr:rowOff>0</xdr:rowOff>
    </xdr:to>
    <xdr:sp macro="" textlink="">
      <xdr:nvSpPr>
        <xdr:cNvPr id="13" name="Line 78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>
          <a:spLocks noChangeShapeType="1"/>
        </xdr:cNvSpPr>
      </xdr:nvSpPr>
      <xdr:spPr bwMode="auto">
        <a:xfrm>
          <a:off x="4495800" y="24145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304800</xdr:colOff>
      <xdr:row>125</xdr:row>
      <xdr:rowOff>0</xdr:rowOff>
    </xdr:from>
    <xdr:to>
      <xdr:col>8</xdr:col>
      <xdr:colOff>304800</xdr:colOff>
      <xdr:row>125</xdr:row>
      <xdr:rowOff>0</xdr:rowOff>
    </xdr:to>
    <xdr:sp macro="" textlink="">
      <xdr:nvSpPr>
        <xdr:cNvPr id="14" name="Line 79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>
          <a:spLocks noChangeShapeType="1"/>
        </xdr:cNvSpPr>
      </xdr:nvSpPr>
      <xdr:spPr bwMode="auto">
        <a:xfrm flipV="1">
          <a:off x="4495800" y="24145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304800</xdr:colOff>
      <xdr:row>125</xdr:row>
      <xdr:rowOff>0</xdr:rowOff>
    </xdr:from>
    <xdr:to>
      <xdr:col>6</xdr:col>
      <xdr:colOff>304800</xdr:colOff>
      <xdr:row>125</xdr:row>
      <xdr:rowOff>0</xdr:rowOff>
    </xdr:to>
    <xdr:sp macro="" textlink="">
      <xdr:nvSpPr>
        <xdr:cNvPr id="15" name="Line 80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>
          <a:spLocks noChangeShapeType="1"/>
        </xdr:cNvSpPr>
      </xdr:nvSpPr>
      <xdr:spPr bwMode="auto">
        <a:xfrm>
          <a:off x="3333750" y="24145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304800</xdr:colOff>
      <xdr:row>125</xdr:row>
      <xdr:rowOff>0</xdr:rowOff>
    </xdr:from>
    <xdr:to>
      <xdr:col>6</xdr:col>
      <xdr:colOff>304800</xdr:colOff>
      <xdr:row>125</xdr:row>
      <xdr:rowOff>0</xdr:rowOff>
    </xdr:to>
    <xdr:sp macro="" textlink="">
      <xdr:nvSpPr>
        <xdr:cNvPr id="16" name="Line 81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>
          <a:spLocks noChangeShapeType="1"/>
        </xdr:cNvSpPr>
      </xdr:nvSpPr>
      <xdr:spPr bwMode="auto">
        <a:xfrm flipV="1">
          <a:off x="3333750" y="24145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304800</xdr:colOff>
      <xdr:row>97</xdr:row>
      <xdr:rowOff>9525</xdr:rowOff>
    </xdr:from>
    <xdr:to>
      <xdr:col>3</xdr:col>
      <xdr:colOff>304800</xdr:colOff>
      <xdr:row>101</xdr:row>
      <xdr:rowOff>123825</xdr:rowOff>
    </xdr:to>
    <xdr:sp macro="" textlink="">
      <xdr:nvSpPr>
        <xdr:cNvPr id="17" name="Line 82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>
          <a:spLocks noChangeShapeType="1"/>
        </xdr:cNvSpPr>
      </xdr:nvSpPr>
      <xdr:spPr bwMode="auto">
        <a:xfrm>
          <a:off x="1590675" y="19154775"/>
          <a:ext cx="0" cy="971550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304800</xdr:colOff>
      <xdr:row>97</xdr:row>
      <xdr:rowOff>0</xdr:rowOff>
    </xdr:from>
    <xdr:to>
      <xdr:col>3</xdr:col>
      <xdr:colOff>304800</xdr:colOff>
      <xdr:row>102</xdr:row>
      <xdr:rowOff>0</xdr:rowOff>
    </xdr:to>
    <xdr:sp macro="" textlink="">
      <xdr:nvSpPr>
        <xdr:cNvPr id="18" name="Line 83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>
          <a:spLocks noChangeShapeType="1"/>
        </xdr:cNvSpPr>
      </xdr:nvSpPr>
      <xdr:spPr bwMode="auto">
        <a:xfrm flipH="1" flipV="1">
          <a:off x="1590675" y="19145250"/>
          <a:ext cx="0" cy="1000125"/>
        </a:xfrm>
        <a:prstGeom prst="line">
          <a:avLst/>
        </a:prstGeom>
        <a:noFill/>
        <a:ln w="1">
          <a:solidFill>
            <a:srgbClr val="000000"/>
          </a:solidFill>
          <a:prstDash val="dash"/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390525</xdr:colOff>
      <xdr:row>112</xdr:row>
      <xdr:rowOff>28575</xdr:rowOff>
    </xdr:from>
    <xdr:to>
      <xdr:col>6</xdr:col>
      <xdr:colOff>19050</xdr:colOff>
      <xdr:row>113</xdr:row>
      <xdr:rowOff>133350</xdr:rowOff>
    </xdr:to>
    <xdr:sp macro="" textlink="">
      <xdr:nvSpPr>
        <xdr:cNvPr id="2" name="Freeform 37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/>
        </xdr:cNvSpPr>
      </xdr:nvSpPr>
      <xdr:spPr bwMode="auto">
        <a:xfrm>
          <a:off x="2257425" y="43891200"/>
          <a:ext cx="209550" cy="247650"/>
        </a:xfrm>
        <a:custGeom>
          <a:avLst/>
          <a:gdLst>
            <a:gd name="T0" fmla="*/ 2147483646 w 22"/>
            <a:gd name="T1" fmla="*/ 0 h 21"/>
            <a:gd name="T2" fmla="*/ 2147483646 w 22"/>
            <a:gd name="T3" fmla="*/ 2147483646 h 21"/>
            <a:gd name="T4" fmla="*/ 2147483646 w 22"/>
            <a:gd name="T5" fmla="*/ 2147483646 h 21"/>
            <a:gd name="T6" fmla="*/ 2147483646 w 22"/>
            <a:gd name="T7" fmla="*/ 2147483646 h 21"/>
            <a:gd name="T8" fmla="*/ 2147483646 w 22"/>
            <a:gd name="T9" fmla="*/ 2147483646 h 21"/>
            <a:gd name="T10" fmla="*/ 2147483646 w 22"/>
            <a:gd name="T11" fmla="*/ 2147483646 h 21"/>
            <a:gd name="T12" fmla="*/ 2147483646 w 22"/>
            <a:gd name="T13" fmla="*/ 2147483646 h 21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22"/>
            <a:gd name="T22" fmla="*/ 0 h 21"/>
            <a:gd name="T23" fmla="*/ 22 w 22"/>
            <a:gd name="T24" fmla="*/ 21 h 21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22" h="21">
              <a:moveTo>
                <a:pt x="22" y="0"/>
              </a:moveTo>
              <a:cubicBezTo>
                <a:pt x="15" y="0"/>
                <a:pt x="9" y="0"/>
                <a:pt x="2" y="1"/>
              </a:cubicBezTo>
              <a:cubicBezTo>
                <a:pt x="0" y="1"/>
                <a:pt x="5" y="3"/>
                <a:pt x="7" y="4"/>
              </a:cubicBezTo>
              <a:cubicBezTo>
                <a:pt x="10" y="5"/>
                <a:pt x="14" y="10"/>
                <a:pt x="14" y="10"/>
              </a:cubicBezTo>
              <a:cubicBezTo>
                <a:pt x="11" y="13"/>
                <a:pt x="7" y="14"/>
                <a:pt x="4" y="17"/>
              </a:cubicBezTo>
              <a:cubicBezTo>
                <a:pt x="3" y="18"/>
                <a:pt x="1" y="20"/>
                <a:pt x="1" y="20"/>
              </a:cubicBezTo>
              <a:cubicBezTo>
                <a:pt x="8" y="21"/>
                <a:pt x="22" y="20"/>
                <a:pt x="22" y="20"/>
              </a:cubicBezTo>
            </a:path>
          </a:pathLst>
        </a:custGeom>
        <a:noFill/>
        <a:ln w="19050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</xdr:col>
      <xdr:colOff>47625</xdr:colOff>
      <xdr:row>111</xdr:row>
      <xdr:rowOff>76200</xdr:rowOff>
    </xdr:from>
    <xdr:to>
      <xdr:col>7</xdr:col>
      <xdr:colOff>400050</xdr:colOff>
      <xdr:row>114</xdr:row>
      <xdr:rowOff>104775</xdr:rowOff>
    </xdr:to>
    <xdr:sp macro="" textlink="">
      <xdr:nvSpPr>
        <xdr:cNvPr id="3" name="Line 39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 flipH="1">
          <a:off x="3076575" y="43795950"/>
          <a:ext cx="352425" cy="457200"/>
        </a:xfrm>
        <a:prstGeom prst="line">
          <a:avLst/>
        </a:prstGeom>
        <a:noFill/>
        <a:ln w="15875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314325</xdr:colOff>
      <xdr:row>111</xdr:row>
      <xdr:rowOff>85725</xdr:rowOff>
    </xdr:from>
    <xdr:to>
      <xdr:col>5</xdr:col>
      <xdr:colOff>447675</xdr:colOff>
      <xdr:row>114</xdr:row>
      <xdr:rowOff>76200</xdr:rowOff>
    </xdr:to>
    <xdr:sp macro="" textlink="">
      <xdr:nvSpPr>
        <xdr:cNvPr id="4" name="Freeform 47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/>
        </xdr:cNvSpPr>
      </xdr:nvSpPr>
      <xdr:spPr bwMode="auto">
        <a:xfrm>
          <a:off x="2181225" y="43805475"/>
          <a:ext cx="133350" cy="419100"/>
        </a:xfrm>
        <a:custGeom>
          <a:avLst/>
          <a:gdLst>
            <a:gd name="T0" fmla="*/ 2147483646 w 13"/>
            <a:gd name="T1" fmla="*/ 0 h 46"/>
            <a:gd name="T2" fmla="*/ 2147483646 w 13"/>
            <a:gd name="T3" fmla="*/ 2147483646 h 46"/>
            <a:gd name="T4" fmla="*/ 2147483646 w 13"/>
            <a:gd name="T5" fmla="*/ 2147483646 h 46"/>
            <a:gd name="T6" fmla="*/ 2147483646 w 13"/>
            <a:gd name="T7" fmla="*/ 2147483646 h 46"/>
            <a:gd name="T8" fmla="*/ 0 60000 65536"/>
            <a:gd name="T9" fmla="*/ 0 60000 65536"/>
            <a:gd name="T10" fmla="*/ 0 60000 65536"/>
            <a:gd name="T11" fmla="*/ 0 60000 65536"/>
            <a:gd name="T12" fmla="*/ 0 w 13"/>
            <a:gd name="T13" fmla="*/ 0 h 46"/>
            <a:gd name="T14" fmla="*/ 13 w 13"/>
            <a:gd name="T15" fmla="*/ 46 h 4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13" h="46">
              <a:moveTo>
                <a:pt x="13" y="0"/>
              </a:moveTo>
              <a:cubicBezTo>
                <a:pt x="8" y="2"/>
                <a:pt x="4" y="5"/>
                <a:pt x="2" y="11"/>
              </a:cubicBezTo>
              <a:cubicBezTo>
                <a:pt x="0" y="17"/>
                <a:pt x="1" y="30"/>
                <a:pt x="2" y="36"/>
              </a:cubicBezTo>
              <a:cubicBezTo>
                <a:pt x="3" y="42"/>
                <a:pt x="10" y="42"/>
                <a:pt x="11" y="46"/>
              </a:cubicBezTo>
            </a:path>
          </a:pathLst>
        </a:custGeom>
        <a:noFill/>
        <a:ln w="15875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571500</xdr:colOff>
      <xdr:row>111</xdr:row>
      <xdr:rowOff>66675</xdr:rowOff>
    </xdr:from>
    <xdr:to>
      <xdr:col>7</xdr:col>
      <xdr:colOff>114300</xdr:colOff>
      <xdr:row>114</xdr:row>
      <xdr:rowOff>66675</xdr:rowOff>
    </xdr:to>
    <xdr:sp macro="" textlink="">
      <xdr:nvSpPr>
        <xdr:cNvPr id="5" name="Freeform 48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/>
        </xdr:cNvSpPr>
      </xdr:nvSpPr>
      <xdr:spPr bwMode="auto">
        <a:xfrm flipH="1">
          <a:off x="3019425" y="43786425"/>
          <a:ext cx="123825" cy="428625"/>
        </a:xfrm>
        <a:custGeom>
          <a:avLst/>
          <a:gdLst>
            <a:gd name="T0" fmla="*/ 2147483646 w 13"/>
            <a:gd name="T1" fmla="*/ 0 h 46"/>
            <a:gd name="T2" fmla="*/ 2147483646 w 13"/>
            <a:gd name="T3" fmla="*/ 2147483646 h 46"/>
            <a:gd name="T4" fmla="*/ 2147483646 w 13"/>
            <a:gd name="T5" fmla="*/ 2147483646 h 46"/>
            <a:gd name="T6" fmla="*/ 2147483646 w 13"/>
            <a:gd name="T7" fmla="*/ 2147483646 h 46"/>
            <a:gd name="T8" fmla="*/ 0 60000 65536"/>
            <a:gd name="T9" fmla="*/ 0 60000 65536"/>
            <a:gd name="T10" fmla="*/ 0 60000 65536"/>
            <a:gd name="T11" fmla="*/ 0 60000 65536"/>
            <a:gd name="T12" fmla="*/ 0 w 13"/>
            <a:gd name="T13" fmla="*/ 0 h 46"/>
            <a:gd name="T14" fmla="*/ 13 w 13"/>
            <a:gd name="T15" fmla="*/ 46 h 4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13" h="46">
              <a:moveTo>
                <a:pt x="13" y="0"/>
              </a:moveTo>
              <a:cubicBezTo>
                <a:pt x="8" y="2"/>
                <a:pt x="4" y="5"/>
                <a:pt x="2" y="11"/>
              </a:cubicBezTo>
              <a:cubicBezTo>
                <a:pt x="0" y="17"/>
                <a:pt x="1" y="30"/>
                <a:pt x="2" y="36"/>
              </a:cubicBezTo>
              <a:cubicBezTo>
                <a:pt x="3" y="42"/>
                <a:pt x="10" y="42"/>
                <a:pt x="11" y="46"/>
              </a:cubicBezTo>
            </a:path>
          </a:pathLst>
        </a:custGeom>
        <a:noFill/>
        <a:ln w="15875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31</xdr:col>
      <xdr:colOff>228600</xdr:colOff>
      <xdr:row>50</xdr:row>
      <xdr:rowOff>38100</xdr:rowOff>
    </xdr:from>
    <xdr:to>
      <xdr:col>34</xdr:col>
      <xdr:colOff>581025</xdr:colOff>
      <xdr:row>56</xdr:row>
      <xdr:rowOff>0</xdr:rowOff>
    </xdr:to>
    <xdr:sp macro="" textlink="">
      <xdr:nvSpPr>
        <xdr:cNvPr id="6" name="Line 93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ShapeType="1"/>
        </xdr:cNvSpPr>
      </xdr:nvSpPr>
      <xdr:spPr bwMode="auto">
        <a:xfrm flipH="1">
          <a:off x="17478375" y="38900100"/>
          <a:ext cx="2181225" cy="819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152400</xdr:colOff>
      <xdr:row>50</xdr:row>
      <xdr:rowOff>28575</xdr:rowOff>
    </xdr:from>
    <xdr:to>
      <xdr:col>35</xdr:col>
      <xdr:colOff>0</xdr:colOff>
      <xdr:row>56</xdr:row>
      <xdr:rowOff>0</xdr:rowOff>
    </xdr:to>
    <xdr:sp macro="" textlink="">
      <xdr:nvSpPr>
        <xdr:cNvPr id="7" name="Line 94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ShapeType="1"/>
        </xdr:cNvSpPr>
      </xdr:nvSpPr>
      <xdr:spPr bwMode="auto">
        <a:xfrm>
          <a:off x="17402175" y="38890575"/>
          <a:ext cx="2286000" cy="828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9525</xdr:colOff>
      <xdr:row>77</xdr:row>
      <xdr:rowOff>47625</xdr:rowOff>
    </xdr:from>
    <xdr:to>
      <xdr:col>39</xdr:col>
      <xdr:colOff>66675</xdr:colOff>
      <xdr:row>82</xdr:row>
      <xdr:rowOff>104775</xdr:rowOff>
    </xdr:to>
    <xdr:sp macro="" textlink="">
      <xdr:nvSpPr>
        <xdr:cNvPr id="8" name="Line 95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>
          <a:spLocks noChangeShapeType="1"/>
        </xdr:cNvSpPr>
      </xdr:nvSpPr>
      <xdr:spPr bwMode="auto">
        <a:xfrm>
          <a:off x="17259300" y="42767250"/>
          <a:ext cx="1885950" cy="771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36</xdr:col>
      <xdr:colOff>66675</xdr:colOff>
      <xdr:row>77</xdr:row>
      <xdr:rowOff>9525</xdr:rowOff>
    </xdr:from>
    <xdr:to>
      <xdr:col>39</xdr:col>
      <xdr:colOff>47625</xdr:colOff>
      <xdr:row>83</xdr:row>
      <xdr:rowOff>9525</xdr:rowOff>
    </xdr:to>
    <xdr:sp macro="" textlink="">
      <xdr:nvSpPr>
        <xdr:cNvPr id="9" name="Line 96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>
          <a:spLocks noChangeShapeType="1"/>
        </xdr:cNvSpPr>
      </xdr:nvSpPr>
      <xdr:spPr bwMode="auto">
        <a:xfrm flipH="1">
          <a:off x="17316450" y="42729150"/>
          <a:ext cx="1809750" cy="857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123825</xdr:colOff>
      <xdr:row>57</xdr:row>
      <xdr:rowOff>9525</xdr:rowOff>
    </xdr:from>
    <xdr:to>
      <xdr:col>42</xdr:col>
      <xdr:colOff>390525</xdr:colOff>
      <xdr:row>67</xdr:row>
      <xdr:rowOff>85725</xdr:rowOff>
    </xdr:to>
    <xdr:sp macro="" textlink="">
      <xdr:nvSpPr>
        <xdr:cNvPr id="10" name="Line 97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>
          <a:spLocks noChangeShapeType="1"/>
        </xdr:cNvSpPr>
      </xdr:nvSpPr>
      <xdr:spPr bwMode="auto">
        <a:xfrm>
          <a:off x="21640800" y="39871650"/>
          <a:ext cx="2705100" cy="15049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180975</xdr:colOff>
      <xdr:row>55</xdr:row>
      <xdr:rowOff>104775</xdr:rowOff>
    </xdr:from>
    <xdr:to>
      <xdr:col>42</xdr:col>
      <xdr:colOff>381000</xdr:colOff>
      <xdr:row>67</xdr:row>
      <xdr:rowOff>123825</xdr:rowOff>
    </xdr:to>
    <xdr:sp macro="" textlink="">
      <xdr:nvSpPr>
        <xdr:cNvPr id="11" name="Line 98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>
          <a:spLocks noChangeShapeType="1"/>
        </xdr:cNvSpPr>
      </xdr:nvSpPr>
      <xdr:spPr bwMode="auto">
        <a:xfrm flipH="1">
          <a:off x="21697950" y="39681150"/>
          <a:ext cx="2638425" cy="1733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381000</xdr:colOff>
      <xdr:row>127</xdr:row>
      <xdr:rowOff>152400</xdr:rowOff>
    </xdr:from>
    <xdr:to>
      <xdr:col>22</xdr:col>
      <xdr:colOff>571500</xdr:colOff>
      <xdr:row>129</xdr:row>
      <xdr:rowOff>9525</xdr:rowOff>
    </xdr:to>
    <xdr:sp macro="" textlink="">
      <xdr:nvSpPr>
        <xdr:cNvPr id="12" name="Freeform 40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>
          <a:spLocks/>
        </xdr:cNvSpPr>
      </xdr:nvSpPr>
      <xdr:spPr bwMode="auto">
        <a:xfrm>
          <a:off x="11582400" y="11715750"/>
          <a:ext cx="190500" cy="152400"/>
        </a:xfrm>
        <a:custGeom>
          <a:avLst/>
          <a:gdLst>
            <a:gd name="T0" fmla="*/ 2147483646 w 22"/>
            <a:gd name="T1" fmla="*/ 0 h 21"/>
            <a:gd name="T2" fmla="*/ 2147483646 w 22"/>
            <a:gd name="T3" fmla="*/ 2147483646 h 21"/>
            <a:gd name="T4" fmla="*/ 2147483646 w 22"/>
            <a:gd name="T5" fmla="*/ 2147483646 h 21"/>
            <a:gd name="T6" fmla="*/ 2147483646 w 22"/>
            <a:gd name="T7" fmla="*/ 2147483646 h 21"/>
            <a:gd name="T8" fmla="*/ 2147483646 w 22"/>
            <a:gd name="T9" fmla="*/ 2147483646 h 21"/>
            <a:gd name="T10" fmla="*/ 2147483646 w 22"/>
            <a:gd name="T11" fmla="*/ 2147483646 h 21"/>
            <a:gd name="T12" fmla="*/ 2147483646 w 22"/>
            <a:gd name="T13" fmla="*/ 2147483646 h 21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22"/>
            <a:gd name="T22" fmla="*/ 0 h 21"/>
            <a:gd name="T23" fmla="*/ 22 w 22"/>
            <a:gd name="T24" fmla="*/ 21 h 21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22" h="21">
              <a:moveTo>
                <a:pt x="22" y="0"/>
              </a:moveTo>
              <a:cubicBezTo>
                <a:pt x="15" y="0"/>
                <a:pt x="9" y="0"/>
                <a:pt x="2" y="1"/>
              </a:cubicBezTo>
              <a:cubicBezTo>
                <a:pt x="0" y="1"/>
                <a:pt x="5" y="3"/>
                <a:pt x="7" y="4"/>
              </a:cubicBezTo>
              <a:cubicBezTo>
                <a:pt x="10" y="5"/>
                <a:pt x="14" y="10"/>
                <a:pt x="14" y="10"/>
              </a:cubicBezTo>
              <a:cubicBezTo>
                <a:pt x="11" y="13"/>
                <a:pt x="7" y="14"/>
                <a:pt x="4" y="17"/>
              </a:cubicBezTo>
              <a:cubicBezTo>
                <a:pt x="3" y="18"/>
                <a:pt x="1" y="20"/>
                <a:pt x="1" y="20"/>
              </a:cubicBezTo>
              <a:cubicBezTo>
                <a:pt x="8" y="21"/>
                <a:pt x="22" y="20"/>
                <a:pt x="22" y="20"/>
              </a:cubicBezTo>
            </a:path>
          </a:pathLst>
        </a:cu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314325</xdr:colOff>
      <xdr:row>109</xdr:row>
      <xdr:rowOff>0</xdr:rowOff>
    </xdr:from>
    <xdr:to>
      <xdr:col>17</xdr:col>
      <xdr:colOff>314325</xdr:colOff>
      <xdr:row>110</xdr:row>
      <xdr:rowOff>0</xdr:rowOff>
    </xdr:to>
    <xdr:sp macro="" textlink="">
      <xdr:nvSpPr>
        <xdr:cNvPr id="13" name="Line 54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>
          <a:spLocks noChangeShapeType="1"/>
        </xdr:cNvSpPr>
      </xdr:nvSpPr>
      <xdr:spPr bwMode="auto">
        <a:xfrm>
          <a:off x="8610600" y="9001125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9525</xdr:colOff>
      <xdr:row>134</xdr:row>
      <xdr:rowOff>28575</xdr:rowOff>
    </xdr:from>
    <xdr:to>
      <xdr:col>26</xdr:col>
      <xdr:colOff>266700</xdr:colOff>
      <xdr:row>144</xdr:row>
      <xdr:rowOff>114300</xdr:rowOff>
    </xdr:to>
    <xdr:sp macro="" textlink="">
      <xdr:nvSpPr>
        <xdr:cNvPr id="14" name="AutoShape 64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>
          <a:spLocks/>
        </xdr:cNvSpPr>
      </xdr:nvSpPr>
      <xdr:spPr bwMode="auto">
        <a:xfrm>
          <a:off x="13601700" y="12601575"/>
          <a:ext cx="257175" cy="1514475"/>
        </a:xfrm>
        <a:prstGeom prst="rightBrace">
          <a:avLst>
            <a:gd name="adj1" fmla="val 4907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409575</xdr:colOff>
      <xdr:row>104</xdr:row>
      <xdr:rowOff>0</xdr:rowOff>
    </xdr:from>
    <xdr:to>
      <xdr:col>28</xdr:col>
      <xdr:colOff>428625</xdr:colOff>
      <xdr:row>148</xdr:row>
      <xdr:rowOff>104775</xdr:rowOff>
    </xdr:to>
    <xdr:sp macro="" textlink="">
      <xdr:nvSpPr>
        <xdr:cNvPr id="15" name="Rectangle 10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>
          <a:spLocks noChangeArrowheads="1"/>
        </xdr:cNvSpPr>
      </xdr:nvSpPr>
      <xdr:spPr bwMode="auto">
        <a:xfrm>
          <a:off x="6924675" y="8286750"/>
          <a:ext cx="8315325" cy="6391275"/>
        </a:xfrm>
        <a:prstGeom prst="rect">
          <a:avLst/>
        </a:prstGeom>
        <a:noFill/>
        <a:ln w="28575">
          <a:solidFill>
            <a:srgbClr val="339933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381000</xdr:colOff>
      <xdr:row>130</xdr:row>
      <xdr:rowOff>152400</xdr:rowOff>
    </xdr:from>
    <xdr:to>
      <xdr:col>38</xdr:col>
      <xdr:colOff>571500</xdr:colOff>
      <xdr:row>132</xdr:row>
      <xdr:rowOff>9525</xdr:rowOff>
    </xdr:to>
    <xdr:sp macro="" textlink="">
      <xdr:nvSpPr>
        <xdr:cNvPr id="19" name="Freeform 70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>
          <a:spLocks/>
        </xdr:cNvSpPr>
      </xdr:nvSpPr>
      <xdr:spPr bwMode="auto">
        <a:xfrm>
          <a:off x="11582400" y="19573875"/>
          <a:ext cx="190500" cy="152400"/>
        </a:xfrm>
        <a:custGeom>
          <a:avLst/>
          <a:gdLst>
            <a:gd name="T0" fmla="*/ 2147483646 w 22"/>
            <a:gd name="T1" fmla="*/ 0 h 21"/>
            <a:gd name="T2" fmla="*/ 2147483646 w 22"/>
            <a:gd name="T3" fmla="*/ 2147483646 h 21"/>
            <a:gd name="T4" fmla="*/ 2147483646 w 22"/>
            <a:gd name="T5" fmla="*/ 2147483646 h 21"/>
            <a:gd name="T6" fmla="*/ 2147483646 w 22"/>
            <a:gd name="T7" fmla="*/ 2147483646 h 21"/>
            <a:gd name="T8" fmla="*/ 2147483646 w 22"/>
            <a:gd name="T9" fmla="*/ 2147483646 h 21"/>
            <a:gd name="T10" fmla="*/ 2147483646 w 22"/>
            <a:gd name="T11" fmla="*/ 2147483646 h 21"/>
            <a:gd name="T12" fmla="*/ 2147483646 w 22"/>
            <a:gd name="T13" fmla="*/ 2147483646 h 21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  <a:gd name="T21" fmla="*/ 0 w 22"/>
            <a:gd name="T22" fmla="*/ 0 h 21"/>
            <a:gd name="T23" fmla="*/ 22 w 22"/>
            <a:gd name="T24" fmla="*/ 21 h 21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T21" t="T22" r="T23" b="T24"/>
          <a:pathLst>
            <a:path w="22" h="21">
              <a:moveTo>
                <a:pt x="22" y="0"/>
              </a:moveTo>
              <a:cubicBezTo>
                <a:pt x="15" y="0"/>
                <a:pt x="9" y="0"/>
                <a:pt x="2" y="1"/>
              </a:cubicBezTo>
              <a:cubicBezTo>
                <a:pt x="0" y="1"/>
                <a:pt x="5" y="3"/>
                <a:pt x="7" y="4"/>
              </a:cubicBezTo>
              <a:cubicBezTo>
                <a:pt x="10" y="5"/>
                <a:pt x="14" y="10"/>
                <a:pt x="14" y="10"/>
              </a:cubicBezTo>
              <a:cubicBezTo>
                <a:pt x="11" y="13"/>
                <a:pt x="7" y="14"/>
                <a:pt x="4" y="17"/>
              </a:cubicBezTo>
              <a:cubicBezTo>
                <a:pt x="3" y="18"/>
                <a:pt x="1" y="20"/>
                <a:pt x="1" y="20"/>
              </a:cubicBezTo>
              <a:cubicBezTo>
                <a:pt x="8" y="21"/>
                <a:pt x="22" y="20"/>
                <a:pt x="22" y="20"/>
              </a:cubicBezTo>
            </a:path>
          </a:pathLst>
        </a:cu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33</xdr:col>
      <xdr:colOff>314325</xdr:colOff>
      <xdr:row>116</xdr:row>
      <xdr:rowOff>0</xdr:rowOff>
    </xdr:from>
    <xdr:to>
      <xdr:col>33</xdr:col>
      <xdr:colOff>314325</xdr:colOff>
      <xdr:row>117</xdr:row>
      <xdr:rowOff>0</xdr:rowOff>
    </xdr:to>
    <xdr:sp macro="" textlink="">
      <xdr:nvSpPr>
        <xdr:cNvPr id="20" name="Line 71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>
          <a:spLocks noChangeShapeType="1"/>
        </xdr:cNvSpPr>
      </xdr:nvSpPr>
      <xdr:spPr bwMode="auto">
        <a:xfrm>
          <a:off x="8610600" y="17430750"/>
          <a:ext cx="0" cy="142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9525</xdr:colOff>
      <xdr:row>137</xdr:row>
      <xdr:rowOff>28575</xdr:rowOff>
    </xdr:from>
    <xdr:to>
      <xdr:col>42</xdr:col>
      <xdr:colOff>266700</xdr:colOff>
      <xdr:row>147</xdr:row>
      <xdr:rowOff>114300</xdr:rowOff>
    </xdr:to>
    <xdr:sp macro="" textlink="">
      <xdr:nvSpPr>
        <xdr:cNvPr id="21" name="AutoShape 72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>
          <a:spLocks/>
        </xdr:cNvSpPr>
      </xdr:nvSpPr>
      <xdr:spPr bwMode="auto">
        <a:xfrm>
          <a:off x="13601700" y="20459700"/>
          <a:ext cx="257175" cy="1514475"/>
        </a:xfrm>
        <a:prstGeom prst="rightBrace">
          <a:avLst>
            <a:gd name="adj1" fmla="val 4907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2</xdr:row>
      <xdr:rowOff>38100</xdr:rowOff>
    </xdr:from>
    <xdr:to>
      <xdr:col>5</xdr:col>
      <xdr:colOff>600075</xdr:colOff>
      <xdr:row>6</xdr:row>
      <xdr:rowOff>400050</xdr:rowOff>
    </xdr:to>
    <xdr:sp macro="" textlink="">
      <xdr:nvSpPr>
        <xdr:cNvPr id="3262" name="AutoShape 1">
          <a:extLst>
            <a:ext uri="{FF2B5EF4-FFF2-40B4-BE49-F238E27FC236}">
              <a16:creationId xmlns:a16="http://schemas.microsoft.com/office/drawing/2014/main" id="{00000000-0008-0000-0600-0000BE0C0000}"/>
            </a:ext>
          </a:extLst>
        </xdr:cNvPr>
        <xdr:cNvSpPr>
          <a:spLocks/>
        </xdr:cNvSpPr>
      </xdr:nvSpPr>
      <xdr:spPr bwMode="auto">
        <a:xfrm>
          <a:off x="5915025" y="666750"/>
          <a:ext cx="457200" cy="2114550"/>
        </a:xfrm>
        <a:prstGeom prst="rightBrace">
          <a:avLst>
            <a:gd name="adj1" fmla="val 38542"/>
            <a:gd name="adj2" fmla="val 5675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38100</xdr:colOff>
      <xdr:row>7</xdr:row>
      <xdr:rowOff>9525</xdr:rowOff>
    </xdr:from>
    <xdr:to>
      <xdr:col>5</xdr:col>
      <xdr:colOff>581025</xdr:colOff>
      <xdr:row>10</xdr:row>
      <xdr:rowOff>419100</xdr:rowOff>
    </xdr:to>
    <xdr:sp macro="" textlink="">
      <xdr:nvSpPr>
        <xdr:cNvPr id="3263" name="AutoShape 2">
          <a:extLst>
            <a:ext uri="{FF2B5EF4-FFF2-40B4-BE49-F238E27FC236}">
              <a16:creationId xmlns:a16="http://schemas.microsoft.com/office/drawing/2014/main" id="{00000000-0008-0000-0600-0000BF0C0000}"/>
            </a:ext>
          </a:extLst>
        </xdr:cNvPr>
        <xdr:cNvSpPr>
          <a:spLocks/>
        </xdr:cNvSpPr>
      </xdr:nvSpPr>
      <xdr:spPr bwMode="auto">
        <a:xfrm>
          <a:off x="5895975" y="2828925"/>
          <a:ext cx="476250" cy="1724025"/>
        </a:xfrm>
        <a:prstGeom prst="rightBrace">
          <a:avLst>
            <a:gd name="adj1" fmla="val 30167"/>
            <a:gd name="adj2" fmla="val 47514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180975</xdr:colOff>
      <xdr:row>0</xdr:row>
      <xdr:rowOff>276225</xdr:rowOff>
    </xdr:from>
    <xdr:to>
      <xdr:col>6</xdr:col>
      <xdr:colOff>219075</xdr:colOff>
      <xdr:row>4</xdr:row>
      <xdr:rowOff>190500</xdr:rowOff>
    </xdr:to>
    <xdr:sp macro="" textlink="">
      <xdr:nvSpPr>
        <xdr:cNvPr id="3264" name="Line 3">
          <a:extLst>
            <a:ext uri="{FF2B5EF4-FFF2-40B4-BE49-F238E27FC236}">
              <a16:creationId xmlns:a16="http://schemas.microsoft.com/office/drawing/2014/main" id="{00000000-0008-0000-0600-0000C00C0000}"/>
            </a:ext>
          </a:extLst>
        </xdr:cNvPr>
        <xdr:cNvSpPr>
          <a:spLocks noChangeShapeType="1"/>
        </xdr:cNvSpPr>
      </xdr:nvSpPr>
      <xdr:spPr bwMode="auto">
        <a:xfrm flipH="1">
          <a:off x="6553200" y="276225"/>
          <a:ext cx="38100" cy="1419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A1:I32"/>
  <sheetViews>
    <sheetView workbookViewId="0">
      <selection activeCell="I16" sqref="I16"/>
    </sheetView>
  </sheetViews>
  <sheetFormatPr defaultRowHeight="12.75" x14ac:dyDescent="0.2"/>
  <sheetData>
    <row r="1" spans="1:9" x14ac:dyDescent="0.2">
      <c r="A1" s="1"/>
      <c r="B1" s="634" t="s">
        <v>441</v>
      </c>
      <c r="C1" s="634"/>
      <c r="D1" s="634"/>
      <c r="E1" s="634"/>
      <c r="F1" s="634"/>
      <c r="G1" s="634"/>
      <c r="H1" s="634"/>
      <c r="I1" s="634"/>
    </row>
    <row r="2" spans="1:9" x14ac:dyDescent="0.2">
      <c r="A2" s="1"/>
      <c r="B2" s="634"/>
      <c r="C2" s="634"/>
      <c r="D2" s="634"/>
      <c r="E2" s="634"/>
      <c r="F2" s="634"/>
      <c r="G2" s="634"/>
      <c r="H2" s="634"/>
      <c r="I2" s="634"/>
    </row>
    <row r="3" spans="1:9" ht="12.75" customHeight="1" x14ac:dyDescent="0.4">
      <c r="A3" s="635"/>
      <c r="B3" s="635"/>
      <c r="C3" s="131"/>
      <c r="D3" s="131"/>
      <c r="E3" s="131"/>
      <c r="F3" s="131"/>
      <c r="G3" s="131"/>
      <c r="H3" s="131"/>
      <c r="I3" s="131"/>
    </row>
    <row r="4" spans="1:9" x14ac:dyDescent="0.2">
      <c r="A4" s="636"/>
      <c r="B4" s="636"/>
      <c r="C4" s="1"/>
      <c r="D4" s="2"/>
      <c r="E4" s="2"/>
      <c r="F4" s="1"/>
      <c r="G4" s="1"/>
      <c r="H4" s="1"/>
      <c r="I4" s="1"/>
    </row>
    <row r="5" spans="1:9" x14ac:dyDescent="0.2">
      <c r="A5" s="148"/>
      <c r="B5" s="148"/>
      <c r="C5" s="1"/>
      <c r="D5" s="3" t="s">
        <v>435</v>
      </c>
      <c r="E5" s="3"/>
      <c r="F5" s="132">
        <f>'RC INPUT'!K16</f>
        <v>0</v>
      </c>
      <c r="G5" s="1"/>
      <c r="H5" s="1"/>
      <c r="I5" s="1"/>
    </row>
    <row r="6" spans="1:9" x14ac:dyDescent="0.2">
      <c r="A6" s="149"/>
      <c r="B6" s="149"/>
      <c r="C6" s="1"/>
      <c r="D6" s="3"/>
      <c r="E6" s="3"/>
      <c r="F6" s="1"/>
      <c r="G6" s="1"/>
      <c r="H6" s="1"/>
      <c r="I6" s="1"/>
    </row>
    <row r="7" spans="1:9" x14ac:dyDescent="0.2">
      <c r="A7" s="148"/>
      <c r="B7" s="150"/>
      <c r="C7" s="1"/>
      <c r="D7" s="3" t="s">
        <v>436</v>
      </c>
      <c r="E7" s="3"/>
      <c r="F7" s="132">
        <f>'RC INPUT'!K20</f>
        <v>0</v>
      </c>
      <c r="G7" s="1"/>
      <c r="H7" s="1"/>
      <c r="I7" s="1"/>
    </row>
    <row r="8" spans="1:9" x14ac:dyDescent="0.2">
      <c r="A8" s="150"/>
      <c r="B8" s="150"/>
      <c r="C8" s="1"/>
      <c r="D8" s="3"/>
      <c r="E8" s="3"/>
      <c r="F8" s="1"/>
      <c r="G8" s="1"/>
      <c r="H8" s="1"/>
      <c r="I8" s="1"/>
    </row>
    <row r="9" spans="1:9" x14ac:dyDescent="0.2">
      <c r="A9" s="150"/>
      <c r="B9" s="150"/>
      <c r="C9" s="155"/>
      <c r="D9" s="156" t="s">
        <v>260</v>
      </c>
      <c r="E9" s="156"/>
      <c r="F9" s="157">
        <f>IF(Structure!D10&lt;&gt;"",'RC INPUT'!I34,IF(Structure!H10&lt;&gt;"",'RC INPUT'!K29:K30,0))</f>
        <v>0</v>
      </c>
      <c r="G9" s="1"/>
      <c r="H9" s="1"/>
      <c r="I9" s="1"/>
    </row>
    <row r="10" spans="1:9" x14ac:dyDescent="0.2">
      <c r="A10" s="150"/>
      <c r="B10" s="150"/>
      <c r="C10" s="1"/>
      <c r="D10" s="3"/>
      <c r="E10" s="3"/>
      <c r="F10" s="1"/>
      <c r="G10" s="1"/>
      <c r="H10" s="1"/>
      <c r="I10" s="1"/>
    </row>
    <row r="11" spans="1:9" x14ac:dyDescent="0.2">
      <c r="A11" s="1"/>
      <c r="B11" s="1"/>
      <c r="C11" s="1"/>
      <c r="D11" s="3" t="s">
        <v>437</v>
      </c>
      <c r="E11" s="3"/>
      <c r="F11" s="132" t="str">
        <f>'RC INPUT'!K35</f>
        <v/>
      </c>
      <c r="G11" s="1"/>
      <c r="H11" s="1"/>
      <c r="I11" s="1"/>
    </row>
    <row r="12" spans="1:9" x14ac:dyDescent="0.2">
      <c r="A12" s="1"/>
      <c r="B12" s="1"/>
      <c r="C12" s="1"/>
      <c r="D12" s="3"/>
      <c r="E12" s="3"/>
      <c r="F12" s="1"/>
      <c r="G12" s="1"/>
      <c r="H12" s="1"/>
      <c r="I12" s="1"/>
    </row>
    <row r="13" spans="1:9" x14ac:dyDescent="0.2">
      <c r="A13" s="1"/>
      <c r="B13" s="1"/>
      <c r="C13" s="1"/>
      <c r="D13" s="3" t="s">
        <v>438</v>
      </c>
      <c r="E13" s="3"/>
      <c r="F13" s="132">
        <f>'RC INPUT'!K44</f>
        <v>0</v>
      </c>
      <c r="G13" s="1"/>
      <c r="H13" s="1"/>
      <c r="I13" s="1"/>
    </row>
    <row r="14" spans="1:9" x14ac:dyDescent="0.2">
      <c r="A14" s="1"/>
      <c r="B14" s="1"/>
      <c r="C14" s="1"/>
      <c r="D14" s="3"/>
      <c r="E14" s="3"/>
      <c r="F14" s="1"/>
      <c r="G14" s="1"/>
      <c r="H14" s="1"/>
      <c r="I14" s="1"/>
    </row>
    <row r="15" spans="1:9" x14ac:dyDescent="0.2">
      <c r="A15" s="1"/>
      <c r="B15" s="1"/>
      <c r="C15" s="1"/>
      <c r="D15" s="3" t="s">
        <v>444</v>
      </c>
      <c r="E15" s="3"/>
      <c r="F15" s="132">
        <f>'RC INPUT'!K24</f>
        <v>0</v>
      </c>
      <c r="G15" s="1"/>
      <c r="H15" s="1"/>
      <c r="I15" s="1"/>
    </row>
    <row r="16" spans="1:9" x14ac:dyDescent="0.2">
      <c r="A16" s="1"/>
      <c r="B16" s="1"/>
      <c r="C16" s="7"/>
      <c r="D16" s="142"/>
      <c r="E16" s="143"/>
      <c r="F16" s="7"/>
      <c r="G16" s="1"/>
      <c r="H16" s="1"/>
      <c r="I16" s="1"/>
    </row>
    <row r="17" spans="1:9" x14ac:dyDescent="0.2">
      <c r="A17" s="1"/>
      <c r="B17" s="1"/>
      <c r="C17" s="145"/>
      <c r="D17" s="141" t="s">
        <v>445</v>
      </c>
      <c r="E17" s="144"/>
      <c r="F17" s="147"/>
      <c r="G17" s="1"/>
      <c r="H17" s="1"/>
      <c r="I17" s="1"/>
    </row>
    <row r="18" spans="1:9" x14ac:dyDescent="0.2">
      <c r="A18" s="1"/>
      <c r="B18" s="1"/>
      <c r="C18" s="7"/>
      <c r="D18" s="12"/>
      <c r="E18" s="12"/>
      <c r="F18" s="7"/>
      <c r="G18" s="1"/>
      <c r="H18" s="1"/>
      <c r="I18" s="1"/>
    </row>
    <row r="19" spans="1:9" x14ac:dyDescent="0.2">
      <c r="A19" s="1"/>
      <c r="B19" s="1"/>
      <c r="C19" s="145"/>
      <c r="D19" s="141" t="s">
        <v>442</v>
      </c>
      <c r="E19" s="146"/>
      <c r="F19" s="147"/>
      <c r="G19" s="1"/>
      <c r="H19" s="1"/>
      <c r="I19" s="1"/>
    </row>
    <row r="20" spans="1:9" x14ac:dyDescent="0.2">
      <c r="A20" s="1"/>
      <c r="B20" s="1"/>
      <c r="C20" s="151"/>
      <c r="D20" s="152"/>
      <c r="E20" s="153"/>
      <c r="F20" s="154"/>
      <c r="G20" s="1"/>
      <c r="H20" s="1"/>
      <c r="I20" s="1"/>
    </row>
    <row r="21" spans="1:9" hidden="1" x14ac:dyDescent="0.2">
      <c r="A21" s="1"/>
      <c r="B21" s="1"/>
      <c r="C21" s="1"/>
      <c r="D21" s="2"/>
      <c r="E21" s="2"/>
      <c r="F21" s="140">
        <f>SUM(F5,F7,F11,F13,F15)</f>
        <v>0</v>
      </c>
      <c r="G21" s="1"/>
      <c r="H21" s="1"/>
      <c r="I21" s="1"/>
    </row>
    <row r="22" spans="1:9" x14ac:dyDescent="0.2">
      <c r="A22" s="1"/>
      <c r="B22" s="1"/>
      <c r="C22" s="1"/>
      <c r="D22" s="2"/>
      <c r="E22" s="2"/>
      <c r="F22" s="1"/>
      <c r="G22" s="1"/>
      <c r="H22" s="1"/>
      <c r="I22" s="1"/>
    </row>
    <row r="23" spans="1:9" x14ac:dyDescent="0.2">
      <c r="A23" s="1"/>
      <c r="B23" s="1"/>
      <c r="C23" s="1"/>
      <c r="D23" s="2"/>
      <c r="E23" s="2"/>
      <c r="F23" s="1"/>
      <c r="G23" s="1"/>
      <c r="H23" s="1"/>
      <c r="I23" s="1"/>
    </row>
    <row r="24" spans="1:9" ht="13.5" thickBot="1" x14ac:dyDescent="0.25">
      <c r="A24" s="133"/>
      <c r="B24" s="133"/>
      <c r="C24" s="1"/>
      <c r="D24" s="2"/>
      <c r="E24" s="2"/>
      <c r="F24" s="1"/>
      <c r="G24" s="1"/>
      <c r="H24" s="1"/>
      <c r="I24" s="1"/>
    </row>
    <row r="25" spans="1:9" ht="16.5" thickTop="1" x14ac:dyDescent="0.2">
      <c r="A25" s="135"/>
      <c r="B25" s="1"/>
      <c r="C25" s="134">
        <v>1.25</v>
      </c>
      <c r="D25" s="133"/>
      <c r="E25" s="133"/>
      <c r="F25" s="637">
        <f>'RC INPUT'!K47</f>
        <v>0</v>
      </c>
      <c r="H25" s="1"/>
      <c r="I25" s="1"/>
    </row>
    <row r="26" spans="1:9" ht="15.75" x14ac:dyDescent="0.2">
      <c r="A26" s="133"/>
      <c r="B26" s="133"/>
      <c r="C26" s="136" t="s">
        <v>439</v>
      </c>
      <c r="D26" s="137"/>
      <c r="E26" s="138" t="s">
        <v>80</v>
      </c>
      <c r="F26" s="638"/>
      <c r="H26" s="1"/>
      <c r="I26" s="1"/>
    </row>
    <row r="27" spans="1:9" ht="13.5" thickBot="1" x14ac:dyDescent="0.25">
      <c r="C27" s="139"/>
      <c r="D27" s="133"/>
      <c r="E27" s="133"/>
      <c r="F27" s="639"/>
    </row>
    <row r="28" spans="1:9" ht="13.5" thickTop="1" x14ac:dyDescent="0.2"/>
    <row r="31" spans="1:9" ht="12" customHeight="1" x14ac:dyDescent="0.2"/>
    <row r="32" spans="1:9" hidden="1" x14ac:dyDescent="0.2">
      <c r="A32" s="80" t="s">
        <v>443</v>
      </c>
    </row>
  </sheetData>
  <sheetProtection selectLockedCells="1"/>
  <mergeCells count="4">
    <mergeCell ref="B1:I2"/>
    <mergeCell ref="A3:B3"/>
    <mergeCell ref="A4:B4"/>
    <mergeCell ref="F25:F27"/>
  </mergeCells>
  <conditionalFormatting sqref="F25:F27">
    <cfRule type="expression" dxfId="8" priority="4" stopIfTrue="1">
      <formula>ISERROR($N$4)</formula>
    </cfRule>
  </conditionalFormatting>
  <conditionalFormatting sqref="F17">
    <cfRule type="expression" dxfId="7" priority="1" stopIfTrue="1">
      <formula>$A$6&lt;&gt;""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2"/>
  </sheetPr>
  <dimension ref="B2:AJ109"/>
  <sheetViews>
    <sheetView showGridLines="0" tabSelected="1" zoomScale="75" zoomScaleNormal="75" workbookViewId="0">
      <selection activeCell="D39" sqref="D39:F39"/>
    </sheetView>
  </sheetViews>
  <sheetFormatPr defaultRowHeight="12.75" x14ac:dyDescent="0.2"/>
  <cols>
    <col min="1" max="1" width="5.7109375" style="159" customWidth="1"/>
    <col min="2" max="2" width="4.7109375" style="159" customWidth="1"/>
    <col min="3" max="8" width="9.140625" style="159"/>
    <col min="9" max="9" width="10.28515625" style="159" bestFit="1" customWidth="1"/>
    <col min="10" max="11" width="9.140625" style="159"/>
    <col min="12" max="12" width="5.85546875" style="159" customWidth="1"/>
    <col min="13" max="13" width="3" style="159" customWidth="1"/>
    <col min="14" max="14" width="9.28515625" style="159" bestFit="1" customWidth="1"/>
    <col min="15" max="19" width="9.140625" style="159"/>
    <col min="20" max="20" width="5.5703125" style="159" customWidth="1"/>
    <col min="21" max="21" width="2.7109375" style="159" customWidth="1"/>
    <col min="22" max="25" width="8.7109375" style="159" customWidth="1"/>
    <col min="26" max="26" width="8.5703125" style="159" customWidth="1"/>
    <col min="27" max="27" width="7.42578125" style="159" hidden="1" customWidth="1"/>
    <col min="28" max="28" width="6.42578125" style="159" customWidth="1"/>
    <col min="29" max="29" width="2.7109375" style="159" customWidth="1"/>
    <col min="30" max="33" width="8.7109375" style="159" customWidth="1"/>
    <col min="34" max="34" width="7.140625" style="159" customWidth="1"/>
    <col min="35" max="35" width="9.28515625" style="159" customWidth="1"/>
    <col min="36" max="36" width="5.7109375" style="159" customWidth="1"/>
    <col min="37" max="16384" width="9.140625" style="159"/>
  </cols>
  <sheetData>
    <row r="2" spans="2:36" x14ac:dyDescent="0.2">
      <c r="T2" s="302"/>
      <c r="U2" s="302"/>
      <c r="V2" s="302"/>
      <c r="W2" s="302"/>
      <c r="X2" s="302"/>
      <c r="Y2" s="302"/>
      <c r="Z2" s="302"/>
      <c r="AA2" s="302"/>
      <c r="AB2" s="302"/>
      <c r="AC2" s="302"/>
      <c r="AD2" s="302"/>
      <c r="AE2" s="302"/>
      <c r="AF2" s="302"/>
      <c r="AG2" s="302"/>
      <c r="AH2" s="302"/>
      <c r="AI2" s="302"/>
      <c r="AJ2" s="302"/>
    </row>
    <row r="3" spans="2:36" ht="16.5" customHeight="1" x14ac:dyDescent="0.25">
      <c r="B3" s="9"/>
      <c r="C3" s="4"/>
      <c r="D3" s="4"/>
      <c r="E3" s="646"/>
      <c r="F3" s="646"/>
      <c r="G3" s="646"/>
      <c r="H3" s="278"/>
      <c r="I3" s="278"/>
      <c r="J3" s="650" t="s">
        <v>476</v>
      </c>
      <c r="K3" s="650"/>
      <c r="L3" s="650"/>
      <c r="M3" s="650"/>
      <c r="T3" s="302"/>
      <c r="U3" s="302"/>
      <c r="V3" s="345"/>
      <c r="W3" s="302"/>
      <c r="X3" s="302"/>
      <c r="Y3" s="302"/>
      <c r="Z3" s="644"/>
      <c r="AA3" s="644"/>
      <c r="AB3" s="644"/>
      <c r="AC3" s="644"/>
      <c r="AD3" s="644"/>
      <c r="AE3" s="644"/>
      <c r="AF3" s="302"/>
      <c r="AG3" s="302"/>
      <c r="AH3" s="302"/>
      <c r="AI3" s="302"/>
      <c r="AJ3" s="302"/>
    </row>
    <row r="4" spans="2:36" ht="12.75" customHeight="1" x14ac:dyDescent="0.2">
      <c r="B4" s="9"/>
      <c r="C4" s="4" t="s">
        <v>273</v>
      </c>
      <c r="D4" s="4"/>
      <c r="E4" s="647"/>
      <c r="F4" s="647"/>
      <c r="G4" s="647"/>
      <c r="H4" s="514"/>
      <c r="I4" s="515"/>
      <c r="J4" s="650"/>
      <c r="K4" s="650"/>
      <c r="L4" s="650"/>
      <c r="M4" s="650"/>
      <c r="T4" s="302"/>
      <c r="U4" s="302"/>
      <c r="V4" s="302"/>
      <c r="W4" s="302"/>
      <c r="X4" s="302"/>
      <c r="Y4" s="302"/>
      <c r="Z4" s="644"/>
      <c r="AA4" s="644"/>
      <c r="AB4" s="644"/>
      <c r="AC4" s="644"/>
      <c r="AD4" s="644"/>
      <c r="AE4" s="644"/>
      <c r="AF4" s="302"/>
      <c r="AG4" s="302"/>
      <c r="AH4" s="302"/>
      <c r="AI4" s="302"/>
      <c r="AJ4" s="302"/>
    </row>
    <row r="5" spans="2:36" ht="12.75" customHeight="1" x14ac:dyDescent="0.2">
      <c r="B5" s="9"/>
      <c r="C5" s="4" t="s">
        <v>274</v>
      </c>
      <c r="D5" s="4"/>
      <c r="E5" s="654"/>
      <c r="F5" s="654"/>
      <c r="G5" s="654"/>
      <c r="H5" s="654"/>
      <c r="I5" s="654"/>
      <c r="J5" s="651" t="s">
        <v>477</v>
      </c>
      <c r="K5" s="651"/>
      <c r="L5" s="651"/>
      <c r="M5" s="651"/>
      <c r="T5" s="302"/>
      <c r="U5" s="346"/>
      <c r="V5" s="302"/>
      <c r="W5" s="346"/>
      <c r="X5" s="302"/>
      <c r="Y5" s="357"/>
      <c r="Z5" s="302"/>
      <c r="AA5" s="302"/>
      <c r="AB5" s="302"/>
      <c r="AC5" s="302"/>
      <c r="AD5" s="302"/>
      <c r="AE5" s="302"/>
      <c r="AF5" s="347"/>
      <c r="AG5" s="302"/>
      <c r="AH5" s="302"/>
      <c r="AI5" s="302"/>
      <c r="AJ5" s="302"/>
    </row>
    <row r="6" spans="2:36" ht="12.75" customHeight="1" x14ac:dyDescent="0.2">
      <c r="B6" s="4"/>
      <c r="C6" s="4"/>
      <c r="D6" s="4"/>
      <c r="E6" s="646"/>
      <c r="F6" s="646"/>
      <c r="G6" s="646"/>
      <c r="H6" s="278"/>
      <c r="I6" s="382"/>
      <c r="J6" s="651"/>
      <c r="K6" s="651"/>
      <c r="L6" s="651"/>
      <c r="M6" s="651"/>
      <c r="T6" s="302"/>
      <c r="U6" s="348"/>
      <c r="V6" s="348"/>
      <c r="W6" s="348"/>
      <c r="X6" s="349"/>
      <c r="Y6" s="308"/>
      <c r="Z6" s="302"/>
      <c r="AA6" s="302"/>
      <c r="AB6" s="309"/>
      <c r="AC6" s="309"/>
      <c r="AD6" s="350"/>
      <c r="AE6" s="648"/>
      <c r="AF6" s="648"/>
      <c r="AG6" s="648"/>
      <c r="AH6" s="302"/>
      <c r="AI6" s="302"/>
      <c r="AJ6" s="302"/>
    </row>
    <row r="7" spans="2:36" ht="12.75" customHeight="1" x14ac:dyDescent="0.2">
      <c r="B7" s="4"/>
      <c r="C7" s="4"/>
      <c r="D7" s="4"/>
      <c r="E7" s="645"/>
      <c r="F7" s="645"/>
      <c r="G7" s="645"/>
      <c r="H7" s="9"/>
      <c r="I7" s="4"/>
      <c r="J7" s="158"/>
      <c r="K7" s="158"/>
      <c r="L7" s="158"/>
      <c r="M7" s="75"/>
      <c r="T7" s="302"/>
      <c r="U7" s="348"/>
      <c r="V7" s="348"/>
      <c r="W7" s="348"/>
      <c r="X7" s="351"/>
      <c r="Y7" s="308"/>
      <c r="Z7" s="302"/>
      <c r="AA7" s="302"/>
      <c r="AB7" s="352"/>
      <c r="AC7" s="352"/>
      <c r="AD7" s="350"/>
      <c r="AE7" s="648"/>
      <c r="AF7" s="648"/>
      <c r="AG7" s="648"/>
      <c r="AH7" s="302"/>
      <c r="AI7" s="302"/>
      <c r="AJ7" s="302"/>
    </row>
    <row r="8" spans="2:36" ht="12.75" customHeight="1" x14ac:dyDescent="0.25">
      <c r="B8" s="4"/>
      <c r="C8" s="17"/>
      <c r="D8" s="4"/>
      <c r="E8" s="9"/>
      <c r="F8" s="18"/>
      <c r="G8" s="18"/>
      <c r="H8" s="4"/>
      <c r="I8" s="4"/>
      <c r="J8" s="158"/>
      <c r="K8" s="158"/>
      <c r="L8" s="158"/>
      <c r="M8" s="75"/>
      <c r="T8" s="302"/>
      <c r="U8" s="302"/>
      <c r="V8" s="649"/>
      <c r="W8" s="649"/>
      <c r="X8" s="349"/>
      <c r="Y8" s="352"/>
      <c r="Z8" s="302"/>
      <c r="AA8" s="302"/>
      <c r="AB8" s="302"/>
      <c r="AC8" s="302"/>
      <c r="AD8" s="350"/>
      <c r="AE8" s="648"/>
      <c r="AF8" s="648"/>
      <c r="AG8" s="648"/>
      <c r="AH8" s="302"/>
      <c r="AI8" s="302"/>
      <c r="AJ8" s="302"/>
    </row>
    <row r="9" spans="2:36" ht="12.75" customHeight="1" x14ac:dyDescent="0.2">
      <c r="B9" s="158"/>
      <c r="C9" s="5"/>
      <c r="D9" s="4"/>
      <c r="E9" s="380"/>
      <c r="F9" s="653" t="s">
        <v>478</v>
      </c>
      <c r="G9" s="653"/>
      <c r="H9" s="653"/>
      <c r="I9" s="653"/>
      <c r="J9" s="158"/>
      <c r="K9" s="158"/>
      <c r="L9" s="158"/>
      <c r="M9" s="75"/>
      <c r="T9" s="302"/>
      <c r="U9" s="302"/>
      <c r="V9" s="302"/>
      <c r="W9" s="302"/>
      <c r="X9" s="349"/>
      <c r="Y9" s="352"/>
      <c r="Z9" s="302"/>
      <c r="AA9" s="302"/>
      <c r="AB9" s="302"/>
      <c r="AC9" s="302"/>
      <c r="AD9" s="353"/>
      <c r="AE9" s="352"/>
      <c r="AF9" s="302"/>
      <c r="AG9" s="302"/>
      <c r="AH9" s="302"/>
      <c r="AI9" s="302"/>
      <c r="AJ9" s="302"/>
    </row>
    <row r="10" spans="2:36" ht="12.75" customHeight="1" x14ac:dyDescent="0.2">
      <c r="B10" s="158"/>
      <c r="C10" s="5"/>
      <c r="D10" s="4"/>
      <c r="E10" s="380"/>
      <c r="F10" s="381"/>
      <c r="G10" s="381"/>
      <c r="H10" s="381"/>
      <c r="I10" s="381"/>
      <c r="J10" s="158"/>
      <c r="K10" s="158"/>
      <c r="L10" s="158"/>
      <c r="M10" s="75"/>
      <c r="T10" s="302"/>
      <c r="U10" s="302"/>
      <c r="V10" s="302"/>
      <c r="W10" s="302"/>
      <c r="X10" s="349"/>
      <c r="Y10" s="352"/>
      <c r="Z10" s="302"/>
      <c r="AA10" s="302"/>
      <c r="AB10" s="302"/>
      <c r="AC10" s="302"/>
      <c r="AD10" s="353"/>
      <c r="AE10" s="352"/>
      <c r="AF10" s="302"/>
      <c r="AG10" s="302"/>
      <c r="AH10" s="302"/>
      <c r="AI10" s="302"/>
      <c r="AJ10" s="302"/>
    </row>
    <row r="11" spans="2:36" ht="12.75" customHeight="1" x14ac:dyDescent="0.2">
      <c r="B11" s="158" t="s">
        <v>5</v>
      </c>
      <c r="C11" s="19"/>
      <c r="D11" s="20"/>
      <c r="E11" s="20"/>
      <c r="F11" s="21"/>
      <c r="G11" s="21"/>
      <c r="H11" s="20"/>
      <c r="I11" s="22" t="s">
        <v>1</v>
      </c>
      <c r="J11" s="20"/>
      <c r="K11" s="22" t="s">
        <v>2</v>
      </c>
      <c r="L11" s="23"/>
      <c r="M11" s="9"/>
      <c r="T11" s="302"/>
      <c r="U11" s="354"/>
      <c r="V11" s="302"/>
      <c r="W11" s="346"/>
      <c r="X11" s="346"/>
      <c r="Y11" s="346"/>
      <c r="Z11" s="346"/>
      <c r="AA11" s="346"/>
      <c r="AB11" s="302"/>
      <c r="AC11" s="302"/>
      <c r="AD11" s="302"/>
      <c r="AE11" s="302"/>
      <c r="AF11" s="302"/>
      <c r="AG11" s="302"/>
      <c r="AH11" s="302"/>
      <c r="AI11" s="302"/>
      <c r="AJ11" s="302"/>
    </row>
    <row r="12" spans="2:36" ht="12.75" customHeight="1" x14ac:dyDescent="0.2">
      <c r="B12" s="158" t="s">
        <v>5</v>
      </c>
      <c r="C12" s="24"/>
      <c r="D12" s="4"/>
      <c r="E12" s="4"/>
      <c r="F12" s="9"/>
      <c r="G12" s="9"/>
      <c r="H12" s="4"/>
      <c r="I12" s="25" t="s">
        <v>4</v>
      </c>
      <c r="J12" s="4"/>
      <c r="K12" s="25" t="s">
        <v>4</v>
      </c>
      <c r="L12" s="26"/>
      <c r="M12" s="9"/>
      <c r="T12" s="302"/>
      <c r="U12" s="302"/>
      <c r="V12" s="346"/>
      <c r="W12" s="346"/>
      <c r="X12" s="179"/>
      <c r="Y12" s="346"/>
      <c r="Z12" s="179"/>
      <c r="AA12" s="179"/>
      <c r="AB12" s="383"/>
      <c r="AC12" s="344"/>
      <c r="AD12" s="302"/>
      <c r="AE12" s="179"/>
      <c r="AF12" s="179"/>
      <c r="AG12" s="383"/>
      <c r="AH12" s="302"/>
      <c r="AI12" s="302"/>
      <c r="AJ12" s="302"/>
    </row>
    <row r="13" spans="2:36" ht="12.75" customHeight="1" x14ac:dyDescent="0.2">
      <c r="B13" s="158"/>
      <c r="C13" s="24"/>
      <c r="D13" s="642" t="s">
        <v>6</v>
      </c>
      <c r="E13" s="642"/>
      <c r="F13" s="4"/>
      <c r="G13" s="9"/>
      <c r="H13" s="4"/>
      <c r="I13" s="7"/>
      <c r="J13" s="4"/>
      <c r="K13" s="7"/>
      <c r="L13" s="26"/>
      <c r="M13" s="9"/>
      <c r="T13" s="302"/>
      <c r="U13" s="302"/>
      <c r="V13" s="302"/>
      <c r="W13" s="302"/>
      <c r="X13" s="383"/>
      <c r="Y13" s="355"/>
      <c r="Z13" s="302"/>
      <c r="AA13" s="302"/>
      <c r="AB13" s="356"/>
      <c r="AC13" s="356"/>
      <c r="AD13" s="302"/>
      <c r="AE13" s="652"/>
      <c r="AF13" s="652"/>
      <c r="AG13" s="652"/>
      <c r="AH13" s="344"/>
      <c r="AI13" s="344"/>
      <c r="AJ13" s="344"/>
    </row>
    <row r="14" spans="2:36" ht="12.75" customHeight="1" x14ac:dyDescent="0.2">
      <c r="B14" s="158"/>
      <c r="C14" s="24"/>
      <c r="D14" s="4"/>
      <c r="E14" s="4" t="s">
        <v>7</v>
      </c>
      <c r="F14" s="4"/>
      <c r="G14" s="9"/>
      <c r="H14" s="4"/>
      <c r="I14" s="7">
        <v>7</v>
      </c>
      <c r="J14" s="4"/>
      <c r="K14" s="53" t="str">
        <f>'Traffic &amp; Accidents'!M41</f>
        <v/>
      </c>
      <c r="L14" s="28"/>
      <c r="M14" s="9"/>
      <c r="T14" s="302"/>
      <c r="U14" s="302"/>
      <c r="V14" s="302"/>
      <c r="W14" s="349"/>
      <c r="X14" s="352"/>
      <c r="Y14" s="302"/>
      <c r="Z14" s="358"/>
      <c r="AA14" s="358"/>
      <c r="AB14" s="649"/>
      <c r="AC14" s="649"/>
      <c r="AD14" s="302"/>
      <c r="AE14" s="359"/>
      <c r="AF14" s="360"/>
      <c r="AG14" s="361"/>
      <c r="AH14" s="367"/>
      <c r="AI14" s="367"/>
      <c r="AJ14" s="367"/>
    </row>
    <row r="15" spans="2:36" ht="12.75" customHeight="1" x14ac:dyDescent="0.2">
      <c r="B15" s="158" t="s">
        <v>5</v>
      </c>
      <c r="C15" s="24"/>
      <c r="D15" s="4"/>
      <c r="E15" s="4" t="s">
        <v>8</v>
      </c>
      <c r="F15" s="4"/>
      <c r="G15" s="9"/>
      <c r="H15" s="4"/>
      <c r="I15" s="29">
        <v>15</v>
      </c>
      <c r="J15" s="4"/>
      <c r="K15" s="34">
        <f>'Traffic &amp; Accidents'!M50</f>
        <v>0</v>
      </c>
      <c r="L15" s="28"/>
      <c r="M15" s="9"/>
      <c r="T15" s="302"/>
      <c r="U15" s="302"/>
      <c r="V15" s="302"/>
      <c r="W15" s="349"/>
      <c r="X15" s="352"/>
      <c r="Y15" s="302"/>
      <c r="Z15" s="358"/>
      <c r="AA15" s="358"/>
      <c r="AB15" s="649"/>
      <c r="AC15" s="649"/>
      <c r="AD15" s="302"/>
      <c r="AE15" s="302"/>
      <c r="AF15" s="349"/>
      <c r="AG15" s="352"/>
      <c r="AH15" s="352"/>
      <c r="AI15" s="352"/>
      <c r="AJ15" s="352"/>
    </row>
    <row r="16" spans="2:36" ht="12.75" customHeight="1" x14ac:dyDescent="0.2">
      <c r="B16" s="158" t="s">
        <v>5</v>
      </c>
      <c r="C16" s="24"/>
      <c r="D16" s="4"/>
      <c r="E16" s="4"/>
      <c r="F16" s="4"/>
      <c r="G16" s="9"/>
      <c r="H16" s="4" t="s">
        <v>9</v>
      </c>
      <c r="I16" s="15">
        <v>22</v>
      </c>
      <c r="J16" s="4"/>
      <c r="K16" s="50">
        <f>SUM(K14:K15)</f>
        <v>0</v>
      </c>
      <c r="L16" s="28"/>
      <c r="M16" s="9"/>
      <c r="T16" s="302"/>
      <c r="U16" s="302"/>
      <c r="V16" s="302"/>
      <c r="W16" s="349"/>
      <c r="X16" s="384"/>
      <c r="Y16" s="302"/>
      <c r="Z16" s="358"/>
      <c r="AA16" s="358"/>
      <c r="AB16" s="649"/>
      <c r="AC16" s="649"/>
      <c r="AD16" s="302"/>
      <c r="AE16" s="302"/>
      <c r="AF16" s="349"/>
      <c r="AG16" s="352"/>
      <c r="AH16" s="352"/>
      <c r="AI16" s="352"/>
      <c r="AJ16" s="352"/>
    </row>
    <row r="17" spans="2:36" ht="12.75" customHeight="1" x14ac:dyDescent="0.2">
      <c r="B17" s="158"/>
      <c r="C17" s="24"/>
      <c r="D17" s="4"/>
      <c r="E17" s="4"/>
      <c r="F17" s="4"/>
      <c r="G17" s="9"/>
      <c r="H17" s="4"/>
      <c r="I17" s="15"/>
      <c r="J17" s="4"/>
      <c r="K17" s="312"/>
      <c r="L17" s="28"/>
      <c r="M17" s="9"/>
      <c r="T17" s="302"/>
      <c r="U17" s="302"/>
      <c r="V17" s="302"/>
      <c r="W17" s="349"/>
      <c r="X17" s="385"/>
      <c r="Y17" s="303"/>
      <c r="Z17" s="358"/>
      <c r="AA17" s="358"/>
      <c r="AB17" s="649"/>
      <c r="AC17" s="649"/>
      <c r="AD17" s="302"/>
      <c r="AE17" s="302"/>
      <c r="AF17" s="349"/>
      <c r="AG17" s="352"/>
      <c r="AH17" s="352"/>
      <c r="AI17" s="352"/>
      <c r="AJ17" s="352"/>
    </row>
    <row r="18" spans="2:36" ht="12.75" customHeight="1" x14ac:dyDescent="0.2">
      <c r="B18" s="158"/>
      <c r="C18" s="24"/>
      <c r="D18" s="4"/>
      <c r="E18" s="4"/>
      <c r="F18" s="4"/>
      <c r="G18" s="9"/>
      <c r="H18" s="4"/>
      <c r="I18" s="15"/>
      <c r="J18" s="4"/>
      <c r="K18" s="312"/>
      <c r="L18" s="28"/>
      <c r="M18" s="9"/>
      <c r="T18" s="302"/>
      <c r="U18" s="302"/>
      <c r="V18" s="302"/>
      <c r="W18" s="302"/>
      <c r="X18" s="302"/>
      <c r="Y18" s="302"/>
      <c r="Z18" s="302"/>
      <c r="AA18" s="302"/>
      <c r="AB18" s="302"/>
      <c r="AC18" s="302"/>
      <c r="AD18" s="302"/>
      <c r="AE18" s="302"/>
      <c r="AF18" s="302"/>
      <c r="AG18" s="302"/>
      <c r="AH18" s="302"/>
      <c r="AI18" s="302"/>
      <c r="AJ18" s="302"/>
    </row>
    <row r="19" spans="2:36" ht="12.75" customHeight="1" x14ac:dyDescent="0.2">
      <c r="B19" s="158" t="s">
        <v>5</v>
      </c>
      <c r="C19" s="24"/>
      <c r="D19" s="4"/>
      <c r="E19" s="4"/>
      <c r="F19" s="4"/>
      <c r="G19" s="9"/>
      <c r="H19" s="4"/>
      <c r="I19" s="7"/>
      <c r="J19" s="4"/>
      <c r="K19" s="7"/>
      <c r="L19" s="26"/>
      <c r="M19" s="9"/>
      <c r="T19" s="302"/>
      <c r="U19" s="302"/>
      <c r="V19" s="302"/>
      <c r="W19" s="302"/>
      <c r="X19" s="302"/>
      <c r="Y19" s="307"/>
      <c r="Z19" s="303"/>
      <c r="AA19" s="303"/>
      <c r="AB19" s="302"/>
      <c r="AC19" s="302"/>
      <c r="AD19" s="302"/>
      <c r="AE19" s="302"/>
      <c r="AF19" s="302"/>
      <c r="AG19" s="302"/>
      <c r="AH19" s="302"/>
      <c r="AI19" s="302"/>
      <c r="AJ19" s="302"/>
    </row>
    <row r="20" spans="2:36" ht="12.75" customHeight="1" x14ac:dyDescent="0.2">
      <c r="B20" s="158"/>
      <c r="C20" s="24"/>
      <c r="D20" s="643" t="s">
        <v>472</v>
      </c>
      <c r="E20" s="643"/>
      <c r="F20" s="643"/>
      <c r="G20" s="9"/>
      <c r="H20" s="4"/>
      <c r="I20" s="15">
        <v>5</v>
      </c>
      <c r="J20" s="4"/>
      <c r="K20" s="379">
        <f>'Traffic &amp; Accidents'!M85</f>
        <v>0</v>
      </c>
      <c r="L20" s="26"/>
      <c r="M20" s="9"/>
      <c r="T20" s="302"/>
      <c r="U20" s="354"/>
      <c r="V20" s="302"/>
      <c r="W20" s="367"/>
      <c r="X20" s="367"/>
      <c r="Y20" s="352"/>
      <c r="Z20" s="302"/>
      <c r="AA20" s="302"/>
      <c r="AB20" s="302"/>
      <c r="AC20" s="302"/>
      <c r="AD20" s="302"/>
      <c r="AE20" s="362"/>
      <c r="AF20" s="367"/>
      <c r="AG20" s="386"/>
      <c r="AH20" s="302"/>
      <c r="AI20" s="302"/>
      <c r="AJ20" s="302"/>
    </row>
    <row r="21" spans="2:36" ht="12.75" customHeight="1" x14ac:dyDescent="0.2">
      <c r="B21" s="158"/>
      <c r="C21" s="24"/>
      <c r="D21" s="27"/>
      <c r="E21" s="4"/>
      <c r="F21" s="4"/>
      <c r="G21" s="9"/>
      <c r="H21" s="4"/>
      <c r="I21" s="15"/>
      <c r="J21" s="4"/>
      <c r="K21" s="51"/>
      <c r="L21" s="26"/>
      <c r="M21" s="9"/>
      <c r="T21" s="302"/>
      <c r="U21" s="302"/>
      <c r="V21" s="302"/>
      <c r="W21" s="302"/>
      <c r="X21" s="363"/>
      <c r="Y21" s="352"/>
      <c r="Z21" s="352"/>
      <c r="AA21" s="352"/>
      <c r="AB21" s="302"/>
      <c r="AC21" s="302"/>
      <c r="AD21" s="302"/>
      <c r="AE21" s="302"/>
      <c r="AF21" s="302"/>
      <c r="AG21" s="302"/>
      <c r="AH21" s="302"/>
      <c r="AI21" s="302"/>
      <c r="AJ21" s="302"/>
    </row>
    <row r="22" spans="2:36" ht="12.75" customHeight="1" x14ac:dyDescent="0.2">
      <c r="B22" s="158"/>
      <c r="C22" s="24"/>
      <c r="D22" s="27"/>
      <c r="E22" s="4"/>
      <c r="F22" s="4"/>
      <c r="G22" s="9"/>
      <c r="H22" s="4"/>
      <c r="I22" s="15"/>
      <c r="J22" s="4"/>
      <c r="K22" s="51"/>
      <c r="L22" s="26"/>
      <c r="M22" s="9"/>
      <c r="T22" s="302"/>
      <c r="U22" s="354"/>
      <c r="V22" s="302"/>
      <c r="W22" s="364"/>
      <c r="X22" s="364"/>
      <c r="Y22" s="302"/>
      <c r="Z22" s="302"/>
      <c r="AA22" s="302"/>
      <c r="AB22" s="302"/>
      <c r="AC22" s="302"/>
      <c r="AD22" s="363"/>
      <c r="AE22" s="660"/>
      <c r="AF22" s="660"/>
      <c r="AG22" s="302"/>
      <c r="AH22" s="302"/>
      <c r="AI22" s="302"/>
      <c r="AJ22" s="302"/>
    </row>
    <row r="23" spans="2:36" ht="12.75" customHeight="1" x14ac:dyDescent="0.2">
      <c r="B23" s="158"/>
      <c r="C23" s="24"/>
      <c r="D23" s="4"/>
      <c r="E23" s="4"/>
      <c r="F23" s="4"/>
      <c r="G23" s="9"/>
      <c r="H23" s="4"/>
      <c r="I23" s="15"/>
      <c r="J23" s="4"/>
      <c r="K23" s="51"/>
      <c r="L23" s="26"/>
      <c r="M23" s="9"/>
      <c r="T23" s="302"/>
      <c r="U23" s="302"/>
      <c r="V23" s="301"/>
      <c r="W23" s="302"/>
      <c r="X23" s="302"/>
      <c r="Y23" s="352"/>
      <c r="Z23" s="302"/>
      <c r="AA23" s="302"/>
      <c r="AB23" s="302"/>
      <c r="AC23" s="302"/>
      <c r="AD23" s="367"/>
      <c r="AE23" s="310"/>
      <c r="AF23" s="367"/>
      <c r="AG23" s="302"/>
      <c r="AH23" s="302"/>
      <c r="AI23" s="302"/>
      <c r="AJ23" s="302"/>
    </row>
    <row r="24" spans="2:36" ht="12.75" customHeight="1" x14ac:dyDescent="0.2">
      <c r="B24" s="158"/>
      <c r="C24" s="24"/>
      <c r="D24" s="643" t="s">
        <v>16</v>
      </c>
      <c r="E24" s="643"/>
      <c r="F24" s="643"/>
      <c r="G24" s="9"/>
      <c r="H24" s="4"/>
      <c r="I24" s="15">
        <v>20</v>
      </c>
      <c r="J24" s="4"/>
      <c r="K24" s="52">
        <f>IF('Traffic &amp; Accidents'!H18&lt;&gt;"",20,0)</f>
        <v>0</v>
      </c>
      <c r="L24" s="26"/>
      <c r="M24" s="9"/>
      <c r="T24" s="302"/>
      <c r="U24" s="302"/>
      <c r="V24" s="365"/>
      <c r="W24" s="366"/>
      <c r="X24" s="352"/>
      <c r="Y24" s="352"/>
      <c r="Z24" s="662"/>
      <c r="AA24" s="662"/>
      <c r="AB24" s="662"/>
      <c r="AC24" s="367"/>
      <c r="AD24" s="367"/>
      <c r="AE24" s="310"/>
      <c r="AF24" s="367"/>
      <c r="AG24" s="302"/>
      <c r="AH24" s="302"/>
      <c r="AI24" s="302"/>
      <c r="AJ24" s="302"/>
    </row>
    <row r="25" spans="2:36" ht="12.75" customHeight="1" x14ac:dyDescent="0.2">
      <c r="B25" s="158"/>
      <c r="C25" s="24"/>
      <c r="D25" s="27"/>
      <c r="E25" s="4"/>
      <c r="F25" s="4"/>
      <c r="G25" s="9"/>
      <c r="H25" s="4"/>
      <c r="I25" s="15"/>
      <c r="J25" s="4"/>
      <c r="K25" s="52"/>
      <c r="L25" s="26"/>
      <c r="M25" s="9"/>
      <c r="T25" s="302"/>
      <c r="U25" s="302"/>
      <c r="V25" s="302"/>
      <c r="W25" s="386"/>
      <c r="X25" s="352"/>
      <c r="Y25" s="368"/>
      <c r="Z25" s="352"/>
      <c r="AA25" s="352"/>
      <c r="AB25" s="369"/>
      <c r="AC25" s="369"/>
      <c r="AD25" s="302"/>
      <c r="AE25" s="302"/>
      <c r="AF25" s="302"/>
      <c r="AG25" s="302"/>
      <c r="AH25" s="302"/>
      <c r="AI25" s="302"/>
      <c r="AJ25" s="302"/>
    </row>
    <row r="26" spans="2:36" ht="12.75" customHeight="1" x14ac:dyDescent="0.2">
      <c r="B26" s="158"/>
      <c r="C26" s="24"/>
      <c r="D26" s="27"/>
      <c r="E26" s="4"/>
      <c r="F26" s="4"/>
      <c r="G26" s="9"/>
      <c r="H26" s="4"/>
      <c r="I26" s="15"/>
      <c r="J26" s="4"/>
      <c r="K26" s="52"/>
      <c r="L26" s="26"/>
      <c r="M26" s="9"/>
      <c r="T26" s="302"/>
      <c r="U26" s="302"/>
      <c r="V26" s="302"/>
      <c r="W26" s="302"/>
      <c r="X26" s="352"/>
      <c r="Y26" s="369"/>
      <c r="Z26" s="352"/>
      <c r="AA26" s="352"/>
      <c r="AB26" s="369"/>
      <c r="AC26" s="369"/>
      <c r="AD26" s="302"/>
      <c r="AE26" s="302"/>
      <c r="AF26" s="302"/>
      <c r="AG26" s="302"/>
      <c r="AH26" s="302"/>
      <c r="AI26" s="302"/>
      <c r="AJ26" s="302"/>
    </row>
    <row r="27" spans="2:36" ht="12.75" customHeight="1" x14ac:dyDescent="0.2">
      <c r="B27" s="158" t="s">
        <v>5</v>
      </c>
      <c r="C27" s="24"/>
      <c r="D27" s="27"/>
      <c r="E27" s="4"/>
      <c r="F27" s="4"/>
      <c r="G27" s="9"/>
      <c r="H27" s="4"/>
      <c r="I27" s="15"/>
      <c r="J27" s="4"/>
      <c r="K27" s="30"/>
      <c r="L27" s="26"/>
      <c r="M27" s="9"/>
      <c r="T27" s="302"/>
      <c r="U27" s="302"/>
      <c r="V27" s="365"/>
      <c r="W27" s="366"/>
      <c r="X27" s="302"/>
      <c r="Y27" s="302"/>
      <c r="Z27" s="302"/>
      <c r="AA27" s="302"/>
      <c r="AB27" s="302"/>
      <c r="AC27" s="302"/>
      <c r="AD27" s="387"/>
      <c r="AE27" s="341"/>
      <c r="AF27" s="305"/>
      <c r="AG27" s="302"/>
      <c r="AH27" s="302"/>
      <c r="AI27" s="302"/>
      <c r="AJ27" s="302"/>
    </row>
    <row r="28" spans="2:36" ht="12.75" customHeight="1" x14ac:dyDescent="0.2">
      <c r="B28" s="158" t="s">
        <v>5</v>
      </c>
      <c r="C28" s="24"/>
      <c r="D28" s="642" t="s">
        <v>256</v>
      </c>
      <c r="E28" s="642"/>
      <c r="F28" s="642"/>
      <c r="G28" s="642"/>
      <c r="H28" s="158"/>
      <c r="I28" s="31" t="s">
        <v>11</v>
      </c>
      <c r="J28" s="4"/>
      <c r="K28" s="31" t="s">
        <v>10</v>
      </c>
      <c r="L28" s="32"/>
      <c r="M28" s="9"/>
      <c r="T28" s="302"/>
      <c r="U28" s="302"/>
      <c r="V28" s="367"/>
      <c r="W28" s="304"/>
      <c r="X28" s="304"/>
      <c r="Y28" s="302"/>
      <c r="Z28" s="661"/>
      <c r="AA28" s="661"/>
      <c r="AB28" s="661"/>
      <c r="AC28" s="302"/>
      <c r="AD28" s="302"/>
      <c r="AE28" s="362"/>
      <c r="AF28" s="302"/>
      <c r="AG28" s="302"/>
      <c r="AH28" s="302"/>
      <c r="AI28" s="302"/>
      <c r="AJ28" s="302"/>
    </row>
    <row r="29" spans="2:36" ht="12.75" customHeight="1" x14ac:dyDescent="0.2">
      <c r="B29" s="158" t="s">
        <v>5</v>
      </c>
      <c r="C29" s="24"/>
      <c r="D29" s="158"/>
      <c r="E29" s="158" t="s">
        <v>12</v>
      </c>
      <c r="F29" s="158"/>
      <c r="G29" s="9"/>
      <c r="H29" s="33">
        <v>10</v>
      </c>
      <c r="I29" s="656">
        <f>IF(Structure!H10&lt;&gt;0,0,IF(Structure!D10&gt;45,45,Structure!D10))</f>
        <v>0</v>
      </c>
      <c r="J29" s="33">
        <v>8</v>
      </c>
      <c r="K29" s="640">
        <f>IF(Structure!D10&lt;&gt;0,0,Structure!H10)</f>
        <v>0</v>
      </c>
      <c r="L29" s="655" t="s">
        <v>260</v>
      </c>
      <c r="M29" s="9"/>
      <c r="N29" s="265">
        <f>IF(Structure!H10&gt;18,18,Structure!H10)</f>
        <v>0</v>
      </c>
      <c r="T29" s="302"/>
      <c r="U29" s="302"/>
      <c r="V29" s="306"/>
      <c r="W29" s="300"/>
      <c r="X29" s="305"/>
      <c r="Y29" s="370"/>
      <c r="Z29" s="370"/>
      <c r="AA29" s="370"/>
      <c r="AB29" s="302"/>
      <c r="AC29" s="302"/>
      <c r="AD29" s="302"/>
      <c r="AE29" s="304"/>
      <c r="AF29" s="304"/>
      <c r="AG29" s="304"/>
      <c r="AH29" s="302"/>
      <c r="AI29" s="302"/>
      <c r="AJ29" s="302"/>
    </row>
    <row r="30" spans="2:36" ht="12.75" customHeight="1" x14ac:dyDescent="0.2">
      <c r="B30" s="158" t="s">
        <v>5</v>
      </c>
      <c r="C30" s="24"/>
      <c r="D30" s="158"/>
      <c r="E30" s="158" t="s">
        <v>13</v>
      </c>
      <c r="F30" s="158"/>
      <c r="G30" s="9"/>
      <c r="H30" s="35">
        <v>15</v>
      </c>
      <c r="I30" s="657"/>
      <c r="J30" s="33">
        <v>10</v>
      </c>
      <c r="K30" s="641"/>
      <c r="L30" s="655"/>
      <c r="M30" s="9"/>
      <c r="N30" s="265"/>
      <c r="T30" s="302"/>
      <c r="U30" s="302"/>
      <c r="V30" s="306"/>
      <c r="W30" s="300"/>
      <c r="X30" s="305"/>
      <c r="Y30" s="303"/>
      <c r="Z30" s="370"/>
      <c r="AA30" s="370"/>
      <c r="AB30" s="302"/>
      <c r="AC30" s="302"/>
      <c r="AD30" s="302"/>
      <c r="AE30" s="308"/>
      <c r="AF30" s="305"/>
      <c r="AG30" s="357"/>
      <c r="AH30" s="306"/>
      <c r="AI30" s="306"/>
      <c r="AJ30" s="306"/>
    </row>
    <row r="31" spans="2:36" ht="12.75" customHeight="1" x14ac:dyDescent="0.2">
      <c r="B31" s="158"/>
      <c r="C31" s="24"/>
      <c r="D31" s="158"/>
      <c r="E31" s="158" t="s">
        <v>257</v>
      </c>
      <c r="F31" s="158"/>
      <c r="G31" s="9"/>
      <c r="H31" s="36">
        <v>20</v>
      </c>
      <c r="I31" s="658"/>
      <c r="J31" s="33">
        <v>15</v>
      </c>
      <c r="K31" s="55">
        <f>IF(Structure!D10&lt;&gt;0,0,IF(Structure!H10&lt;&gt;0,Structure!C25,0))</f>
        <v>0</v>
      </c>
      <c r="L31" s="32" t="s">
        <v>261</v>
      </c>
      <c r="M31" s="9"/>
      <c r="N31" s="265">
        <f>Structure!C25</f>
        <v>0</v>
      </c>
      <c r="T31" s="302"/>
      <c r="U31" s="302"/>
      <c r="V31" s="306"/>
      <c r="W31" s="300"/>
      <c r="X31" s="388"/>
      <c r="Y31" s="303"/>
      <c r="Z31" s="370"/>
      <c r="AA31" s="370"/>
      <c r="AB31" s="302"/>
      <c r="AC31" s="302"/>
      <c r="AD31" s="302"/>
      <c r="AE31" s="308"/>
      <c r="AF31" s="305"/>
      <c r="AG31" s="357"/>
      <c r="AH31" s="306"/>
      <c r="AI31" s="306"/>
      <c r="AJ31" s="306"/>
    </row>
    <row r="32" spans="2:36" ht="12.75" customHeight="1" x14ac:dyDescent="0.2">
      <c r="B32" s="158" t="s">
        <v>5</v>
      </c>
      <c r="C32" s="24"/>
      <c r="D32" s="158"/>
      <c r="E32" s="158" t="s">
        <v>389</v>
      </c>
      <c r="F32" s="158"/>
      <c r="G32" s="9"/>
      <c r="H32" s="36"/>
      <c r="I32" s="14"/>
      <c r="J32" s="33">
        <v>2</v>
      </c>
      <c r="K32" s="55">
        <f>IF(Structure!D10&lt;&gt;0,0,IF(AND(Structure!H10&lt;&gt;"",'Traffic &amp; Accidents'!G13=7),2,0))</f>
        <v>0</v>
      </c>
      <c r="L32" s="28" t="s">
        <v>263</v>
      </c>
      <c r="M32" s="9"/>
      <c r="N32" s="265" t="str">
        <f>IF('Traffic &amp; Accidents'!G13=7,2,"")</f>
        <v/>
      </c>
      <c r="T32" s="302"/>
      <c r="U32" s="302"/>
      <c r="V32" s="306"/>
      <c r="W32" s="300"/>
      <c r="X32" s="305"/>
      <c r="Y32" s="303"/>
      <c r="Z32" s="370"/>
      <c r="AA32" s="370"/>
      <c r="AB32" s="302"/>
      <c r="AC32" s="302"/>
      <c r="AD32" s="302"/>
      <c r="AE32" s="308"/>
      <c r="AF32" s="388"/>
      <c r="AG32" s="357"/>
      <c r="AH32" s="306"/>
      <c r="AI32" s="306"/>
      <c r="AJ32" s="306"/>
    </row>
    <row r="33" spans="2:36" ht="12.75" customHeight="1" x14ac:dyDescent="0.2">
      <c r="B33" s="158" t="s">
        <v>5</v>
      </c>
      <c r="C33" s="24"/>
      <c r="D33" s="158"/>
      <c r="E33" s="158" t="s">
        <v>258</v>
      </c>
      <c r="F33" s="158"/>
      <c r="G33" s="9"/>
      <c r="H33" s="4"/>
      <c r="I33" s="4"/>
      <c r="J33" s="33">
        <v>10</v>
      </c>
      <c r="K33" s="55">
        <f>IF(Structure!D10&lt;&gt;0,0,IF(Structure!H10&lt;&gt;0,Structure!K25,0))</f>
        <v>0</v>
      </c>
      <c r="L33" s="28" t="s">
        <v>262</v>
      </c>
      <c r="M33" s="9"/>
      <c r="N33" s="160">
        <f>Structure!K25</f>
        <v>0</v>
      </c>
      <c r="T33" s="302"/>
      <c r="U33" s="302"/>
      <c r="V33" s="306"/>
      <c r="W33" s="300"/>
      <c r="X33" s="305"/>
      <c r="Y33" s="303"/>
      <c r="Z33" s="370"/>
      <c r="AA33" s="370"/>
      <c r="AB33" s="302"/>
      <c r="AC33" s="302"/>
      <c r="AD33" s="302"/>
      <c r="AE33" s="308"/>
      <c r="AF33" s="305"/>
      <c r="AG33" s="357"/>
      <c r="AH33" s="306"/>
      <c r="AI33" s="306"/>
      <c r="AJ33" s="306"/>
    </row>
    <row r="34" spans="2:36" ht="12.75" customHeight="1" x14ac:dyDescent="0.2">
      <c r="B34" s="158" t="s">
        <v>5</v>
      </c>
      <c r="C34" s="24"/>
      <c r="D34" s="158"/>
      <c r="E34" s="158"/>
      <c r="F34" s="158"/>
      <c r="G34" s="9"/>
      <c r="H34" s="9"/>
      <c r="I34" s="37" t="str">
        <f>IF(Structure!D11=0,"",I29)</f>
        <v/>
      </c>
      <c r="J34" s="9"/>
      <c r="K34" s="30" t="str">
        <f>IF(SUM(K29:K33)=0,"",SUM(K29:K33))</f>
        <v/>
      </c>
      <c r="L34" s="32"/>
      <c r="M34" s="9"/>
      <c r="T34" s="302"/>
      <c r="U34" s="302"/>
      <c r="V34" s="306"/>
      <c r="W34" s="300"/>
      <c r="X34" s="302"/>
      <c r="Y34" s="303"/>
      <c r="Z34" s="302"/>
      <c r="AA34" s="302"/>
      <c r="AB34" s="302"/>
      <c r="AC34" s="302"/>
      <c r="AD34" s="302"/>
      <c r="AE34" s="302"/>
      <c r="AF34" s="302"/>
      <c r="AG34" s="300"/>
      <c r="AH34" s="306"/>
      <c r="AI34" s="306"/>
      <c r="AJ34" s="306"/>
    </row>
    <row r="35" spans="2:36" ht="12.75" customHeight="1" x14ac:dyDescent="0.2">
      <c r="B35" s="158"/>
      <c r="C35" s="24"/>
      <c r="D35" s="4"/>
      <c r="E35" s="4"/>
      <c r="F35" s="4" t="s">
        <v>9</v>
      </c>
      <c r="G35" s="9"/>
      <c r="H35" s="38"/>
      <c r="I35" s="39">
        <v>45</v>
      </c>
      <c r="J35" s="38"/>
      <c r="K35" s="54" t="str">
        <f>K34</f>
        <v/>
      </c>
      <c r="L35" s="28"/>
      <c r="M35" s="9"/>
      <c r="T35" s="302"/>
      <c r="U35" s="302"/>
      <c r="V35" s="306"/>
      <c r="W35" s="300"/>
      <c r="X35" s="302"/>
      <c r="Y35" s="303"/>
      <c r="Z35" s="302"/>
      <c r="AA35" s="302"/>
      <c r="AB35" s="302"/>
      <c r="AC35" s="302"/>
      <c r="AD35" s="302"/>
      <c r="AE35" s="302"/>
      <c r="AF35" s="302"/>
      <c r="AG35" s="302"/>
      <c r="AH35" s="302"/>
      <c r="AI35" s="302"/>
      <c r="AJ35" s="302"/>
    </row>
    <row r="36" spans="2:36" ht="12.75" customHeight="1" x14ac:dyDescent="0.2">
      <c r="B36" s="158" t="s">
        <v>5</v>
      </c>
      <c r="C36" s="24"/>
      <c r="D36" s="4"/>
      <c r="E36" s="4"/>
      <c r="F36" s="4"/>
      <c r="G36" s="9"/>
      <c r="H36" s="38"/>
      <c r="I36" s="10" t="s">
        <v>271</v>
      </c>
      <c r="J36" s="38"/>
      <c r="K36" s="297" t="s">
        <v>272</v>
      </c>
      <c r="L36" s="28"/>
      <c r="M36" s="9"/>
      <c r="T36" s="302"/>
      <c r="U36" s="302"/>
      <c r="V36" s="302"/>
      <c r="W36" s="302"/>
      <c r="X36" s="302"/>
      <c r="Y36" s="302"/>
      <c r="Z36" s="302"/>
      <c r="AA36" s="302"/>
      <c r="AB36" s="302"/>
      <c r="AC36" s="302"/>
      <c r="AD36" s="302"/>
      <c r="AE36" s="302"/>
      <c r="AF36" s="302"/>
      <c r="AG36" s="302"/>
      <c r="AH36" s="302"/>
      <c r="AI36" s="302"/>
      <c r="AJ36" s="302"/>
    </row>
    <row r="37" spans="2:36" ht="12.75" customHeight="1" x14ac:dyDescent="0.2">
      <c r="B37" s="158"/>
      <c r="C37" s="24"/>
      <c r="D37" s="4"/>
      <c r="E37" s="4"/>
      <c r="F37" s="4"/>
      <c r="G37" s="9"/>
      <c r="H37" s="38"/>
      <c r="I37" s="10"/>
      <c r="J37" s="38"/>
      <c r="K37" s="297"/>
      <c r="L37" s="28"/>
      <c r="M37" s="9"/>
      <c r="N37" s="161"/>
      <c r="O37" s="162"/>
      <c r="P37" s="163"/>
      <c r="T37" s="302"/>
      <c r="U37" s="302"/>
      <c r="V37" s="302"/>
      <c r="W37" s="302"/>
      <c r="X37" s="302"/>
      <c r="Y37" s="302"/>
      <c r="Z37" s="302"/>
      <c r="AA37" s="302"/>
      <c r="AB37" s="302"/>
      <c r="AC37" s="302"/>
      <c r="AD37" s="302"/>
      <c r="AE37" s="302"/>
      <c r="AF37" s="302"/>
      <c r="AG37" s="302"/>
      <c r="AH37" s="302"/>
      <c r="AI37" s="302"/>
      <c r="AJ37" s="302"/>
    </row>
    <row r="38" spans="2:36" x14ac:dyDescent="0.2">
      <c r="B38" s="158"/>
      <c r="C38" s="24"/>
      <c r="D38" s="4" t="s">
        <v>15</v>
      </c>
      <c r="E38" s="4"/>
      <c r="F38" s="4"/>
      <c r="G38" s="9"/>
      <c r="H38" s="4"/>
      <c r="I38" s="7"/>
      <c r="J38" s="4"/>
      <c r="K38" s="7"/>
      <c r="L38" s="26"/>
      <c r="M38" s="9"/>
      <c r="N38" s="164"/>
      <c r="O38" s="165" t="s">
        <v>282</v>
      </c>
      <c r="P38" s="166"/>
      <c r="T38" s="302"/>
      <c r="U38" s="302"/>
      <c r="V38" s="302"/>
      <c r="W38" s="302"/>
      <c r="X38" s="302"/>
      <c r="Y38" s="302"/>
      <c r="Z38" s="302"/>
      <c r="AA38" s="302"/>
      <c r="AB38" s="302"/>
      <c r="AC38" s="302"/>
      <c r="AD38" s="302"/>
      <c r="AE38" s="302"/>
      <c r="AF38" s="302"/>
      <c r="AG38" s="302"/>
      <c r="AH38" s="302"/>
      <c r="AI38" s="302"/>
      <c r="AJ38" s="302"/>
    </row>
    <row r="39" spans="2:36" x14ac:dyDescent="0.2">
      <c r="B39" s="158"/>
      <c r="C39" s="24"/>
      <c r="D39" s="643" t="s">
        <v>17</v>
      </c>
      <c r="E39" s="643"/>
      <c r="F39" s="643"/>
      <c r="G39" s="9"/>
      <c r="H39" s="4"/>
      <c r="I39" s="4"/>
      <c r="J39" s="4"/>
      <c r="K39" s="7"/>
      <c r="L39" s="26"/>
      <c r="M39" s="9"/>
      <c r="N39" s="164"/>
      <c r="O39" s="165"/>
      <c r="P39" s="166"/>
    </row>
    <row r="40" spans="2:36" x14ac:dyDescent="0.2">
      <c r="B40" s="158"/>
      <c r="C40" s="24"/>
      <c r="D40" s="4"/>
      <c r="E40" s="4" t="s">
        <v>18</v>
      </c>
      <c r="F40" s="4"/>
      <c r="G40" s="9"/>
      <c r="H40" s="4"/>
      <c r="I40" s="7">
        <v>10</v>
      </c>
      <c r="J40" s="16" t="str">
        <f>IF(Geometry!M6&lt;Geometry!O6,"Reduced","")</f>
        <v/>
      </c>
      <c r="K40" s="53">
        <f>IF(N40&lt;0,0,N40)</f>
        <v>0</v>
      </c>
      <c r="L40" s="28"/>
      <c r="M40" s="9"/>
      <c r="N40" s="167">
        <f>IF(Geometry!M6&lt;Geometry!O6,O40,Geometry!F61)</f>
        <v>0</v>
      </c>
      <c r="O40" s="168" t="e">
        <f>Geometry!F61*((Geometry!M6-Geometry!L6)/(Geometry!O6-Geometry!L6))</f>
        <v>#VALUE!</v>
      </c>
      <c r="P40" s="166"/>
    </row>
    <row r="41" spans="2:36" x14ac:dyDescent="0.2">
      <c r="B41" s="158"/>
      <c r="C41" s="24"/>
      <c r="D41" s="4"/>
      <c r="E41" s="4" t="s">
        <v>19</v>
      </c>
      <c r="F41" s="4"/>
      <c r="G41" s="9"/>
      <c r="H41" s="4"/>
      <c r="I41" s="7">
        <v>10</v>
      </c>
      <c r="J41" s="16" t="str">
        <f>IF(Geometry!M7&lt;Geometry!O7,"Reduced","")</f>
        <v/>
      </c>
      <c r="K41" s="53">
        <f>N41</f>
        <v>0</v>
      </c>
      <c r="L41" s="28"/>
      <c r="M41" s="9"/>
      <c r="N41" s="169">
        <f>IF(Geometry!M7&lt;Geometry!O7,O41,Geometry!L61)</f>
        <v>0</v>
      </c>
      <c r="O41" s="170" t="e">
        <f>Geometry!L61*((Geometry!M7-Geometry!L7)/(Geometry!O7-Geometry!L7))</f>
        <v>#VALUE!</v>
      </c>
      <c r="P41" s="166"/>
    </row>
    <row r="42" spans="2:36" ht="12.75" customHeight="1" x14ac:dyDescent="0.2">
      <c r="B42" s="158" t="s">
        <v>5</v>
      </c>
      <c r="C42" s="24"/>
      <c r="D42" s="4"/>
      <c r="E42" s="4" t="s">
        <v>20</v>
      </c>
      <c r="F42" s="4"/>
      <c r="G42" s="9"/>
      <c r="H42" s="4"/>
      <c r="I42" s="7">
        <v>5</v>
      </c>
      <c r="J42" s="16" t="str">
        <f>IF(Geometry!H31&lt;1,"Reduced","")</f>
        <v>Reduced</v>
      </c>
      <c r="K42" s="53">
        <f>IF(SUM(Geometry!H17:H30)=0,0,Geometry!F13)</f>
        <v>0</v>
      </c>
      <c r="L42" s="26"/>
      <c r="M42" s="9"/>
      <c r="N42" s="171"/>
      <c r="O42" s="172"/>
      <c r="P42" s="173"/>
    </row>
    <row r="43" spans="2:36" x14ac:dyDescent="0.2">
      <c r="B43" s="158"/>
      <c r="C43" s="24"/>
      <c r="D43" s="4"/>
      <c r="E43" s="4" t="s">
        <v>21</v>
      </c>
      <c r="F43" s="4"/>
      <c r="G43" s="9"/>
      <c r="H43" s="4"/>
      <c r="I43" s="29">
        <v>5</v>
      </c>
      <c r="J43" s="16" t="str">
        <f>IF(Geometry!P31&lt;1,"Reduced","")</f>
        <v>Reduced</v>
      </c>
      <c r="K43" s="72">
        <f>IF(SUM(Geometry!P17:P30)=0,0,Geometry!N13)</f>
        <v>0</v>
      </c>
      <c r="L43" s="26"/>
      <c r="M43" s="9"/>
      <c r="N43" s="174"/>
      <c r="O43" s="174"/>
    </row>
    <row r="44" spans="2:36" x14ac:dyDescent="0.2">
      <c r="B44" s="158"/>
      <c r="C44" s="24"/>
      <c r="D44" s="4"/>
      <c r="E44" s="4"/>
      <c r="F44" s="4"/>
      <c r="G44" s="9"/>
      <c r="H44" s="4" t="s">
        <v>9</v>
      </c>
      <c r="I44" s="15">
        <v>30</v>
      </c>
      <c r="J44" s="4"/>
      <c r="K44" s="50">
        <f>SUM(K40:K43)</f>
        <v>0</v>
      </c>
      <c r="L44" s="26"/>
      <c r="M44" s="9"/>
    </row>
    <row r="45" spans="2:36" ht="12.75" customHeight="1" x14ac:dyDescent="0.2">
      <c r="B45" s="158"/>
      <c r="C45" s="24"/>
      <c r="D45" s="4"/>
      <c r="E45" s="4"/>
      <c r="F45" s="4"/>
      <c r="G45" s="9"/>
      <c r="H45" s="4"/>
      <c r="I45" s="7"/>
      <c r="J45" s="4"/>
      <c r="K45" s="7"/>
      <c r="L45" s="26"/>
      <c r="M45" s="9"/>
    </row>
    <row r="46" spans="2:36" ht="12.75" customHeight="1" x14ac:dyDescent="0.2">
      <c r="B46" s="9"/>
      <c r="C46" s="24"/>
      <c r="D46" s="4"/>
      <c r="E46" s="4"/>
      <c r="F46" s="4"/>
      <c r="G46" s="9"/>
      <c r="H46" s="4"/>
      <c r="I46" s="7"/>
      <c r="J46" s="4"/>
      <c r="K46" s="7"/>
      <c r="L46" s="26"/>
      <c r="M46" s="9"/>
    </row>
    <row r="47" spans="2:36" ht="12.75" customHeight="1" x14ac:dyDescent="0.2">
      <c r="B47" s="9"/>
      <c r="C47" s="24"/>
      <c r="D47" s="107" t="s">
        <v>22</v>
      </c>
      <c r="E47" s="158"/>
      <c r="F47" s="158"/>
      <c r="G47" s="75"/>
      <c r="H47" s="158"/>
      <c r="I47" s="313">
        <v>122</v>
      </c>
      <c r="J47" s="314"/>
      <c r="K47" s="315">
        <f>SUM(K16,K20,I34,K35,K24,K44)</f>
        <v>0</v>
      </c>
      <c r="L47" s="26"/>
      <c r="M47" s="9"/>
    </row>
    <row r="48" spans="2:36" ht="12.75" customHeight="1" x14ac:dyDescent="0.2">
      <c r="B48" s="9"/>
      <c r="C48" s="24"/>
      <c r="D48" s="107"/>
      <c r="E48" s="158"/>
      <c r="F48" s="158"/>
      <c r="G48" s="75"/>
      <c r="H48" s="158"/>
      <c r="I48" s="313"/>
      <c r="J48" s="314"/>
      <c r="K48" s="315"/>
      <c r="L48" s="26"/>
      <c r="M48" s="9"/>
    </row>
    <row r="49" spans="2:13" ht="12.75" customHeight="1" x14ac:dyDescent="0.2">
      <c r="B49" s="9"/>
      <c r="C49" s="41"/>
      <c r="D49" s="42"/>
      <c r="E49" s="43"/>
      <c r="F49" s="43"/>
      <c r="G49" s="44"/>
      <c r="H49" s="43"/>
      <c r="I49" s="45"/>
      <c r="J49" s="46"/>
      <c r="K49" s="47"/>
      <c r="L49" s="48"/>
      <c r="M49" s="9"/>
    </row>
    <row r="50" spans="2:13" ht="12.75" customHeight="1" x14ac:dyDescent="0.2">
      <c r="B50" s="9"/>
      <c r="C50" s="9"/>
      <c r="D50" s="9"/>
      <c r="E50" s="4"/>
      <c r="F50" s="4"/>
      <c r="G50" s="4"/>
      <c r="H50" s="4"/>
      <c r="I50" s="4"/>
      <c r="J50" s="4"/>
      <c r="K50" s="9"/>
      <c r="L50" s="9"/>
      <c r="M50" s="9"/>
    </row>
    <row r="51" spans="2:13" ht="12.75" customHeight="1" x14ac:dyDescent="0.2">
      <c r="B51" s="9"/>
      <c r="C51" s="12" t="s">
        <v>23</v>
      </c>
      <c r="D51" s="4" t="s">
        <v>205</v>
      </c>
      <c r="E51" s="4"/>
      <c r="F51" s="4"/>
      <c r="G51" s="4"/>
      <c r="H51" s="4"/>
      <c r="I51" s="4"/>
      <c r="J51" s="4"/>
      <c r="K51" s="9"/>
      <c r="L51" s="9"/>
      <c r="M51" s="9"/>
    </row>
    <row r="52" spans="2:13" ht="12.75" customHeight="1" x14ac:dyDescent="0.2">
      <c r="B52" s="9"/>
      <c r="C52" s="4"/>
      <c r="D52" s="4" t="s">
        <v>206</v>
      </c>
      <c r="E52" s="4"/>
      <c r="F52" s="4"/>
      <c r="G52" s="4"/>
      <c r="H52" s="4"/>
      <c r="I52" s="4"/>
      <c r="J52" s="4"/>
      <c r="K52" s="9"/>
      <c r="L52" s="9"/>
      <c r="M52" s="9"/>
    </row>
    <row r="53" spans="2:13" ht="12.75" customHeight="1" x14ac:dyDescent="0.2">
      <c r="B53" s="13"/>
      <c r="C53" s="4"/>
      <c r="D53" s="6" t="s">
        <v>24</v>
      </c>
      <c r="E53" s="4"/>
      <c r="F53" s="4"/>
      <c r="G53" s="4"/>
      <c r="H53" s="4"/>
      <c r="I53" s="4"/>
      <c r="J53" s="4"/>
      <c r="K53" s="9"/>
      <c r="L53" s="9"/>
      <c r="M53" s="9"/>
    </row>
    <row r="54" spans="2:13" ht="12.75" customHeight="1" x14ac:dyDescent="0.2"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</row>
    <row r="55" spans="2:13" ht="12.75" customHeight="1" x14ac:dyDescent="0.2"/>
    <row r="56" spans="2:13" ht="12.75" customHeight="1" x14ac:dyDescent="0.2"/>
    <row r="57" spans="2:13" ht="12.75" customHeight="1" x14ac:dyDescent="0.2"/>
    <row r="58" spans="2:13" ht="12.75" customHeight="1" x14ac:dyDescent="0.2"/>
    <row r="59" spans="2:13" ht="12.75" customHeight="1" x14ac:dyDescent="0.2"/>
    <row r="60" spans="2:13" ht="12.75" customHeight="1" x14ac:dyDescent="0.2"/>
    <row r="61" spans="2:13" ht="12.75" customHeight="1" x14ac:dyDescent="0.2"/>
    <row r="62" spans="2:13" ht="12.75" customHeight="1" x14ac:dyDescent="0.2"/>
    <row r="63" spans="2:13" ht="12.75" customHeight="1" x14ac:dyDescent="0.2"/>
    <row r="65" spans="21:35" ht="12.75" customHeight="1" x14ac:dyDescent="0.2">
      <c r="U65" s="302"/>
      <c r="V65" s="302"/>
      <c r="W65" s="302"/>
      <c r="X65" s="302"/>
      <c r="Y65" s="302"/>
      <c r="Z65" s="302"/>
      <c r="AA65" s="302"/>
      <c r="AB65" s="302"/>
      <c r="AC65" s="302"/>
      <c r="AD65" s="302"/>
      <c r="AE65" s="302"/>
      <c r="AF65" s="302"/>
      <c r="AG65" s="302"/>
      <c r="AH65" s="302"/>
      <c r="AI65" s="302"/>
    </row>
    <row r="66" spans="21:35" x14ac:dyDescent="0.2">
      <c r="U66" s="302"/>
      <c r="V66" s="341"/>
      <c r="W66" s="302"/>
      <c r="X66" s="302"/>
      <c r="Y66" s="302"/>
      <c r="Z66" s="302"/>
      <c r="AA66" s="302"/>
      <c r="AB66" s="302"/>
      <c r="AC66" s="302"/>
      <c r="AD66" s="302"/>
      <c r="AE66" s="302"/>
      <c r="AF66" s="302"/>
      <c r="AG66" s="302"/>
      <c r="AH66" s="302"/>
      <c r="AI66" s="302"/>
    </row>
    <row r="67" spans="21:35" ht="12.75" customHeight="1" x14ac:dyDescent="0.2">
      <c r="U67" s="302"/>
      <c r="V67" s="302"/>
      <c r="W67" s="302"/>
      <c r="X67" s="302"/>
      <c r="Y67" s="302"/>
      <c r="Z67" s="302"/>
      <c r="AA67" s="302"/>
      <c r="AB67" s="302"/>
      <c r="AC67" s="302"/>
      <c r="AD67" s="302"/>
      <c r="AE67" s="302"/>
      <c r="AF67" s="302"/>
      <c r="AG67" s="302"/>
      <c r="AH67" s="302"/>
      <c r="AI67" s="302"/>
    </row>
    <row r="68" spans="21:35" x14ac:dyDescent="0.2">
      <c r="U68" s="302"/>
      <c r="V68" s="302"/>
      <c r="W68" s="302"/>
      <c r="X68" s="302"/>
      <c r="Y68" s="302"/>
      <c r="Z68" s="302"/>
      <c r="AA68" s="302"/>
      <c r="AB68" s="302"/>
      <c r="AC68" s="302"/>
      <c r="AD68" s="302"/>
      <c r="AE68" s="302"/>
      <c r="AF68" s="302"/>
      <c r="AG68" s="302"/>
      <c r="AH68" s="302"/>
      <c r="AI68" s="302"/>
    </row>
    <row r="69" spans="21:35" ht="15.75" x14ac:dyDescent="0.25">
      <c r="U69" s="302"/>
      <c r="V69" s="302"/>
      <c r="W69" s="302"/>
      <c r="X69" s="302"/>
      <c r="Y69" s="342"/>
      <c r="Z69" s="389"/>
      <c r="AA69" s="389"/>
      <c r="AB69" s="659"/>
      <c r="AC69" s="659"/>
      <c r="AD69" s="659"/>
      <c r="AE69" s="659"/>
      <c r="AF69" s="659"/>
      <c r="AG69" s="302"/>
      <c r="AH69" s="302"/>
      <c r="AI69" s="302"/>
    </row>
    <row r="70" spans="21:35" x14ac:dyDescent="0.2">
      <c r="U70" s="302"/>
      <c r="V70" s="302"/>
      <c r="W70" s="302"/>
      <c r="X70" s="302"/>
      <c r="Y70" s="302"/>
      <c r="Z70" s="302"/>
      <c r="AA70" s="302"/>
      <c r="AB70" s="302"/>
      <c r="AC70" s="302"/>
      <c r="AD70" s="302"/>
      <c r="AE70" s="302"/>
      <c r="AF70" s="302"/>
      <c r="AG70" s="302"/>
      <c r="AH70" s="302"/>
      <c r="AI70" s="302"/>
    </row>
    <row r="71" spans="21:35" ht="15.75" x14ac:dyDescent="0.25">
      <c r="U71" s="302"/>
      <c r="V71" s="302"/>
      <c r="W71" s="302"/>
      <c r="X71" s="302"/>
      <c r="Y71" s="342"/>
      <c r="Z71" s="389"/>
      <c r="AA71" s="389"/>
      <c r="AB71" s="659"/>
      <c r="AC71" s="659"/>
      <c r="AD71" s="659"/>
      <c r="AE71" s="659"/>
      <c r="AF71" s="659"/>
      <c r="AG71" s="302"/>
      <c r="AH71" s="302"/>
      <c r="AI71" s="302"/>
    </row>
    <row r="72" spans="21:35" x14ac:dyDescent="0.2">
      <c r="U72" s="302"/>
      <c r="V72" s="302"/>
      <c r="W72" s="302"/>
      <c r="X72" s="302"/>
      <c r="Y72" s="302"/>
      <c r="Z72" s="302"/>
      <c r="AA72" s="302"/>
      <c r="AB72" s="302"/>
      <c r="AC72" s="302"/>
      <c r="AD72" s="302"/>
      <c r="AE72" s="302"/>
      <c r="AF72" s="302"/>
      <c r="AG72" s="302"/>
      <c r="AH72" s="302"/>
      <c r="AI72" s="302"/>
    </row>
    <row r="73" spans="21:35" ht="15.75" x14ac:dyDescent="0.25">
      <c r="U73" s="302"/>
      <c r="V73" s="302"/>
      <c r="W73" s="302"/>
      <c r="X73" s="302"/>
      <c r="Y73" s="342"/>
      <c r="Z73" s="389"/>
      <c r="AA73" s="389"/>
      <c r="AB73" s="659"/>
      <c r="AC73" s="659"/>
      <c r="AD73" s="659"/>
      <c r="AE73" s="659"/>
      <c r="AF73" s="659"/>
      <c r="AG73" s="302"/>
      <c r="AH73" s="302"/>
      <c r="AI73" s="302"/>
    </row>
    <row r="74" spans="21:35" x14ac:dyDescent="0.2">
      <c r="U74" s="302"/>
      <c r="V74" s="302"/>
      <c r="W74" s="302"/>
      <c r="X74" s="302"/>
      <c r="Y74" s="302"/>
      <c r="Z74" s="302"/>
      <c r="AA74" s="302"/>
      <c r="AB74" s="302"/>
      <c r="AC74" s="302"/>
      <c r="AD74" s="302"/>
      <c r="AE74" s="302"/>
      <c r="AF74" s="302"/>
      <c r="AG74" s="302"/>
      <c r="AH74" s="302"/>
      <c r="AI74" s="302"/>
    </row>
    <row r="75" spans="21:35" x14ac:dyDescent="0.2">
      <c r="U75" s="302"/>
      <c r="V75" s="302"/>
      <c r="W75" s="302"/>
      <c r="X75" s="302"/>
      <c r="Y75" s="302"/>
      <c r="Z75" s="302"/>
      <c r="AA75" s="302"/>
      <c r="AB75" s="302"/>
      <c r="AC75" s="302"/>
      <c r="AD75" s="302"/>
      <c r="AE75" s="302"/>
      <c r="AF75" s="302"/>
      <c r="AG75" s="302"/>
      <c r="AH75" s="302"/>
      <c r="AI75" s="302"/>
    </row>
    <row r="76" spans="21:35" x14ac:dyDescent="0.2">
      <c r="U76" s="302"/>
      <c r="V76" s="302"/>
      <c r="W76" s="302"/>
      <c r="X76" s="302"/>
      <c r="Y76" s="342"/>
      <c r="Z76" s="390"/>
      <c r="AA76" s="390"/>
      <c r="AB76" s="302"/>
      <c r="AC76" s="302"/>
      <c r="AD76" s="302"/>
      <c r="AE76" s="302"/>
      <c r="AF76" s="302"/>
      <c r="AG76" s="302"/>
      <c r="AH76" s="302"/>
      <c r="AI76" s="302"/>
    </row>
    <row r="77" spans="21:35" x14ac:dyDescent="0.2">
      <c r="U77" s="302"/>
      <c r="V77" s="302"/>
      <c r="W77" s="302"/>
      <c r="X77" s="302"/>
      <c r="Y77" s="342"/>
      <c r="Z77" s="390"/>
      <c r="AA77" s="390"/>
      <c r="AB77" s="302"/>
      <c r="AC77" s="302"/>
      <c r="AD77" s="302"/>
      <c r="AE77" s="302"/>
      <c r="AF77" s="302"/>
      <c r="AG77" s="302"/>
      <c r="AH77" s="302"/>
      <c r="AI77" s="302"/>
    </row>
    <row r="78" spans="21:35" x14ac:dyDescent="0.2">
      <c r="U78" s="302"/>
      <c r="V78" s="302"/>
      <c r="W78" s="302"/>
      <c r="X78" s="302"/>
      <c r="Y78" s="302"/>
      <c r="Z78" s="302"/>
      <c r="AA78" s="302"/>
      <c r="AB78" s="302"/>
      <c r="AC78" s="302"/>
      <c r="AD78" s="302"/>
      <c r="AE78" s="302"/>
      <c r="AF78" s="302"/>
      <c r="AG78" s="302"/>
      <c r="AH78" s="302"/>
      <c r="AI78" s="302"/>
    </row>
    <row r="79" spans="21:35" x14ac:dyDescent="0.2">
      <c r="U79" s="302"/>
      <c r="V79" s="302"/>
      <c r="W79" s="302"/>
      <c r="X79" s="302"/>
      <c r="Y79" s="302"/>
      <c r="Z79" s="352"/>
      <c r="AA79" s="352"/>
      <c r="AB79" s="659"/>
      <c r="AC79" s="659"/>
      <c r="AD79" s="659"/>
      <c r="AE79" s="659"/>
      <c r="AF79" s="302"/>
      <c r="AG79" s="302"/>
      <c r="AH79" s="302"/>
      <c r="AI79" s="302"/>
    </row>
    <row r="80" spans="21:35" x14ac:dyDescent="0.2">
      <c r="U80" s="302"/>
      <c r="V80" s="302"/>
      <c r="W80" s="302"/>
      <c r="X80" s="302"/>
      <c r="Y80" s="302"/>
      <c r="Z80" s="302"/>
      <c r="AA80" s="302"/>
      <c r="AB80" s="302"/>
      <c r="AC80" s="302"/>
      <c r="AD80" s="302"/>
      <c r="AE80" s="302"/>
      <c r="AF80" s="302"/>
      <c r="AG80" s="302"/>
      <c r="AH80" s="302"/>
      <c r="AI80" s="302"/>
    </row>
    <row r="81" spans="21:35" x14ac:dyDescent="0.2">
      <c r="U81" s="302"/>
      <c r="V81" s="302"/>
      <c r="W81" s="302"/>
      <c r="X81" s="302"/>
      <c r="Y81" s="342"/>
      <c r="Z81" s="352"/>
      <c r="AA81" s="352"/>
      <c r="AB81" s="302"/>
      <c r="AC81" s="302"/>
      <c r="AD81" s="302"/>
      <c r="AE81" s="302"/>
      <c r="AF81" s="302"/>
      <c r="AG81" s="302"/>
      <c r="AH81" s="302"/>
      <c r="AI81" s="302"/>
    </row>
    <row r="82" spans="21:35" x14ac:dyDescent="0.2">
      <c r="U82" s="302"/>
      <c r="V82" s="302"/>
      <c r="W82" s="302"/>
      <c r="X82" s="302"/>
      <c r="Y82" s="302"/>
      <c r="Z82" s="302"/>
      <c r="AA82" s="302"/>
      <c r="AB82" s="302"/>
      <c r="AC82" s="302"/>
      <c r="AD82" s="302"/>
      <c r="AE82" s="302"/>
      <c r="AF82" s="302"/>
      <c r="AG82" s="302"/>
      <c r="AH82" s="302"/>
      <c r="AI82" s="302"/>
    </row>
    <row r="83" spans="21:35" x14ac:dyDescent="0.2">
      <c r="U83" s="302"/>
      <c r="V83" s="302"/>
      <c r="W83" s="302"/>
      <c r="X83" s="302"/>
      <c r="Y83" s="302"/>
      <c r="Z83" s="302"/>
      <c r="AA83" s="302"/>
      <c r="AB83" s="302"/>
      <c r="AC83" s="302"/>
      <c r="AD83" s="302"/>
      <c r="AE83" s="302"/>
      <c r="AF83" s="302"/>
      <c r="AG83" s="302"/>
      <c r="AH83" s="302"/>
      <c r="AI83" s="302"/>
    </row>
    <row r="84" spans="21:35" x14ac:dyDescent="0.2">
      <c r="U84" s="302"/>
      <c r="V84" s="302"/>
      <c r="W84" s="302"/>
      <c r="X84" s="302"/>
      <c r="Y84" s="302"/>
      <c r="Z84" s="302"/>
      <c r="AA84" s="302"/>
      <c r="AB84" s="302"/>
      <c r="AC84" s="302"/>
      <c r="AD84" s="302"/>
      <c r="AE84" s="302"/>
      <c r="AF84" s="302"/>
      <c r="AG84" s="302"/>
      <c r="AH84" s="302"/>
      <c r="AI84" s="302"/>
    </row>
    <row r="85" spans="21:35" x14ac:dyDescent="0.2">
      <c r="U85" s="302"/>
      <c r="V85" s="302"/>
      <c r="W85" s="302"/>
      <c r="X85" s="302"/>
      <c r="Y85" s="302"/>
      <c r="Z85" s="302"/>
      <c r="AA85" s="302"/>
      <c r="AB85" s="302"/>
      <c r="AC85" s="302"/>
      <c r="AD85" s="302"/>
      <c r="AE85" s="302"/>
      <c r="AF85" s="302"/>
      <c r="AG85" s="302"/>
      <c r="AH85" s="302"/>
      <c r="AI85" s="302"/>
    </row>
    <row r="86" spans="21:35" x14ac:dyDescent="0.2">
      <c r="U86" s="302"/>
      <c r="V86" s="302"/>
      <c r="W86" s="302"/>
      <c r="X86" s="367"/>
      <c r="Y86" s="310"/>
      <c r="Z86" s="352"/>
      <c r="AA86" s="352"/>
      <c r="AB86" s="387"/>
      <c r="AC86" s="302"/>
      <c r="AD86" s="302"/>
      <c r="AE86" s="302"/>
      <c r="AF86" s="302"/>
      <c r="AG86" s="302"/>
      <c r="AH86" s="302"/>
      <c r="AI86" s="302"/>
    </row>
    <row r="87" spans="21:35" x14ac:dyDescent="0.2">
      <c r="U87" s="302"/>
      <c r="V87" s="302"/>
      <c r="W87" s="302"/>
      <c r="X87" s="367"/>
      <c r="Y87" s="367"/>
      <c r="Z87" s="343"/>
      <c r="AA87" s="343"/>
      <c r="AB87" s="302"/>
      <c r="AC87" s="302"/>
      <c r="AD87" s="302"/>
      <c r="AE87" s="302"/>
      <c r="AF87" s="302"/>
      <c r="AG87" s="302"/>
      <c r="AH87" s="302"/>
      <c r="AI87" s="302"/>
    </row>
    <row r="88" spans="21:35" x14ac:dyDescent="0.2">
      <c r="U88" s="302"/>
      <c r="V88" s="302"/>
      <c r="W88" s="302"/>
      <c r="X88" s="302"/>
      <c r="Y88" s="302"/>
      <c r="Z88" s="343"/>
      <c r="AA88" s="343"/>
      <c r="AB88" s="302"/>
      <c r="AC88" s="302"/>
      <c r="AD88" s="302"/>
      <c r="AE88" s="302"/>
      <c r="AF88" s="302"/>
      <c r="AG88" s="302"/>
      <c r="AH88" s="302"/>
      <c r="AI88" s="302"/>
    </row>
    <row r="89" spans="21:35" x14ac:dyDescent="0.2">
      <c r="U89" s="302"/>
      <c r="V89" s="302"/>
      <c r="W89" s="367"/>
      <c r="X89" s="302"/>
      <c r="Y89" s="310"/>
      <c r="Z89" s="352"/>
      <c r="AA89" s="352"/>
      <c r="AB89" s="387"/>
      <c r="AC89" s="302"/>
      <c r="AD89" s="302"/>
      <c r="AE89" s="302"/>
      <c r="AF89" s="302"/>
      <c r="AG89" s="302"/>
      <c r="AH89" s="302"/>
      <c r="AI89" s="302"/>
    </row>
    <row r="90" spans="21:35" x14ac:dyDescent="0.2">
      <c r="U90" s="302"/>
      <c r="V90" s="302"/>
      <c r="W90" s="367"/>
      <c r="X90" s="302"/>
      <c r="Y90" s="310"/>
      <c r="Z90" s="352"/>
      <c r="AA90" s="352"/>
      <c r="AB90" s="302"/>
      <c r="AC90" s="302"/>
      <c r="AD90" s="302"/>
      <c r="AE90" s="302"/>
      <c r="AF90" s="302"/>
      <c r="AG90" s="302"/>
      <c r="AH90" s="302"/>
      <c r="AI90" s="302"/>
    </row>
    <row r="91" spans="21:35" x14ac:dyDescent="0.2">
      <c r="U91" s="302"/>
      <c r="V91" s="302"/>
      <c r="W91" s="302"/>
      <c r="X91" s="302"/>
      <c r="Y91" s="302"/>
      <c r="Z91" s="302"/>
      <c r="AA91" s="302"/>
      <c r="AB91" s="302"/>
      <c r="AC91" s="302"/>
      <c r="AD91" s="302"/>
      <c r="AE91" s="302"/>
      <c r="AF91" s="302"/>
      <c r="AG91" s="302"/>
      <c r="AH91" s="302"/>
      <c r="AI91" s="302"/>
    </row>
    <row r="92" spans="21:35" x14ac:dyDescent="0.2">
      <c r="U92" s="302"/>
      <c r="V92" s="367"/>
      <c r="W92" s="302"/>
      <c r="X92" s="302"/>
      <c r="Y92" s="302"/>
      <c r="Z92" s="302"/>
      <c r="AA92" s="302"/>
      <c r="AB92" s="367"/>
      <c r="AC92" s="367"/>
      <c r="AD92" s="302"/>
      <c r="AE92" s="302"/>
      <c r="AF92" s="302"/>
      <c r="AG92" s="302"/>
      <c r="AH92" s="302"/>
      <c r="AI92" s="302"/>
    </row>
    <row r="93" spans="21:35" x14ac:dyDescent="0.2">
      <c r="U93" s="302"/>
      <c r="V93" s="367"/>
      <c r="W93" s="387"/>
      <c r="X93" s="302"/>
      <c r="Y93" s="302"/>
      <c r="Z93" s="302"/>
      <c r="AA93" s="302"/>
      <c r="AB93" s="367"/>
      <c r="AC93" s="367"/>
      <c r="AD93" s="387"/>
      <c r="AE93" s="302"/>
      <c r="AF93" s="302"/>
      <c r="AG93" s="302"/>
      <c r="AH93" s="302"/>
      <c r="AI93" s="302"/>
    </row>
    <row r="94" spans="21:35" x14ac:dyDescent="0.2">
      <c r="U94" s="302"/>
      <c r="V94" s="367"/>
      <c r="W94" s="367"/>
      <c r="X94" s="302"/>
      <c r="Y94" s="302"/>
      <c r="Z94" s="302"/>
      <c r="AA94" s="302"/>
      <c r="AB94" s="367"/>
      <c r="AC94" s="367"/>
      <c r="AD94" s="352"/>
      <c r="AE94" s="302"/>
      <c r="AF94" s="302"/>
      <c r="AG94" s="302"/>
      <c r="AH94" s="302"/>
      <c r="AI94" s="302"/>
    </row>
    <row r="95" spans="21:35" x14ac:dyDescent="0.2">
      <c r="U95" s="302"/>
      <c r="V95" s="352"/>
      <c r="W95" s="352"/>
      <c r="X95" s="302"/>
      <c r="Y95" s="302"/>
      <c r="Z95" s="302"/>
      <c r="AA95" s="302"/>
      <c r="AB95" s="352"/>
      <c r="AC95" s="352"/>
      <c r="AD95" s="352"/>
      <c r="AE95" s="302"/>
      <c r="AF95" s="302"/>
      <c r="AG95" s="302"/>
      <c r="AH95" s="302"/>
      <c r="AI95" s="302"/>
    </row>
    <row r="96" spans="21:35" x14ac:dyDescent="0.2">
      <c r="U96" s="302"/>
      <c r="V96" s="352"/>
      <c r="W96" s="352"/>
      <c r="X96" s="302"/>
      <c r="Y96" s="302"/>
      <c r="Z96" s="302"/>
      <c r="AA96" s="302"/>
      <c r="AB96" s="352"/>
      <c r="AC96" s="352"/>
      <c r="AD96" s="352"/>
      <c r="AE96" s="302"/>
      <c r="AF96" s="302"/>
      <c r="AG96" s="302"/>
      <c r="AH96" s="302"/>
      <c r="AI96" s="302"/>
    </row>
    <row r="97" spans="21:35" x14ac:dyDescent="0.2">
      <c r="U97" s="302"/>
      <c r="V97" s="352"/>
      <c r="W97" s="352"/>
      <c r="X97" s="302"/>
      <c r="Y97" s="302"/>
      <c r="Z97" s="302"/>
      <c r="AA97" s="302"/>
      <c r="AB97" s="352"/>
      <c r="AC97" s="352"/>
      <c r="AD97" s="352"/>
      <c r="AE97" s="302"/>
      <c r="AF97" s="302"/>
      <c r="AG97" s="302"/>
      <c r="AH97" s="302"/>
      <c r="AI97" s="302"/>
    </row>
    <row r="98" spans="21:35" x14ac:dyDescent="0.2">
      <c r="U98" s="302"/>
      <c r="V98" s="367"/>
      <c r="W98" s="302"/>
      <c r="X98" s="302"/>
      <c r="Y98" s="302"/>
      <c r="Z98" s="302"/>
      <c r="AA98" s="302"/>
      <c r="AB98" s="352"/>
      <c r="AC98" s="352"/>
      <c r="AD98" s="352"/>
      <c r="AE98" s="302"/>
      <c r="AF98" s="302"/>
      <c r="AG98" s="302"/>
      <c r="AH98" s="302"/>
      <c r="AI98" s="302"/>
    </row>
    <row r="99" spans="21:35" x14ac:dyDescent="0.2">
      <c r="U99" s="302"/>
      <c r="V99" s="367"/>
      <c r="W99" s="302"/>
      <c r="X99" s="302"/>
      <c r="Y99" s="302"/>
      <c r="Z99" s="302"/>
      <c r="AA99" s="302"/>
      <c r="AB99" s="302"/>
      <c r="AC99" s="302"/>
      <c r="AD99" s="302"/>
      <c r="AE99" s="302"/>
      <c r="AF99" s="302"/>
      <c r="AG99" s="302"/>
      <c r="AH99" s="302"/>
      <c r="AI99" s="302"/>
    </row>
    <row r="100" spans="21:35" x14ac:dyDescent="0.2">
      <c r="U100" s="302"/>
      <c r="V100" s="367"/>
      <c r="W100" s="302"/>
      <c r="X100" s="302"/>
      <c r="Y100" s="302"/>
      <c r="Z100" s="302"/>
      <c r="AA100" s="302"/>
      <c r="AB100" s="302"/>
      <c r="AC100" s="302"/>
      <c r="AD100" s="302"/>
      <c r="AE100" s="302"/>
      <c r="AF100" s="302"/>
      <c r="AG100" s="302"/>
      <c r="AH100" s="302"/>
      <c r="AI100" s="302"/>
    </row>
    <row r="101" spans="21:35" x14ac:dyDescent="0.2">
      <c r="U101" s="302"/>
      <c r="V101" s="367"/>
      <c r="W101" s="302"/>
      <c r="X101" s="302"/>
      <c r="Y101" s="302"/>
      <c r="Z101" s="302"/>
      <c r="AA101" s="302"/>
      <c r="AB101" s="367"/>
      <c r="AC101" s="367"/>
      <c r="AD101" s="302"/>
      <c r="AE101" s="302"/>
      <c r="AF101" s="302"/>
      <c r="AG101" s="302"/>
      <c r="AH101" s="302"/>
      <c r="AI101" s="302"/>
    </row>
    <row r="102" spans="21:35" x14ac:dyDescent="0.2">
      <c r="U102" s="302"/>
      <c r="V102" s="367"/>
      <c r="W102" s="387"/>
      <c r="X102" s="302"/>
      <c r="Y102" s="302"/>
      <c r="Z102" s="302"/>
      <c r="AA102" s="302"/>
      <c r="AB102" s="367"/>
      <c r="AC102" s="367"/>
      <c r="AD102" s="387"/>
      <c r="AE102" s="302"/>
      <c r="AF102" s="302"/>
      <c r="AG102" s="302"/>
      <c r="AH102" s="302"/>
      <c r="AI102" s="302"/>
    </row>
    <row r="103" spans="21:35" x14ac:dyDescent="0.2">
      <c r="U103" s="302"/>
      <c r="V103" s="367"/>
      <c r="W103" s="352"/>
      <c r="X103" s="302"/>
      <c r="Y103" s="302"/>
      <c r="Z103" s="302"/>
      <c r="AA103" s="302"/>
      <c r="AB103" s="367"/>
      <c r="AC103" s="367"/>
      <c r="AD103" s="352"/>
      <c r="AE103" s="302"/>
      <c r="AF103" s="302"/>
      <c r="AG103" s="302"/>
      <c r="AH103" s="302"/>
      <c r="AI103" s="302"/>
    </row>
    <row r="104" spans="21:35" x14ac:dyDescent="0.2">
      <c r="U104" s="302"/>
      <c r="V104" s="352"/>
      <c r="W104" s="352"/>
      <c r="X104" s="302"/>
      <c r="Y104" s="302"/>
      <c r="Z104" s="302"/>
      <c r="AA104" s="302"/>
      <c r="AB104" s="352"/>
      <c r="AC104" s="352"/>
      <c r="AD104" s="352"/>
      <c r="AE104" s="302"/>
      <c r="AF104" s="302"/>
      <c r="AG104" s="302"/>
      <c r="AH104" s="302"/>
      <c r="AI104" s="302"/>
    </row>
    <row r="105" spans="21:35" x14ac:dyDescent="0.2">
      <c r="U105" s="302"/>
      <c r="V105" s="352"/>
      <c r="W105" s="352"/>
      <c r="X105" s="302"/>
      <c r="Y105" s="302"/>
      <c r="Z105" s="302"/>
      <c r="AA105" s="302"/>
      <c r="AB105" s="352"/>
      <c r="AC105" s="352"/>
      <c r="AD105" s="352"/>
      <c r="AE105" s="302"/>
      <c r="AF105" s="302"/>
      <c r="AG105" s="302"/>
      <c r="AH105" s="302"/>
      <c r="AI105" s="302"/>
    </row>
    <row r="106" spans="21:35" x14ac:dyDescent="0.2">
      <c r="U106" s="302"/>
      <c r="V106" s="367"/>
      <c r="W106" s="302"/>
      <c r="X106" s="302"/>
      <c r="Y106" s="302"/>
      <c r="Z106" s="302"/>
      <c r="AA106" s="302"/>
      <c r="AB106" s="302"/>
      <c r="AC106" s="302"/>
      <c r="AD106" s="302"/>
      <c r="AE106" s="302"/>
      <c r="AF106" s="302"/>
      <c r="AG106" s="302"/>
      <c r="AH106" s="302"/>
      <c r="AI106" s="302"/>
    </row>
    <row r="107" spans="21:35" x14ac:dyDescent="0.2">
      <c r="U107" s="302"/>
      <c r="V107" s="367"/>
      <c r="W107" s="302"/>
      <c r="X107" s="302"/>
      <c r="Y107" s="302"/>
      <c r="Z107" s="302"/>
      <c r="AA107" s="302"/>
      <c r="AB107" s="302"/>
      <c r="AC107" s="302"/>
      <c r="AD107" s="302"/>
      <c r="AE107" s="302"/>
      <c r="AF107" s="302"/>
      <c r="AG107" s="302"/>
      <c r="AH107" s="302"/>
      <c r="AI107" s="302"/>
    </row>
    <row r="108" spans="21:35" x14ac:dyDescent="0.2">
      <c r="U108" s="302"/>
      <c r="V108" s="302"/>
      <c r="W108" s="302"/>
      <c r="X108" s="302"/>
      <c r="Y108" s="302"/>
      <c r="Z108" s="302"/>
      <c r="AA108" s="302"/>
      <c r="AB108" s="302"/>
      <c r="AC108" s="302"/>
      <c r="AD108" s="302"/>
      <c r="AE108" s="302"/>
      <c r="AF108" s="302"/>
      <c r="AG108" s="302"/>
      <c r="AH108" s="302"/>
      <c r="AI108" s="302"/>
    </row>
    <row r="109" spans="21:35" x14ac:dyDescent="0.2">
      <c r="U109" s="302"/>
      <c r="V109" s="302"/>
      <c r="W109" s="302"/>
      <c r="X109" s="302"/>
      <c r="Y109" s="302"/>
      <c r="Z109" s="302"/>
      <c r="AA109" s="302"/>
      <c r="AB109" s="302"/>
      <c r="AC109" s="302"/>
      <c r="AD109" s="302"/>
      <c r="AE109" s="302"/>
      <c r="AF109" s="302"/>
      <c r="AG109" s="302"/>
      <c r="AH109" s="302"/>
      <c r="AI109" s="302"/>
    </row>
  </sheetData>
  <sheetProtection password="EC65" sheet="1" selectLockedCells="1"/>
  <mergeCells count="31">
    <mergeCell ref="AB73:AF73"/>
    <mergeCell ref="AB79:AE79"/>
    <mergeCell ref="AB69:AF69"/>
    <mergeCell ref="AB71:AF71"/>
    <mergeCell ref="AB15:AC15"/>
    <mergeCell ref="AB16:AC16"/>
    <mergeCell ref="AB17:AC17"/>
    <mergeCell ref="AE22:AF22"/>
    <mergeCell ref="Z28:AB28"/>
    <mergeCell ref="Z24:AB24"/>
    <mergeCell ref="D39:F39"/>
    <mergeCell ref="Z3:AE4"/>
    <mergeCell ref="E7:G7"/>
    <mergeCell ref="E3:G3"/>
    <mergeCell ref="E4:G4"/>
    <mergeCell ref="E6:G6"/>
    <mergeCell ref="AE6:AG8"/>
    <mergeCell ref="V8:W8"/>
    <mergeCell ref="J3:M4"/>
    <mergeCell ref="J5:M6"/>
    <mergeCell ref="AE13:AG13"/>
    <mergeCell ref="AB14:AC14"/>
    <mergeCell ref="F9:I9"/>
    <mergeCell ref="E5:I5"/>
    <mergeCell ref="L29:L30"/>
    <mergeCell ref="I29:I31"/>
    <mergeCell ref="K29:K30"/>
    <mergeCell ref="D13:E13"/>
    <mergeCell ref="D20:F20"/>
    <mergeCell ref="D24:F24"/>
    <mergeCell ref="D28:G28"/>
  </mergeCells>
  <phoneticPr fontId="27" type="noConversion"/>
  <conditionalFormatting sqref="AF5">
    <cfRule type="expression" dxfId="6" priority="7" stopIfTrue="1">
      <formula>ISERROR($AF$5)</formula>
    </cfRule>
  </conditionalFormatting>
  <conditionalFormatting sqref="K15 I29:I31 K29:K33 K40:K41">
    <cfRule type="cellIs" dxfId="5" priority="8" stopIfTrue="1" operator="equal">
      <formula>0</formula>
    </cfRule>
  </conditionalFormatting>
  <conditionalFormatting sqref="K47:K49">
    <cfRule type="expression" dxfId="4" priority="9" stopIfTrue="1">
      <formula>ISERROR($K$43)</formula>
    </cfRule>
  </conditionalFormatting>
  <conditionalFormatting sqref="J43">
    <cfRule type="expression" dxfId="3" priority="10" stopIfTrue="1">
      <formula>ISERROR($J$43)</formula>
    </cfRule>
  </conditionalFormatting>
  <conditionalFormatting sqref="J42">
    <cfRule type="expression" dxfId="2" priority="11" stopIfTrue="1">
      <formula>ISERROR($J$42)</formula>
    </cfRule>
  </conditionalFormatting>
  <hyperlinks>
    <hyperlink ref="D13:E13" location="'Traffic &amp; Accidents'!G12" display="TRAFFIC                                                 " xr:uid="{00000000-0004-0000-0100-000000000000}"/>
    <hyperlink ref="D20:F20" location="'Traffic &amp; Accidents'!P13" display="ACCIDENT HISTORY" xr:uid="{00000000-0004-0000-0100-000001000000}"/>
    <hyperlink ref="D24:F24" location="'Traffic &amp; Accidents'!H19" display="LOCAL SIGNIFICANCE" xr:uid="{00000000-0004-0000-0100-000002000000}"/>
    <hyperlink ref="D28:G28" location="Structure!J4" display="STRUCTURAL CONDITION:" xr:uid="{00000000-0004-0000-0100-000003000000}"/>
    <hyperlink ref="D39:F39" location="Geometry!F6" display="GEOMETRICS   ROADS                                                " xr:uid="{00000000-0004-0000-0100-000004000000}"/>
  </hyperlinks>
  <pageMargins left="0.5" right="0.5" top="0.4" bottom="0.4" header="0.25" footer="0.24"/>
  <pageSetup orientation="portrait" horizontalDpi="4294967295" verticalDpi="4294967295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4:T86"/>
  <sheetViews>
    <sheetView showGridLines="0" workbookViewId="0">
      <selection activeCell="P13" sqref="P13"/>
    </sheetView>
  </sheetViews>
  <sheetFormatPr defaultRowHeight="12.75" x14ac:dyDescent="0.2"/>
  <cols>
    <col min="1" max="256" width="7.7109375" style="264" customWidth="1"/>
    <col min="257" max="16384" width="9.140625" style="264"/>
  </cols>
  <sheetData>
    <row r="4" spans="3:18" ht="13.5" thickBot="1" x14ac:dyDescent="0.25"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</row>
    <row r="5" spans="3:18" ht="23.25" x14ac:dyDescent="0.25">
      <c r="C5" s="176"/>
      <c r="D5" s="183"/>
      <c r="E5" s="184"/>
      <c r="F5" s="109"/>
      <c r="G5" s="95"/>
      <c r="H5" s="109"/>
      <c r="I5" s="185"/>
      <c r="J5" s="185"/>
      <c r="K5" s="185"/>
      <c r="L5" s="185"/>
      <c r="M5" s="185"/>
      <c r="N5" s="185"/>
      <c r="O5" s="95"/>
      <c r="P5" s="95"/>
      <c r="Q5" s="186"/>
      <c r="R5" s="176"/>
    </row>
    <row r="6" spans="3:18" x14ac:dyDescent="0.2">
      <c r="C6" s="176"/>
      <c r="D6" s="187"/>
      <c r="E6" s="189" t="s">
        <v>447</v>
      </c>
      <c r="F6" s="75"/>
      <c r="G6" s="8"/>
      <c r="H6" s="8"/>
      <c r="I6" s="190"/>
      <c r="J6" s="190"/>
      <c r="K6" s="190"/>
      <c r="L6" s="190"/>
      <c r="M6" s="190"/>
      <c r="N6" s="189"/>
      <c r="O6" s="189"/>
      <c r="P6" s="189"/>
      <c r="Q6" s="108"/>
      <c r="R6" s="176"/>
    </row>
    <row r="7" spans="3:18" ht="15.75" x14ac:dyDescent="0.25">
      <c r="C7" s="176"/>
      <c r="D7" s="187"/>
      <c r="E7" s="75"/>
      <c r="F7" s="75"/>
      <c r="G7" s="188"/>
      <c r="H7" s="8"/>
      <c r="I7" s="8"/>
      <c r="J7" s="8"/>
      <c r="K7" s="75"/>
      <c r="L7" s="75"/>
      <c r="M7" s="8"/>
      <c r="N7" s="75"/>
      <c r="O7" s="75"/>
      <c r="P7" s="8"/>
      <c r="Q7" s="108"/>
      <c r="R7" s="176"/>
    </row>
    <row r="8" spans="3:18" x14ac:dyDescent="0.2">
      <c r="C8" s="176"/>
      <c r="D8" s="187"/>
      <c r="E8" s="9"/>
      <c r="F8" s="106"/>
      <c r="G8" s="106"/>
      <c r="H8" s="110"/>
      <c r="I8" s="8"/>
      <c r="J8" s="8"/>
      <c r="K8" s="8"/>
      <c r="L8" s="8"/>
      <c r="M8" s="8"/>
      <c r="N8" s="332"/>
      <c r="O8" s="332"/>
      <c r="P8" s="332"/>
      <c r="Q8" s="108"/>
      <c r="R8" s="176"/>
    </row>
    <row r="9" spans="3:18" x14ac:dyDescent="0.2">
      <c r="C9" s="176"/>
      <c r="D9" s="187"/>
      <c r="E9" s="106"/>
      <c r="F9" s="74" t="s">
        <v>265</v>
      </c>
      <c r="G9" s="191" t="s">
        <v>397</v>
      </c>
      <c r="H9" s="192"/>
      <c r="I9" s="9"/>
      <c r="J9" s="74" t="s">
        <v>266</v>
      </c>
      <c r="K9" s="191"/>
      <c r="L9" s="94"/>
      <c r="M9" s="8"/>
      <c r="N9" s="391" t="s">
        <v>480</v>
      </c>
      <c r="O9" s="332"/>
      <c r="P9" s="332"/>
      <c r="Q9" s="108"/>
      <c r="R9" s="176"/>
    </row>
    <row r="10" spans="3:18" x14ac:dyDescent="0.2">
      <c r="C10" s="176"/>
      <c r="D10" s="187"/>
      <c r="E10" s="75"/>
      <c r="F10" s="8"/>
      <c r="G10" s="8"/>
      <c r="H10" s="193"/>
      <c r="I10" s="8"/>
      <c r="J10" s="8"/>
      <c r="K10" s="31" t="s">
        <v>267</v>
      </c>
      <c r="L10" s="33"/>
      <c r="M10" s="8"/>
      <c r="N10" s="667" t="s">
        <v>479</v>
      </c>
      <c r="O10" s="667"/>
      <c r="P10" s="667"/>
      <c r="Q10" s="97"/>
      <c r="R10" s="175"/>
    </row>
    <row r="11" spans="3:18" x14ac:dyDescent="0.2">
      <c r="C11" s="176"/>
      <c r="D11" s="187"/>
      <c r="E11" s="75"/>
      <c r="F11" s="112" t="s">
        <v>32</v>
      </c>
      <c r="G11" s="194"/>
      <c r="H11" s="75"/>
      <c r="I11" s="9"/>
      <c r="J11" s="112" t="s">
        <v>213</v>
      </c>
      <c r="K11" s="194"/>
      <c r="L11" s="14"/>
      <c r="M11" s="8"/>
      <c r="N11" s="667"/>
      <c r="O11" s="667"/>
      <c r="P11" s="667"/>
      <c r="Q11" s="108"/>
      <c r="R11" s="176"/>
    </row>
    <row r="12" spans="3:18" x14ac:dyDescent="0.2">
      <c r="C12" s="176"/>
      <c r="D12" s="187"/>
      <c r="E12" s="75"/>
      <c r="F12" s="112" t="s">
        <v>186</v>
      </c>
      <c r="G12" s="194"/>
      <c r="H12" s="75"/>
      <c r="I12" s="9"/>
      <c r="J12" s="112" t="s">
        <v>214</v>
      </c>
      <c r="K12" s="195"/>
      <c r="L12" s="14"/>
      <c r="M12" s="8"/>
      <c r="N12" s="8"/>
      <c r="O12" s="112" t="s">
        <v>212</v>
      </c>
      <c r="P12" s="194"/>
      <c r="Q12" s="113"/>
      <c r="R12" s="177"/>
    </row>
    <row r="13" spans="3:18" x14ac:dyDescent="0.2">
      <c r="C13" s="176"/>
      <c r="D13" s="187"/>
      <c r="E13" s="75"/>
      <c r="F13" s="112" t="s">
        <v>450</v>
      </c>
      <c r="G13" s="194"/>
      <c r="H13" s="75"/>
      <c r="I13" s="9"/>
      <c r="J13" s="112" t="s">
        <v>215</v>
      </c>
      <c r="K13" s="195"/>
      <c r="L13" s="14"/>
      <c r="M13" s="8"/>
      <c r="N13" s="8"/>
      <c r="O13" s="112" t="s">
        <v>278</v>
      </c>
      <c r="P13" s="194"/>
      <c r="Q13" s="113"/>
      <c r="R13" s="177"/>
    </row>
    <row r="14" spans="3:18" x14ac:dyDescent="0.2">
      <c r="C14" s="176"/>
      <c r="D14" s="187"/>
      <c r="E14" s="75"/>
      <c r="F14" s="112" t="s">
        <v>448</v>
      </c>
      <c r="G14" s="196"/>
      <c r="H14" s="99" t="s">
        <v>264</v>
      </c>
      <c r="I14" s="9"/>
      <c r="J14" s="112" t="s">
        <v>216</v>
      </c>
      <c r="K14" s="194"/>
      <c r="L14" s="14"/>
      <c r="M14" s="8"/>
      <c r="N14" s="8"/>
      <c r="O14" s="112" t="s">
        <v>178</v>
      </c>
      <c r="P14" s="194"/>
      <c r="Q14" s="113"/>
      <c r="R14" s="177"/>
    </row>
    <row r="15" spans="3:18" x14ac:dyDescent="0.2">
      <c r="C15" s="176"/>
      <c r="D15" s="187"/>
      <c r="E15" s="75"/>
      <c r="F15" s="112"/>
      <c r="G15" s="14"/>
      <c r="H15" s="77"/>
      <c r="I15" s="8"/>
      <c r="J15" s="8"/>
      <c r="K15" s="75"/>
      <c r="L15" s="75"/>
      <c r="M15" s="8"/>
      <c r="N15" s="8"/>
      <c r="O15" s="8"/>
      <c r="P15" s="8"/>
      <c r="Q15" s="108"/>
      <c r="R15" s="176"/>
    </row>
    <row r="16" spans="3:18" x14ac:dyDescent="0.2">
      <c r="C16" s="176"/>
      <c r="D16" s="187"/>
      <c r="E16" s="75"/>
      <c r="F16" s="112"/>
      <c r="G16" s="14"/>
      <c r="H16" s="77"/>
      <c r="I16" s="8"/>
      <c r="J16" s="8"/>
      <c r="K16" s="75"/>
      <c r="L16" s="75"/>
      <c r="M16" s="8"/>
      <c r="N16" s="8"/>
      <c r="O16" s="8"/>
      <c r="P16" s="8"/>
      <c r="Q16" s="108"/>
      <c r="R16" s="176"/>
    </row>
    <row r="17" spans="3:20" x14ac:dyDescent="0.2">
      <c r="C17" s="176"/>
      <c r="D17" s="187"/>
      <c r="E17" s="8"/>
      <c r="F17" s="8"/>
      <c r="G17" s="8"/>
      <c r="H17" s="31"/>
      <c r="I17" s="8"/>
      <c r="J17" s="8"/>
      <c r="K17" s="75"/>
      <c r="L17" s="75"/>
      <c r="M17" s="8"/>
      <c r="N17" s="8"/>
      <c r="O17" s="8"/>
      <c r="P17" s="8"/>
      <c r="Q17" s="108"/>
      <c r="R17" s="176"/>
    </row>
    <row r="18" spans="3:20" x14ac:dyDescent="0.2">
      <c r="C18" s="176"/>
      <c r="D18" s="187"/>
      <c r="E18" s="197" t="s">
        <v>268</v>
      </c>
      <c r="F18" s="112"/>
      <c r="G18" s="14"/>
      <c r="H18" s="194"/>
      <c r="I18" s="198" t="s">
        <v>449</v>
      </c>
      <c r="J18" s="8"/>
      <c r="K18" s="75"/>
      <c r="L18" s="75"/>
      <c r="M18" s="8"/>
      <c r="N18" s="114"/>
      <c r="O18" s="8"/>
      <c r="P18" s="199"/>
      <c r="Q18" s="108"/>
      <c r="R18" s="176"/>
    </row>
    <row r="19" spans="3:20" x14ac:dyDescent="0.2">
      <c r="C19" s="176"/>
      <c r="D19" s="187"/>
      <c r="E19" s="200"/>
      <c r="F19" s="112"/>
      <c r="G19" s="14"/>
      <c r="H19" s="14"/>
      <c r="I19" s="79"/>
      <c r="J19" s="8"/>
      <c r="K19" s="75"/>
      <c r="L19" s="75"/>
      <c r="M19" s="8"/>
      <c r="N19" s="114"/>
      <c r="O19" s="8"/>
      <c r="P19" s="199"/>
      <c r="Q19" s="108"/>
      <c r="R19" s="176"/>
    </row>
    <row r="20" spans="3:20" ht="13.5" thickBot="1" x14ac:dyDescent="0.25">
      <c r="C20" s="176"/>
      <c r="D20" s="201"/>
      <c r="E20" s="202"/>
      <c r="F20" s="203"/>
      <c r="G20" s="204"/>
      <c r="H20" s="204"/>
      <c r="I20" s="205"/>
      <c r="J20" s="205"/>
      <c r="K20" s="105"/>
      <c r="L20" s="105"/>
      <c r="M20" s="205"/>
      <c r="N20" s="206"/>
      <c r="O20" s="205"/>
      <c r="P20" s="205"/>
      <c r="Q20" s="207"/>
      <c r="R20" s="176"/>
    </row>
    <row r="21" spans="3:20" x14ac:dyDescent="0.2">
      <c r="C21" s="159"/>
      <c r="D21" s="159"/>
      <c r="E21" s="159"/>
      <c r="F21" s="159"/>
      <c r="G21" s="159"/>
      <c r="H21" s="159"/>
      <c r="I21" s="159"/>
      <c r="J21" s="159"/>
      <c r="K21" s="159"/>
      <c r="L21" s="159"/>
      <c r="M21" s="159"/>
      <c r="N21" s="159"/>
      <c r="O21" s="159"/>
      <c r="P21" s="159"/>
      <c r="Q21" s="159"/>
      <c r="R21" s="159"/>
    </row>
    <row r="22" spans="3:20" x14ac:dyDescent="0.2">
      <c r="C22" s="159"/>
      <c r="D22" s="159"/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</row>
    <row r="27" spans="3:20" x14ac:dyDescent="0.2">
      <c r="C27" s="663"/>
      <c r="D27" s="208"/>
      <c r="E27" s="208"/>
      <c r="F27" s="208"/>
      <c r="G27" s="208"/>
      <c r="H27" s="208"/>
      <c r="I27" s="208"/>
      <c r="J27" s="208" t="s">
        <v>25</v>
      </c>
      <c r="K27" s="208"/>
      <c r="L27" s="208"/>
      <c r="M27" s="208"/>
      <c r="N27" s="208"/>
      <c r="O27" s="208"/>
    </row>
    <row r="28" spans="3:20" x14ac:dyDescent="0.2">
      <c r="C28" s="663"/>
      <c r="D28" s="209" t="s">
        <v>26</v>
      </c>
      <c r="E28" s="208"/>
      <c r="F28" s="208"/>
      <c r="G28" s="208"/>
      <c r="H28" s="208"/>
      <c r="I28" s="208"/>
      <c r="J28" s="208"/>
      <c r="K28" s="208"/>
      <c r="L28" s="208"/>
      <c r="M28" s="208"/>
      <c r="N28" s="208"/>
      <c r="O28" s="208"/>
    </row>
    <row r="29" spans="3:20" x14ac:dyDescent="0.2">
      <c r="C29" s="663"/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08"/>
      <c r="Q29" s="232"/>
      <c r="R29" s="233"/>
      <c r="S29" s="233"/>
      <c r="T29" s="234"/>
    </row>
    <row r="30" spans="3:20" x14ac:dyDescent="0.2">
      <c r="C30" s="663"/>
      <c r="D30" s="208"/>
      <c r="E30" s="208" t="s">
        <v>27</v>
      </c>
      <c r="F30" s="208"/>
      <c r="G30" s="208"/>
      <c r="H30" s="208" t="s">
        <v>28</v>
      </c>
      <c r="I30" s="210">
        <f>G11</f>
        <v>0</v>
      </c>
      <c r="J30" s="208"/>
      <c r="K30" s="211" t="s">
        <v>29</v>
      </c>
      <c r="L30" s="210">
        <f>G12</f>
        <v>0</v>
      </c>
      <c r="M30" s="208"/>
      <c r="N30" s="208"/>
      <c r="O30" s="208"/>
      <c r="Q30" s="664" t="s">
        <v>470</v>
      </c>
      <c r="R30" s="665"/>
      <c r="S30" s="665"/>
      <c r="T30" s="666"/>
    </row>
    <row r="31" spans="3:20" x14ac:dyDescent="0.2">
      <c r="C31" s="663"/>
      <c r="D31" s="208"/>
      <c r="E31" s="208"/>
      <c r="F31" s="208"/>
      <c r="G31" s="208"/>
      <c r="H31" s="208"/>
      <c r="I31" s="208"/>
      <c r="J31" s="208"/>
      <c r="K31" s="208"/>
      <c r="L31" s="208"/>
      <c r="M31" s="208"/>
      <c r="N31" s="212"/>
      <c r="O31" s="213"/>
      <c r="Q31" s="334"/>
      <c r="R31" s="237"/>
      <c r="S31" s="237"/>
      <c r="T31" s="238"/>
    </row>
    <row r="32" spans="3:20" x14ac:dyDescent="0.2">
      <c r="C32" s="663"/>
      <c r="D32" s="208"/>
      <c r="E32" s="208" t="s">
        <v>31</v>
      </c>
      <c r="F32" s="208"/>
      <c r="G32" s="208"/>
      <c r="H32" s="208"/>
      <c r="I32" s="208"/>
      <c r="J32" s="208"/>
      <c r="K32" s="208"/>
      <c r="L32" s="208"/>
      <c r="M32" s="208"/>
      <c r="N32" s="212"/>
      <c r="O32" s="214"/>
      <c r="Q32" s="335"/>
      <c r="R32" s="336" t="s">
        <v>30</v>
      </c>
      <c r="S32" s="336" t="s">
        <v>30</v>
      </c>
      <c r="T32" s="238"/>
    </row>
    <row r="33" spans="3:20" x14ac:dyDescent="0.2">
      <c r="C33" s="663"/>
      <c r="D33" s="212"/>
      <c r="E33" s="208" t="s">
        <v>34</v>
      </c>
      <c r="F33" s="208"/>
      <c r="G33" s="208"/>
      <c r="H33" s="208"/>
      <c r="I33" s="208"/>
      <c r="J33" s="208"/>
      <c r="K33" s="208"/>
      <c r="L33" s="208"/>
      <c r="M33" s="208"/>
      <c r="N33" s="212"/>
      <c r="O33" s="208"/>
      <c r="Q33" s="337"/>
      <c r="R33" s="336" t="s">
        <v>32</v>
      </c>
      <c r="S33" s="336" t="s">
        <v>33</v>
      </c>
      <c r="T33" s="238"/>
    </row>
    <row r="34" spans="3:20" x14ac:dyDescent="0.2">
      <c r="C34" s="663"/>
      <c r="D34" s="208" t="s">
        <v>36</v>
      </c>
      <c r="E34" s="208"/>
      <c r="F34" s="208"/>
      <c r="G34" s="208"/>
      <c r="H34" s="208"/>
      <c r="I34" s="208"/>
      <c r="J34" s="208"/>
      <c r="K34" s="208"/>
      <c r="L34" s="208"/>
      <c r="M34" s="208"/>
      <c r="N34" s="212"/>
      <c r="O34" s="208"/>
      <c r="Q34" s="239"/>
      <c r="R34" s="338" t="s">
        <v>35</v>
      </c>
      <c r="S34" s="338" t="s">
        <v>35</v>
      </c>
      <c r="T34" s="238"/>
    </row>
    <row r="35" spans="3:20" x14ac:dyDescent="0.2">
      <c r="C35" s="663"/>
      <c r="D35" s="212"/>
      <c r="E35" s="215" t="s">
        <v>32</v>
      </c>
      <c r="F35" s="216" t="s">
        <v>37</v>
      </c>
      <c r="G35" s="216" t="s">
        <v>38</v>
      </c>
      <c r="H35" s="216" t="s">
        <v>39</v>
      </c>
      <c r="I35" s="216" t="s">
        <v>40</v>
      </c>
      <c r="J35" s="216" t="s">
        <v>41</v>
      </c>
      <c r="K35" s="216" t="s">
        <v>42</v>
      </c>
      <c r="L35" s="217" t="s">
        <v>43</v>
      </c>
      <c r="M35" s="212"/>
      <c r="N35" s="212"/>
      <c r="O35" s="208"/>
      <c r="Q35" s="239"/>
      <c r="R35" s="336"/>
      <c r="S35" s="336"/>
      <c r="T35" s="238"/>
    </row>
    <row r="36" spans="3:20" x14ac:dyDescent="0.2">
      <c r="C36" s="663"/>
      <c r="D36" s="212"/>
      <c r="E36" s="218"/>
      <c r="F36" s="219"/>
      <c r="G36" s="219"/>
      <c r="H36" s="219"/>
      <c r="I36" s="219"/>
      <c r="J36" s="219"/>
      <c r="K36" s="219"/>
      <c r="L36" s="220"/>
      <c r="M36" s="208"/>
      <c r="N36" s="212"/>
      <c r="O36" s="208"/>
      <c r="Q36" s="239"/>
      <c r="R36" s="336" t="str">
        <f>IF(AND('Traffic &amp; Accidents'!I30&lt;101,'Traffic &amp; Accidents'!I30&gt;0),'Traffic &amp; Accidents'!F37,R37)</f>
        <v/>
      </c>
      <c r="S36" s="336" t="str">
        <f>IF(AND('Traffic &amp; Accidents'!L30&lt;11,'Traffic &amp; Accidents'!L30&gt;0),'Traffic &amp; Accidents'!F37,S37)</f>
        <v/>
      </c>
      <c r="T36" s="238"/>
    </row>
    <row r="37" spans="3:20" x14ac:dyDescent="0.2">
      <c r="C37" s="663"/>
      <c r="D37" s="212"/>
      <c r="E37" s="218" t="s">
        <v>35</v>
      </c>
      <c r="F37" s="219">
        <v>1</v>
      </c>
      <c r="G37" s="219">
        <v>2</v>
      </c>
      <c r="H37" s="219">
        <v>3</v>
      </c>
      <c r="I37" s="219">
        <v>4</v>
      </c>
      <c r="J37" s="219">
        <v>5</v>
      </c>
      <c r="K37" s="219">
        <v>6</v>
      </c>
      <c r="L37" s="220">
        <v>7</v>
      </c>
      <c r="M37" s="208"/>
      <c r="N37" s="212"/>
      <c r="O37" s="208"/>
      <c r="Q37" s="239"/>
      <c r="R37" s="336" t="str">
        <f>IF(AND('Traffic &amp; Accidents'!I30&lt;201,'Traffic &amp; Accidents'!I30&gt;100),'Traffic &amp; Accidents'!G37,R38)</f>
        <v/>
      </c>
      <c r="S37" s="336" t="str">
        <f>IF(AND('Traffic &amp; Accidents'!L30&lt;21,'Traffic &amp; Accidents'!L30&gt;10),'Traffic &amp; Accidents'!G37,S38)</f>
        <v/>
      </c>
      <c r="T37" s="238"/>
    </row>
    <row r="38" spans="3:20" x14ac:dyDescent="0.2">
      <c r="C38" s="663"/>
      <c r="D38" s="212"/>
      <c r="E38" s="218"/>
      <c r="F38" s="221"/>
      <c r="G38" s="221"/>
      <c r="H38" s="221"/>
      <c r="I38" s="221"/>
      <c r="J38" s="221"/>
      <c r="K38" s="221"/>
      <c r="L38" s="222"/>
      <c r="M38" s="208"/>
      <c r="N38" s="212"/>
      <c r="O38" s="208"/>
      <c r="Q38" s="239"/>
      <c r="R38" s="336" t="str">
        <f>IF(AND('Traffic &amp; Accidents'!I30&lt;301,'Traffic &amp; Accidents'!I30&gt;200),'Traffic &amp; Accidents'!H37,R39)</f>
        <v/>
      </c>
      <c r="S38" s="336" t="str">
        <f>IF(AND('Traffic &amp; Accidents'!L30&lt;31,'Traffic &amp; Accidents'!L30&gt;20),'Traffic &amp; Accidents'!H37,S39)</f>
        <v/>
      </c>
      <c r="T38" s="238"/>
    </row>
    <row r="39" spans="3:20" x14ac:dyDescent="0.2">
      <c r="C39" s="663"/>
      <c r="D39" s="212"/>
      <c r="E39" s="223" t="s">
        <v>44</v>
      </c>
      <c r="F39" s="224" t="s">
        <v>45</v>
      </c>
      <c r="G39" s="224" t="s">
        <v>46</v>
      </c>
      <c r="H39" s="224" t="s">
        <v>47</v>
      </c>
      <c r="I39" s="224" t="s">
        <v>48</v>
      </c>
      <c r="J39" s="224" t="s">
        <v>49</v>
      </c>
      <c r="K39" s="224" t="s">
        <v>50</v>
      </c>
      <c r="L39" s="225" t="s">
        <v>51</v>
      </c>
      <c r="M39" s="208"/>
      <c r="N39" s="212"/>
      <c r="O39" s="208"/>
      <c r="Q39" s="239"/>
      <c r="R39" s="336" t="str">
        <f>IF(AND('Traffic &amp; Accidents'!I30&lt;451,'Traffic &amp; Accidents'!I30&gt;300),'Traffic &amp; Accidents'!I37,R40)</f>
        <v/>
      </c>
      <c r="S39" s="336" t="str">
        <f>IF(AND('Traffic &amp; Accidents'!L30&lt;46,'Traffic &amp; Accidents'!L30&gt;30),'Traffic &amp; Accidents'!I37,S40)</f>
        <v/>
      </c>
      <c r="T39" s="238"/>
    </row>
    <row r="40" spans="3:20" ht="13.5" thickBot="1" x14ac:dyDescent="0.25">
      <c r="C40" s="663"/>
      <c r="D40" s="208"/>
      <c r="E40" s="208"/>
      <c r="F40" s="226"/>
      <c r="G40" s="155"/>
      <c r="H40" s="155"/>
      <c r="I40" s="155"/>
      <c r="J40" s="155"/>
      <c r="K40" s="155"/>
      <c r="L40" s="208"/>
      <c r="M40" s="208"/>
      <c r="N40" s="212"/>
      <c r="O40" s="208"/>
      <c r="Q40" s="239"/>
      <c r="R40" s="336" t="str">
        <f>IF(AND('Traffic &amp; Accidents'!I30&lt;601,'Traffic &amp; Accidents'!I30&gt;450),'Traffic &amp; Accidents'!J37,R41)</f>
        <v/>
      </c>
      <c r="S40" s="336" t="str">
        <f>IF(AND('Traffic &amp; Accidents'!L30&lt;61,'Traffic &amp; Accidents'!L30&gt;45),'Traffic &amp; Accidents'!J37,S41)</f>
        <v/>
      </c>
      <c r="T40" s="238"/>
    </row>
    <row r="41" spans="3:20" ht="13.5" thickBot="1" x14ac:dyDescent="0.25">
      <c r="C41" s="663"/>
      <c r="D41" s="208"/>
      <c r="E41" s="208"/>
      <c r="F41" s="155"/>
      <c r="G41" s="155"/>
      <c r="H41" s="212"/>
      <c r="I41" s="212"/>
      <c r="J41" s="155"/>
      <c r="K41" s="212"/>
      <c r="L41" s="211" t="s">
        <v>52</v>
      </c>
      <c r="M41" s="227" t="str">
        <f>IF(I30&gt;L30*10,'Traffic &amp; Accidents'!R36,'Traffic &amp; Accidents'!S36)</f>
        <v/>
      </c>
      <c r="N41" s="212"/>
      <c r="O41" s="208"/>
      <c r="Q41" s="239"/>
      <c r="R41" s="336" t="str">
        <f>IF(AND('Traffic &amp; Accidents'!I30&lt;751,'Traffic &amp; Accidents'!I30&gt;600),'Traffic &amp; Accidents'!K37,R42)</f>
        <v/>
      </c>
      <c r="S41" s="336" t="str">
        <f>IF(AND('Traffic &amp; Accidents'!L30&lt;76,'Traffic &amp; Accidents'!L30&gt;60),'Traffic &amp; Accidents'!K37,S42)</f>
        <v/>
      </c>
      <c r="T41" s="238"/>
    </row>
    <row r="42" spans="3:20" x14ac:dyDescent="0.2">
      <c r="C42" s="663"/>
      <c r="D42" s="208"/>
      <c r="E42" s="208"/>
      <c r="F42" s="208"/>
      <c r="G42" s="208"/>
      <c r="H42" s="208"/>
      <c r="I42" s="208"/>
      <c r="J42" s="208"/>
      <c r="K42" s="208"/>
      <c r="L42" s="208"/>
      <c r="M42" s="208"/>
      <c r="N42" s="208"/>
      <c r="O42" s="208"/>
      <c r="Q42" s="239"/>
      <c r="R42" s="336" t="str">
        <f>IF('Traffic &amp; Accidents'!I30&gt;750,'Traffic &amp; Accidents'!L37,"")</f>
        <v/>
      </c>
      <c r="S42" s="336" t="str">
        <f>IF('Traffic &amp; Accidents'!L30&gt;75,'Traffic &amp; Accidents'!L37,"")</f>
        <v/>
      </c>
      <c r="T42" s="238"/>
    </row>
    <row r="43" spans="3:20" x14ac:dyDescent="0.2">
      <c r="C43" s="663"/>
      <c r="D43" s="208"/>
      <c r="E43" s="266" t="s">
        <v>53</v>
      </c>
      <c r="F43" s="267"/>
      <c r="G43" s="267"/>
      <c r="H43" s="267"/>
      <c r="I43" s="268" t="s">
        <v>4</v>
      </c>
      <c r="J43" s="268" t="s">
        <v>4</v>
      </c>
      <c r="K43" s="267"/>
      <c r="L43" s="267"/>
      <c r="M43" s="267"/>
      <c r="N43" s="208"/>
      <c r="O43" s="208"/>
      <c r="Q43" s="251"/>
      <c r="R43" s="252"/>
      <c r="S43" s="339"/>
      <c r="T43" s="340"/>
    </row>
    <row r="44" spans="3:20" x14ac:dyDescent="0.2">
      <c r="C44" s="663"/>
      <c r="D44" s="208"/>
      <c r="E44" s="267"/>
      <c r="F44" s="269" t="s">
        <v>54</v>
      </c>
      <c r="G44" s="267"/>
      <c r="H44" s="269" t="s">
        <v>55</v>
      </c>
      <c r="I44" s="270" t="s">
        <v>56</v>
      </c>
      <c r="J44" s="270" t="s">
        <v>57</v>
      </c>
      <c r="K44" s="267" t="s">
        <v>58</v>
      </c>
      <c r="L44" s="267"/>
      <c r="M44" s="267"/>
      <c r="N44" s="208"/>
      <c r="O44" s="208"/>
      <c r="Q44" s="208"/>
      <c r="R44" s="208"/>
      <c r="S44" s="267"/>
      <c r="T44" s="267"/>
    </row>
    <row r="45" spans="3:20" x14ac:dyDescent="0.2">
      <c r="C45" s="663"/>
      <c r="D45" s="208"/>
      <c r="E45" s="155"/>
      <c r="F45" s="155"/>
      <c r="G45" s="211" t="s">
        <v>59</v>
      </c>
      <c r="H45" s="210">
        <f>K11</f>
        <v>0</v>
      </c>
      <c r="I45" s="155">
        <v>7</v>
      </c>
      <c r="J45" s="155" t="str">
        <f>IF(H45&lt;&gt;0,7,"")</f>
        <v/>
      </c>
      <c r="K45" s="208"/>
      <c r="L45" s="208"/>
      <c r="M45" s="208"/>
      <c r="N45" s="208"/>
      <c r="O45" s="208"/>
      <c r="Q45" s="208"/>
      <c r="R45" s="208"/>
      <c r="S45" s="267"/>
      <c r="T45" s="267"/>
    </row>
    <row r="46" spans="3:20" x14ac:dyDescent="0.2">
      <c r="C46" s="663"/>
      <c r="D46" s="208"/>
      <c r="E46" s="155"/>
      <c r="F46" s="155"/>
      <c r="G46" s="211" t="s">
        <v>60</v>
      </c>
      <c r="H46" s="210">
        <f>K12</f>
        <v>0</v>
      </c>
      <c r="I46" s="155">
        <v>3</v>
      </c>
      <c r="J46" s="155" t="str">
        <f>IF(H46&lt;&gt;0,3,"")</f>
        <v/>
      </c>
      <c r="K46" s="208"/>
      <c r="L46" s="208"/>
      <c r="M46" s="208"/>
      <c r="N46" s="208"/>
      <c r="O46" s="208"/>
    </row>
    <row r="47" spans="3:20" x14ac:dyDescent="0.2">
      <c r="C47" s="663"/>
      <c r="D47" s="208"/>
      <c r="E47" s="155"/>
      <c r="F47" s="155"/>
      <c r="G47" s="211" t="s">
        <v>61</v>
      </c>
      <c r="H47" s="210">
        <f>K13</f>
        <v>0</v>
      </c>
      <c r="I47" s="155">
        <v>3</v>
      </c>
      <c r="J47" s="155" t="str">
        <f>IF(H47&lt;&gt;0,3,"")</f>
        <v/>
      </c>
      <c r="K47" s="208"/>
      <c r="L47" s="208"/>
      <c r="M47" s="208"/>
      <c r="N47" s="208"/>
      <c r="O47" s="208"/>
    </row>
    <row r="48" spans="3:20" x14ac:dyDescent="0.2">
      <c r="C48" s="663"/>
      <c r="D48" s="208"/>
      <c r="E48" s="155"/>
      <c r="F48" s="155"/>
      <c r="G48" s="211" t="s">
        <v>62</v>
      </c>
      <c r="H48" s="210">
        <f>K14</f>
        <v>0</v>
      </c>
      <c r="I48" s="228">
        <v>2</v>
      </c>
      <c r="J48" s="228" t="str">
        <f>IF(H48&lt;&gt;0,2,"")</f>
        <v/>
      </c>
      <c r="K48" s="208"/>
      <c r="L48" s="208"/>
      <c r="M48" s="208"/>
      <c r="N48" s="208"/>
      <c r="O48" s="208"/>
    </row>
    <row r="49" spans="3:15" ht="13.5" thickBot="1" x14ac:dyDescent="0.25">
      <c r="C49" s="663"/>
      <c r="D49" s="208" t="s">
        <v>63</v>
      </c>
      <c r="E49" s="208"/>
      <c r="F49" s="208"/>
      <c r="G49" s="208"/>
      <c r="H49" s="208"/>
      <c r="I49" s="155">
        <v>15</v>
      </c>
      <c r="J49" s="155">
        <f>SUM(J45:J48)</f>
        <v>0</v>
      </c>
      <c r="K49" s="208"/>
      <c r="L49" s="208"/>
      <c r="M49" s="208"/>
      <c r="N49" s="208"/>
      <c r="O49" s="208"/>
    </row>
    <row r="50" spans="3:15" ht="13.5" thickBot="1" x14ac:dyDescent="0.25">
      <c r="C50" s="663"/>
      <c r="D50" s="208"/>
      <c r="E50" s="208"/>
      <c r="F50" s="208"/>
      <c r="G50" s="208"/>
      <c r="H50" s="208"/>
      <c r="I50" s="208"/>
      <c r="J50" s="212"/>
      <c r="K50" s="208"/>
      <c r="L50" s="211" t="s">
        <v>64</v>
      </c>
      <c r="M50" s="229">
        <f>J49</f>
        <v>0</v>
      </c>
      <c r="N50" s="208"/>
      <c r="O50" s="208"/>
    </row>
    <row r="51" spans="3:15" ht="13.5" thickBot="1" x14ac:dyDescent="0.25">
      <c r="C51" s="230"/>
      <c r="D51" s="208" t="s">
        <v>65</v>
      </c>
      <c r="E51" s="208"/>
      <c r="F51" s="208"/>
      <c r="G51" s="208"/>
      <c r="H51" s="208"/>
      <c r="I51" s="208"/>
      <c r="J51" s="208"/>
      <c r="K51" s="208"/>
      <c r="L51" s="208"/>
      <c r="M51" s="208"/>
      <c r="N51" s="208"/>
      <c r="O51" s="208"/>
    </row>
    <row r="52" spans="3:15" ht="13.5" thickBot="1" x14ac:dyDescent="0.25">
      <c r="C52" s="230"/>
      <c r="D52" s="208" t="s">
        <v>66</v>
      </c>
      <c r="E52" s="208"/>
      <c r="F52" s="208"/>
      <c r="G52" s="208"/>
      <c r="H52" s="208"/>
      <c r="I52" s="208"/>
      <c r="J52" s="212"/>
      <c r="K52" s="212"/>
      <c r="L52" s="211" t="s">
        <v>67</v>
      </c>
      <c r="M52" s="231">
        <f>SUM(M41,M50)</f>
        <v>0</v>
      </c>
      <c r="N52" s="208"/>
      <c r="O52" s="208"/>
    </row>
    <row r="53" spans="3:15" x14ac:dyDescent="0.2">
      <c r="C53" s="230"/>
      <c r="D53" s="208" t="s">
        <v>66</v>
      </c>
      <c r="E53" s="208"/>
      <c r="F53" s="208"/>
      <c r="G53" s="208"/>
      <c r="H53" s="208"/>
      <c r="I53" s="208"/>
      <c r="J53" s="208"/>
      <c r="K53" s="208"/>
      <c r="L53" s="208"/>
      <c r="M53" s="208"/>
      <c r="N53" s="208"/>
      <c r="O53" s="208"/>
    </row>
    <row r="54" spans="3:15" x14ac:dyDescent="0.2">
      <c r="C54" s="663"/>
      <c r="D54" s="208"/>
      <c r="E54" s="208"/>
      <c r="F54" s="208"/>
      <c r="G54" s="208"/>
      <c r="H54" s="208"/>
      <c r="I54" s="208"/>
      <c r="J54" s="208"/>
      <c r="K54" s="208"/>
      <c r="L54" s="208"/>
      <c r="M54" s="208"/>
      <c r="N54" s="208"/>
      <c r="O54" s="208"/>
    </row>
    <row r="55" spans="3:15" x14ac:dyDescent="0.2">
      <c r="C55" s="663"/>
      <c r="D55" s="232" t="s">
        <v>66</v>
      </c>
      <c r="E55" s="233"/>
      <c r="F55" s="233"/>
      <c r="G55" s="233"/>
      <c r="H55" s="233"/>
      <c r="I55" s="233"/>
      <c r="J55" s="233"/>
      <c r="K55" s="233"/>
      <c r="L55" s="233"/>
      <c r="M55" s="233"/>
      <c r="N55" s="234"/>
      <c r="O55" s="235"/>
    </row>
    <row r="56" spans="3:15" x14ac:dyDescent="0.2">
      <c r="C56" s="663"/>
      <c r="D56" s="236" t="s">
        <v>68</v>
      </c>
      <c r="E56" s="237"/>
      <c r="F56" s="237"/>
      <c r="G56" s="237"/>
      <c r="H56" s="237"/>
      <c r="I56" s="237"/>
      <c r="J56" s="237"/>
      <c r="K56" s="237"/>
      <c r="L56" s="237"/>
      <c r="M56" s="237"/>
      <c r="N56" s="238"/>
      <c r="O56" s="208"/>
    </row>
    <row r="57" spans="3:15" x14ac:dyDescent="0.2">
      <c r="C57" s="663"/>
      <c r="D57" s="239"/>
      <c r="E57" s="237" t="s">
        <v>69</v>
      </c>
      <c r="F57" s="237"/>
      <c r="G57" s="237"/>
      <c r="H57" s="237"/>
      <c r="I57" s="237"/>
      <c r="J57" s="237"/>
      <c r="K57" s="237"/>
      <c r="L57" s="237"/>
      <c r="M57" s="237"/>
      <c r="N57" s="238"/>
      <c r="O57" s="208"/>
    </row>
    <row r="58" spans="3:15" x14ac:dyDescent="0.2">
      <c r="C58" s="663"/>
      <c r="D58" s="239"/>
      <c r="E58" s="237" t="s">
        <v>70</v>
      </c>
      <c r="F58" s="237"/>
      <c r="G58" s="237"/>
      <c r="H58" s="237"/>
      <c r="I58" s="237"/>
      <c r="J58" s="237"/>
      <c r="K58" s="237"/>
      <c r="L58" s="237"/>
      <c r="M58" s="237"/>
      <c r="N58" s="238"/>
      <c r="O58" s="208"/>
    </row>
    <row r="59" spans="3:15" x14ac:dyDescent="0.2">
      <c r="C59" s="663"/>
      <c r="D59" s="240"/>
      <c r="E59" s="232"/>
      <c r="F59" s="241"/>
      <c r="G59" s="241"/>
      <c r="H59" s="241"/>
      <c r="I59" s="241"/>
      <c r="J59" s="241"/>
      <c r="K59" s="241"/>
      <c r="L59" s="234"/>
      <c r="M59" s="237"/>
      <c r="N59" s="238"/>
      <c r="O59" s="208"/>
    </row>
    <row r="60" spans="3:15" x14ac:dyDescent="0.2">
      <c r="C60" s="663"/>
      <c r="D60" s="240"/>
      <c r="E60" s="239"/>
      <c r="F60" s="242"/>
      <c r="G60" s="242" t="s">
        <v>71</v>
      </c>
      <c r="H60" s="242"/>
      <c r="I60" s="242" t="s">
        <v>72</v>
      </c>
      <c r="J60" s="243"/>
      <c r="K60" s="242" t="s">
        <v>73</v>
      </c>
      <c r="L60" s="238"/>
      <c r="M60" s="237"/>
      <c r="N60" s="238"/>
      <c r="O60" s="208"/>
    </row>
    <row r="61" spans="3:15" x14ac:dyDescent="0.2">
      <c r="C61" s="663"/>
      <c r="D61" s="240"/>
      <c r="E61" s="244"/>
      <c r="F61" s="237"/>
      <c r="G61" s="245" t="s">
        <v>74</v>
      </c>
      <c r="H61" s="237"/>
      <c r="I61" s="245" t="s">
        <v>74</v>
      </c>
      <c r="J61" s="237"/>
      <c r="K61" s="245" t="s">
        <v>74</v>
      </c>
      <c r="L61" s="238"/>
      <c r="M61" s="237"/>
      <c r="N61" s="238"/>
      <c r="O61" s="246"/>
    </row>
    <row r="62" spans="3:15" x14ac:dyDescent="0.2">
      <c r="C62" s="663"/>
      <c r="D62" s="240"/>
      <c r="E62" s="247"/>
      <c r="F62" s="248"/>
      <c r="G62" s="249"/>
      <c r="H62" s="237"/>
      <c r="I62" s="249"/>
      <c r="J62" s="237"/>
      <c r="K62" s="249"/>
      <c r="L62" s="238"/>
      <c r="M62" s="237"/>
      <c r="N62" s="238"/>
      <c r="O62" s="246"/>
    </row>
    <row r="63" spans="3:15" x14ac:dyDescent="0.2">
      <c r="C63" s="663"/>
      <c r="D63" s="240"/>
      <c r="E63" s="247"/>
      <c r="F63" s="248"/>
      <c r="G63" s="250"/>
      <c r="H63" s="237"/>
      <c r="I63" s="250"/>
      <c r="J63" s="237"/>
      <c r="K63" s="250"/>
      <c r="L63" s="238"/>
      <c r="M63" s="237"/>
      <c r="N63" s="238"/>
      <c r="O63" s="246"/>
    </row>
    <row r="64" spans="3:15" x14ac:dyDescent="0.2">
      <c r="C64" s="663"/>
      <c r="D64" s="240"/>
      <c r="E64" s="247"/>
      <c r="F64" s="248"/>
      <c r="G64" s="250"/>
      <c r="H64" s="237"/>
      <c r="I64" s="250">
        <v>1</v>
      </c>
      <c r="J64" s="237"/>
      <c r="K64" s="250"/>
      <c r="L64" s="238"/>
      <c r="M64" s="237"/>
      <c r="N64" s="238"/>
      <c r="O64" s="208"/>
    </row>
    <row r="65" spans="3:15" x14ac:dyDescent="0.2">
      <c r="C65" s="663"/>
      <c r="D65" s="240"/>
      <c r="E65" s="239" t="s">
        <v>75</v>
      </c>
      <c r="F65" s="237"/>
      <c r="G65" s="237"/>
      <c r="H65" s="237"/>
      <c r="I65" s="237"/>
      <c r="J65" s="237"/>
      <c r="K65" s="237"/>
      <c r="L65" s="238"/>
      <c r="M65" s="237"/>
      <c r="N65" s="238"/>
      <c r="O65" s="208"/>
    </row>
    <row r="66" spans="3:15" x14ac:dyDescent="0.2">
      <c r="C66" s="663"/>
      <c r="D66" s="240"/>
      <c r="E66" s="240"/>
      <c r="F66" s="237" t="s">
        <v>76</v>
      </c>
      <c r="G66" s="210">
        <f>P12</f>
        <v>0</v>
      </c>
      <c r="H66" s="245"/>
      <c r="I66" s="210">
        <f>P13</f>
        <v>0</v>
      </c>
      <c r="J66" s="245"/>
      <c r="K66" s="210">
        <f>P14</f>
        <v>0</v>
      </c>
      <c r="L66" s="238"/>
      <c r="M66" s="237"/>
      <c r="N66" s="238"/>
      <c r="O66" s="208"/>
    </row>
    <row r="67" spans="3:15" x14ac:dyDescent="0.2">
      <c r="C67" s="663"/>
      <c r="D67" s="240"/>
      <c r="E67" s="239"/>
      <c r="F67" s="237"/>
      <c r="G67" s="237"/>
      <c r="H67" s="237"/>
      <c r="I67" s="237"/>
      <c r="J67" s="237"/>
      <c r="K67" s="237"/>
      <c r="L67" s="238"/>
      <c r="M67" s="237"/>
      <c r="N67" s="238"/>
      <c r="O67" s="208"/>
    </row>
    <row r="68" spans="3:15" x14ac:dyDescent="0.2">
      <c r="C68" s="663"/>
      <c r="D68" s="240"/>
      <c r="E68" s="251"/>
      <c r="F68" s="252" t="s">
        <v>77</v>
      </c>
      <c r="G68" s="253" t="s">
        <v>78</v>
      </c>
      <c r="H68" s="228"/>
      <c r="I68" s="253" t="s">
        <v>433</v>
      </c>
      <c r="J68" s="228"/>
      <c r="K68" s="253" t="s">
        <v>434</v>
      </c>
      <c r="L68" s="254"/>
      <c r="M68" s="237"/>
      <c r="N68" s="238"/>
      <c r="O68" s="208"/>
    </row>
    <row r="69" spans="3:15" x14ac:dyDescent="0.2">
      <c r="C69" s="663"/>
      <c r="D69" s="240"/>
      <c r="E69" s="237" t="s">
        <v>79</v>
      </c>
      <c r="F69" s="237"/>
      <c r="G69" s="237"/>
      <c r="H69" s="237"/>
      <c r="I69" s="237"/>
      <c r="J69" s="237"/>
      <c r="K69" s="237"/>
      <c r="L69" s="237"/>
      <c r="M69" s="237"/>
      <c r="N69" s="238"/>
      <c r="O69" s="208"/>
    </row>
    <row r="70" spans="3:15" x14ac:dyDescent="0.2">
      <c r="C70" s="663"/>
      <c r="D70" s="240"/>
      <c r="E70" s="237"/>
      <c r="F70" s="245" t="s">
        <v>80</v>
      </c>
      <c r="G70" s="249">
        <f>G66*3</f>
        <v>0</v>
      </c>
      <c r="H70" s="245" t="s">
        <v>81</v>
      </c>
      <c r="I70" s="249">
        <f>I66*6</f>
        <v>0</v>
      </c>
      <c r="J70" s="245" t="s">
        <v>81</v>
      </c>
      <c r="K70" s="249">
        <f>K66*15</f>
        <v>0</v>
      </c>
      <c r="L70" s="245" t="s">
        <v>80</v>
      </c>
      <c r="M70" s="255">
        <f>SUM(G70,I70,K70)</f>
        <v>0</v>
      </c>
      <c r="N70" s="238"/>
      <c r="O70" s="208"/>
    </row>
    <row r="71" spans="3:15" x14ac:dyDescent="0.2">
      <c r="C71" s="663"/>
      <c r="D71" s="239"/>
      <c r="E71" s="237"/>
      <c r="F71" s="237"/>
      <c r="G71" s="237"/>
      <c r="H71" s="237"/>
      <c r="I71" s="237"/>
      <c r="J71" s="237"/>
      <c r="K71" s="237"/>
      <c r="L71" s="256"/>
      <c r="M71" s="245" t="s">
        <v>82</v>
      </c>
      <c r="N71" s="238"/>
      <c r="O71" s="208"/>
    </row>
    <row r="72" spans="3:15" x14ac:dyDescent="0.2">
      <c r="C72" s="663"/>
      <c r="D72" s="239"/>
      <c r="E72" s="237"/>
      <c r="F72" s="237"/>
      <c r="G72" s="237"/>
      <c r="H72" s="237"/>
      <c r="I72" s="237"/>
      <c r="J72" s="237"/>
      <c r="K72" s="237"/>
      <c r="L72" s="237"/>
      <c r="M72" s="237"/>
      <c r="N72" s="238"/>
      <c r="O72" s="208"/>
    </row>
    <row r="73" spans="3:15" x14ac:dyDescent="0.2">
      <c r="C73" s="663"/>
      <c r="D73" s="239"/>
      <c r="E73" s="237"/>
      <c r="F73" s="237"/>
      <c r="G73" s="237"/>
      <c r="H73" s="237"/>
      <c r="I73" s="237"/>
      <c r="J73" s="237"/>
      <c r="K73" s="237"/>
      <c r="L73" s="237"/>
      <c r="M73" s="237"/>
      <c r="N73" s="238"/>
      <c r="O73" s="208"/>
    </row>
    <row r="74" spans="3:15" x14ac:dyDescent="0.2">
      <c r="C74" s="663"/>
      <c r="D74" s="240"/>
      <c r="E74" s="237"/>
      <c r="F74" s="237"/>
      <c r="G74" s="237" t="s">
        <v>83</v>
      </c>
      <c r="H74" s="237"/>
      <c r="I74" s="237"/>
      <c r="J74" s="237"/>
      <c r="K74" s="237"/>
      <c r="L74" s="237"/>
      <c r="M74" s="237"/>
      <c r="N74" s="238"/>
      <c r="O74" s="208"/>
    </row>
    <row r="75" spans="3:15" x14ac:dyDescent="0.2">
      <c r="C75" s="663"/>
      <c r="D75" s="240"/>
      <c r="E75" s="237"/>
      <c r="F75" s="237"/>
      <c r="G75" s="237"/>
      <c r="H75" s="237"/>
      <c r="I75" s="237"/>
      <c r="J75" s="237"/>
      <c r="K75" s="237"/>
      <c r="L75" s="237"/>
      <c r="M75" s="237"/>
      <c r="N75" s="238"/>
      <c r="O75" s="208"/>
    </row>
    <row r="76" spans="3:15" x14ac:dyDescent="0.2">
      <c r="C76" s="663"/>
      <c r="D76" s="240"/>
      <c r="E76" s="237" t="s">
        <v>84</v>
      </c>
      <c r="F76" s="237"/>
      <c r="G76" s="245">
        <v>0.01</v>
      </c>
      <c r="H76" s="245">
        <v>0.02</v>
      </c>
      <c r="I76" s="245">
        <v>0.04</v>
      </c>
      <c r="J76" s="245">
        <v>0.06</v>
      </c>
      <c r="K76" s="245">
        <v>0.08</v>
      </c>
      <c r="L76" s="245">
        <v>0.1</v>
      </c>
      <c r="M76" s="237"/>
      <c r="N76" s="238"/>
      <c r="O76" s="208"/>
    </row>
    <row r="77" spans="3:15" x14ac:dyDescent="0.2">
      <c r="C77" s="663"/>
      <c r="D77" s="240"/>
      <c r="E77" s="237" t="s">
        <v>85</v>
      </c>
      <c r="F77" s="237"/>
      <c r="G77" s="237"/>
      <c r="H77" s="237"/>
      <c r="I77" s="237"/>
      <c r="J77" s="237"/>
      <c r="K77" s="237"/>
      <c r="L77" s="237"/>
      <c r="M77" s="237"/>
      <c r="N77" s="238"/>
      <c r="O77" s="208"/>
    </row>
    <row r="78" spans="3:15" x14ac:dyDescent="0.2">
      <c r="C78" s="663"/>
      <c r="D78" s="240"/>
      <c r="E78" s="237" t="s">
        <v>86</v>
      </c>
      <c r="F78" s="237"/>
      <c r="G78" s="245">
        <v>0</v>
      </c>
      <c r="H78" s="245">
        <v>1</v>
      </c>
      <c r="I78" s="245">
        <v>2</v>
      </c>
      <c r="J78" s="245">
        <v>3</v>
      </c>
      <c r="K78" s="245">
        <v>4</v>
      </c>
      <c r="L78" s="245">
        <v>5</v>
      </c>
      <c r="M78" s="237"/>
      <c r="N78" s="238"/>
      <c r="O78" s="208"/>
    </row>
    <row r="79" spans="3:15" ht="19.5" x14ac:dyDescent="0.35">
      <c r="C79" s="663"/>
      <c r="D79" s="240"/>
      <c r="E79" s="237" t="s">
        <v>85</v>
      </c>
      <c r="F79" s="237"/>
      <c r="G79" s="257"/>
      <c r="H79" s="257"/>
      <c r="I79" s="257"/>
      <c r="J79" s="257"/>
      <c r="K79" s="257"/>
      <c r="L79" s="257"/>
      <c r="M79" s="237"/>
      <c r="N79" s="238"/>
      <c r="O79" s="208"/>
    </row>
    <row r="80" spans="3:15" x14ac:dyDescent="0.2">
      <c r="C80" s="663"/>
      <c r="D80" s="240"/>
      <c r="E80" s="237" t="s">
        <v>87</v>
      </c>
      <c r="F80" s="237"/>
      <c r="G80" s="245">
        <v>0</v>
      </c>
      <c r="H80" s="245">
        <v>2</v>
      </c>
      <c r="I80" s="245">
        <v>4</v>
      </c>
      <c r="J80" s="245">
        <v>6</v>
      </c>
      <c r="K80" s="245">
        <v>8</v>
      </c>
      <c r="L80" s="245">
        <v>10</v>
      </c>
      <c r="M80" s="237"/>
      <c r="N80" s="238"/>
      <c r="O80" s="208"/>
    </row>
    <row r="81" spans="3:15" x14ac:dyDescent="0.2">
      <c r="C81" s="663"/>
      <c r="D81" s="239"/>
      <c r="E81" s="237"/>
      <c r="F81" s="237" t="s">
        <v>5</v>
      </c>
      <c r="G81" s="237"/>
      <c r="H81" s="237"/>
      <c r="I81" s="237"/>
      <c r="J81" s="237"/>
      <c r="K81" s="237"/>
      <c r="L81" s="237"/>
      <c r="M81" s="237"/>
      <c r="N81" s="238"/>
      <c r="O81" s="208"/>
    </row>
    <row r="82" spans="3:15" x14ac:dyDescent="0.2">
      <c r="C82" s="663"/>
      <c r="D82" s="239" t="s">
        <v>5</v>
      </c>
      <c r="E82" s="258"/>
      <c r="F82" s="237"/>
      <c r="G82" s="237"/>
      <c r="H82" s="237"/>
      <c r="I82" s="237"/>
      <c r="J82" s="237"/>
      <c r="K82" s="237"/>
      <c r="L82" s="237"/>
      <c r="M82" s="237"/>
      <c r="N82" s="238"/>
      <c r="O82" s="208"/>
    </row>
    <row r="83" spans="3:15" x14ac:dyDescent="0.2">
      <c r="C83" s="663"/>
      <c r="D83" s="239"/>
      <c r="E83" s="237" t="s">
        <v>88</v>
      </c>
      <c r="F83" s="237"/>
      <c r="G83" s="237" t="s">
        <v>89</v>
      </c>
      <c r="H83" s="237"/>
      <c r="I83" s="237"/>
      <c r="J83" s="259">
        <f>M70</f>
        <v>0</v>
      </c>
      <c r="K83" s="260">
        <f>I30</f>
        <v>0</v>
      </c>
      <c r="L83" s="245" t="s">
        <v>80</v>
      </c>
      <c r="M83" s="249">
        <f>IF(I30&lt;&gt;0,M70/I30,0)</f>
        <v>0</v>
      </c>
      <c r="N83" s="238"/>
      <c r="O83" s="208"/>
    </row>
    <row r="84" spans="3:15" ht="13.5" thickBot="1" x14ac:dyDescent="0.25">
      <c r="C84" s="663"/>
      <c r="D84" s="239"/>
      <c r="E84" s="237"/>
      <c r="F84" s="237"/>
      <c r="G84" s="237"/>
      <c r="H84" s="237"/>
      <c r="I84" s="237"/>
      <c r="J84" s="237"/>
      <c r="K84" s="237"/>
      <c r="L84" s="237"/>
      <c r="M84" s="237"/>
      <c r="N84" s="238"/>
      <c r="O84" s="208"/>
    </row>
    <row r="85" spans="3:15" x14ac:dyDescent="0.2">
      <c r="C85" s="663"/>
      <c r="D85" s="251"/>
      <c r="E85" s="252"/>
      <c r="F85" s="252"/>
      <c r="G85" s="252"/>
      <c r="H85" s="252"/>
      <c r="I85" s="261"/>
      <c r="J85" s="252"/>
      <c r="K85" s="252"/>
      <c r="L85" s="262" t="s">
        <v>90</v>
      </c>
      <c r="M85" s="263">
        <f>IF(M83*50&gt;5,5,M83*50)</f>
        <v>0</v>
      </c>
      <c r="N85" s="254"/>
      <c r="O85" s="208"/>
    </row>
    <row r="86" spans="3:15" x14ac:dyDescent="0.2">
      <c r="C86" s="663"/>
      <c r="D86" s="208"/>
      <c r="E86" s="208"/>
      <c r="F86" s="208"/>
      <c r="G86" s="208"/>
      <c r="H86" s="208"/>
      <c r="I86" s="208"/>
      <c r="J86" s="208"/>
      <c r="K86" s="208"/>
      <c r="L86" s="211"/>
      <c r="M86" s="208"/>
      <c r="N86" s="208"/>
      <c r="O86" s="208"/>
    </row>
  </sheetData>
  <sheetProtection password="EC65" sheet="1" objects="1" scenarios="1" selectLockedCells="1"/>
  <mergeCells count="4">
    <mergeCell ref="C27:C50"/>
    <mergeCell ref="C54:C86"/>
    <mergeCell ref="Q30:T30"/>
    <mergeCell ref="N10:P11"/>
  </mergeCells>
  <hyperlinks>
    <hyperlink ref="G9" location="'Traffic &amp; Accidents'!C29" display="Sheet 2" xr:uid="{00000000-0004-0000-0200-000000000000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44"/>
  <sheetViews>
    <sheetView showGridLines="0" topLeftCell="A4" workbookViewId="0">
      <selection activeCell="F19" sqref="F19:G19"/>
    </sheetView>
  </sheetViews>
  <sheetFormatPr defaultRowHeight="12.75" x14ac:dyDescent="0.2"/>
  <cols>
    <col min="1" max="1" width="9.140625" style="264"/>
    <col min="2" max="2" width="11.85546875" style="264" customWidth="1"/>
    <col min="3" max="3" width="6.5703125" style="264" customWidth="1"/>
    <col min="4" max="6" width="9.140625" style="264"/>
    <col min="7" max="9" width="7.42578125" style="264" customWidth="1"/>
    <col min="10" max="10" width="9.140625" style="264"/>
    <col min="11" max="11" width="9.42578125" style="264" customWidth="1"/>
    <col min="12" max="12" width="3" style="264" customWidth="1"/>
    <col min="13" max="16384" width="9.140625" style="264"/>
  </cols>
  <sheetData>
    <row r="1" spans="2:12" x14ac:dyDescent="0.2">
      <c r="B1"/>
      <c r="C1"/>
      <c r="D1"/>
      <c r="E1"/>
      <c r="F1"/>
      <c r="G1"/>
      <c r="H1"/>
      <c r="I1"/>
      <c r="J1"/>
      <c r="K1"/>
      <c r="L1"/>
    </row>
    <row r="2" spans="2:12" ht="13.5" thickBot="1" x14ac:dyDescent="0.25">
      <c r="B2"/>
      <c r="C2"/>
      <c r="D2"/>
      <c r="E2"/>
      <c r="F2"/>
      <c r="G2"/>
      <c r="H2"/>
      <c r="I2"/>
      <c r="J2"/>
      <c r="K2"/>
      <c r="L2"/>
    </row>
    <row r="3" spans="2:12" x14ac:dyDescent="0.2">
      <c r="B3" s="271"/>
      <c r="C3" s="109"/>
      <c r="D3" s="109"/>
      <c r="E3" s="109"/>
      <c r="F3" s="109"/>
      <c r="G3" s="109"/>
      <c r="H3" s="109"/>
      <c r="I3" s="95"/>
      <c r="J3" s="95"/>
      <c r="K3" s="272"/>
      <c r="L3" s="186"/>
    </row>
    <row r="4" spans="2:12" x14ac:dyDescent="0.2">
      <c r="B4" s="122" t="s">
        <v>451</v>
      </c>
      <c r="C4" s="273"/>
      <c r="D4" s="273"/>
      <c r="E4" s="75"/>
      <c r="F4" s="75"/>
      <c r="G4" s="75"/>
      <c r="H4" s="75"/>
      <c r="I4" s="38" t="s">
        <v>452</v>
      </c>
      <c r="J4" s="669"/>
      <c r="K4" s="670"/>
      <c r="L4" s="103"/>
    </row>
    <row r="5" spans="2:12" x14ac:dyDescent="0.2">
      <c r="B5" s="274"/>
      <c r="C5" s="75"/>
      <c r="D5" s="75"/>
      <c r="E5" s="14"/>
      <c r="F5" s="75"/>
      <c r="G5" s="75"/>
      <c r="H5" s="75"/>
      <c r="I5" s="33" t="s">
        <v>275</v>
      </c>
      <c r="J5" s="8" t="s">
        <v>276</v>
      </c>
      <c r="K5" s="275"/>
      <c r="L5" s="103"/>
    </row>
    <row r="6" spans="2:12" x14ac:dyDescent="0.2">
      <c r="B6" s="274"/>
      <c r="C6" s="75"/>
      <c r="D6" s="75"/>
      <c r="E6" s="14"/>
      <c r="F6" s="75"/>
      <c r="G6" s="75"/>
      <c r="H6" s="75"/>
      <c r="I6" s="33" t="s">
        <v>453</v>
      </c>
      <c r="J6" s="8" t="s">
        <v>277</v>
      </c>
      <c r="K6" s="275"/>
      <c r="L6" s="103"/>
    </row>
    <row r="7" spans="2:12" x14ac:dyDescent="0.2">
      <c r="B7" s="274"/>
      <c r="C7" s="276" t="s">
        <v>454</v>
      </c>
      <c r="D7" s="277" t="s">
        <v>455</v>
      </c>
      <c r="E7" s="278"/>
      <c r="F7" s="279"/>
      <c r="G7" s="279"/>
      <c r="H7" s="278"/>
      <c r="I7" s="278"/>
      <c r="J7" s="8"/>
      <c r="K7" s="75"/>
      <c r="L7" s="103"/>
    </row>
    <row r="8" spans="2:12" x14ac:dyDescent="0.2">
      <c r="B8" s="274"/>
      <c r="C8" s="276"/>
      <c r="D8" s="280"/>
      <c r="E8" s="278"/>
      <c r="F8" s="671" t="s">
        <v>259</v>
      </c>
      <c r="G8" s="671"/>
      <c r="H8" s="278"/>
      <c r="I8" s="278"/>
      <c r="J8" s="8"/>
      <c r="K8" s="75"/>
      <c r="L8" s="103"/>
    </row>
    <row r="9" spans="2:12" x14ac:dyDescent="0.2">
      <c r="B9" s="120"/>
      <c r="C9" s="278"/>
      <c r="D9" s="79" t="s">
        <v>456</v>
      </c>
      <c r="E9" s="279"/>
      <c r="F9" s="281"/>
      <c r="G9" s="281"/>
      <c r="H9" s="79" t="s">
        <v>457</v>
      </c>
      <c r="I9" s="282"/>
      <c r="J9" s="8"/>
      <c r="K9" s="283"/>
      <c r="L9" s="103"/>
    </row>
    <row r="10" spans="2:12" x14ac:dyDescent="0.2">
      <c r="B10" s="672"/>
      <c r="C10" s="673"/>
      <c r="D10" s="194"/>
      <c r="E10" s="116"/>
      <c r="F10" s="284"/>
      <c r="G10" s="278"/>
      <c r="H10" s="194"/>
      <c r="I10" s="674"/>
      <c r="J10" s="675"/>
      <c r="K10" s="75"/>
      <c r="L10" s="103"/>
    </row>
    <row r="11" spans="2:12" x14ac:dyDescent="0.2">
      <c r="B11" s="120"/>
      <c r="C11" s="38"/>
      <c r="D11" s="284"/>
      <c r="E11" s="116"/>
      <c r="F11" s="284"/>
      <c r="G11" s="284"/>
      <c r="H11" s="75"/>
      <c r="I11" s="75"/>
      <c r="J11" s="8"/>
      <c r="K11" s="75"/>
      <c r="L11" s="103"/>
    </row>
    <row r="12" spans="2:12" x14ac:dyDescent="0.2">
      <c r="B12" s="120"/>
      <c r="C12" s="38"/>
      <c r="D12" s="284"/>
      <c r="E12" s="116"/>
      <c r="F12" s="284"/>
      <c r="G12" s="284"/>
      <c r="H12" s="75"/>
      <c r="I12" s="75"/>
      <c r="J12" s="8"/>
      <c r="K12" s="75"/>
      <c r="L12" s="103"/>
    </row>
    <row r="13" spans="2:12" x14ac:dyDescent="0.2">
      <c r="B13" s="120"/>
      <c r="C13" s="285" t="s">
        <v>458</v>
      </c>
      <c r="D13" s="285"/>
      <c r="E13" s="116"/>
      <c r="F13" s="284"/>
      <c r="G13" s="284"/>
      <c r="H13" s="75"/>
      <c r="I13" s="75"/>
      <c r="J13" s="8"/>
      <c r="K13" s="75"/>
      <c r="L13" s="103"/>
    </row>
    <row r="14" spans="2:12" x14ac:dyDescent="0.2">
      <c r="B14" s="120"/>
      <c r="C14" s="38"/>
      <c r="D14" s="284"/>
      <c r="E14" s="116"/>
      <c r="F14" s="284"/>
      <c r="G14" s="284"/>
      <c r="H14" s="75"/>
      <c r="I14" s="75"/>
      <c r="J14" s="8"/>
      <c r="K14" s="75"/>
      <c r="L14" s="103"/>
    </row>
    <row r="15" spans="2:12" x14ac:dyDescent="0.2">
      <c r="B15" s="286"/>
      <c r="C15" s="276" t="s">
        <v>459</v>
      </c>
      <c r="D15" s="277" t="s">
        <v>460</v>
      </c>
      <c r="E15" s="75"/>
      <c r="F15" s="8"/>
      <c r="G15" s="31"/>
      <c r="H15" s="8"/>
      <c r="I15" s="287" t="s">
        <v>461</v>
      </c>
      <c r="J15" s="75"/>
      <c r="K15" s="75"/>
      <c r="L15" s="103"/>
    </row>
    <row r="16" spans="2:12" x14ac:dyDescent="0.2">
      <c r="B16" s="286"/>
      <c r="C16" s="75" t="s">
        <v>462</v>
      </c>
      <c r="D16" s="75"/>
      <c r="E16" s="75"/>
      <c r="F16" s="8"/>
      <c r="G16" s="8"/>
      <c r="H16" s="8"/>
      <c r="I16" s="287"/>
      <c r="J16" s="277" t="s">
        <v>460</v>
      </c>
      <c r="K16" s="75"/>
      <c r="L16" s="103"/>
    </row>
    <row r="17" spans="2:13" x14ac:dyDescent="0.2">
      <c r="B17" s="286"/>
      <c r="C17" s="276"/>
      <c r="D17" s="75"/>
      <c r="E17" s="75"/>
      <c r="F17" s="8"/>
      <c r="G17" s="8"/>
      <c r="H17" s="8"/>
      <c r="I17" s="287"/>
      <c r="J17" s="75"/>
      <c r="K17" s="75"/>
      <c r="L17" s="103"/>
    </row>
    <row r="18" spans="2:13" x14ac:dyDescent="0.2">
      <c r="B18" s="187"/>
      <c r="C18" s="116"/>
      <c r="D18" s="288" t="s">
        <v>463</v>
      </c>
      <c r="E18" s="75"/>
      <c r="F18" s="8"/>
      <c r="G18" s="8"/>
      <c r="H18" s="289"/>
      <c r="I18" s="116"/>
      <c r="J18" s="8"/>
      <c r="K18" s="75"/>
      <c r="L18" s="103"/>
    </row>
    <row r="19" spans="2:13" x14ac:dyDescent="0.2">
      <c r="B19" s="290"/>
      <c r="C19" s="127" t="s">
        <v>35</v>
      </c>
      <c r="D19" s="291" t="s">
        <v>464</v>
      </c>
      <c r="E19" s="75"/>
      <c r="F19" s="676" t="s">
        <v>440</v>
      </c>
      <c r="G19" s="676"/>
      <c r="H19" s="8"/>
      <c r="I19" s="8"/>
      <c r="J19" s="292" t="s">
        <v>463</v>
      </c>
      <c r="K19" s="75"/>
      <c r="L19" s="103"/>
    </row>
    <row r="20" spans="2:13" x14ac:dyDescent="0.2">
      <c r="B20" s="298" t="str">
        <f>IF(D20="","",1)</f>
        <v/>
      </c>
      <c r="C20" s="40" t="str">
        <f>IF(D20&lt;&gt;0,3,"")</f>
        <v/>
      </c>
      <c r="D20" s="293"/>
      <c r="E20" s="99" t="s">
        <v>465</v>
      </c>
      <c r="F20" s="294" t="s">
        <v>340</v>
      </c>
      <c r="G20" s="294"/>
      <c r="H20" s="8"/>
      <c r="I20" s="295" t="s">
        <v>237</v>
      </c>
      <c r="J20" s="291" t="s">
        <v>466</v>
      </c>
      <c r="K20" s="127" t="s">
        <v>132</v>
      </c>
      <c r="L20" s="103"/>
    </row>
    <row r="21" spans="2:13" x14ac:dyDescent="0.2">
      <c r="B21" s="298" t="str">
        <f>IF(D21="","",1)</f>
        <v/>
      </c>
      <c r="C21" s="40" t="str">
        <f>IF(D21&lt;&gt;0,6,"")</f>
        <v/>
      </c>
      <c r="D21" s="293"/>
      <c r="E21" s="294" t="s">
        <v>336</v>
      </c>
      <c r="F21" s="294" t="s">
        <v>341</v>
      </c>
      <c r="G21" s="294"/>
      <c r="H21" s="8"/>
      <c r="I21" s="78" t="s">
        <v>239</v>
      </c>
      <c r="J21" s="293"/>
      <c r="K21" s="96" t="str">
        <f>IF(J21&lt;&gt;0,2,"")</f>
        <v/>
      </c>
      <c r="L21" s="117" t="str">
        <f>IF(K21="","",1)</f>
        <v/>
      </c>
    </row>
    <row r="22" spans="2:13" x14ac:dyDescent="0.2">
      <c r="B22" s="298" t="str">
        <f>IF(D22="","",1)</f>
        <v/>
      </c>
      <c r="C22" s="40" t="str">
        <f>IF(D22&lt;&gt;0,9,"")</f>
        <v/>
      </c>
      <c r="D22" s="293"/>
      <c r="E22" s="99" t="s">
        <v>467</v>
      </c>
      <c r="F22" s="294" t="s">
        <v>342</v>
      </c>
      <c r="G22" s="294"/>
      <c r="H22" s="8"/>
      <c r="I22" s="78" t="s">
        <v>240</v>
      </c>
      <c r="J22" s="293"/>
      <c r="K22" s="96" t="str">
        <f>IF(J22&lt;&gt;0,4,"")</f>
        <v/>
      </c>
      <c r="L22" s="117" t="str">
        <f>IF(K22="","",1)</f>
        <v/>
      </c>
    </row>
    <row r="23" spans="2:13" x14ac:dyDescent="0.2">
      <c r="B23" s="298" t="str">
        <f>IF(D23="","",1)</f>
        <v/>
      </c>
      <c r="C23" s="40" t="str">
        <f>IF(D23&lt;&gt;0,12,"")</f>
        <v/>
      </c>
      <c r="D23" s="293"/>
      <c r="E23" s="99" t="s">
        <v>337</v>
      </c>
      <c r="F23" s="294" t="s">
        <v>343</v>
      </c>
      <c r="G23" s="294"/>
      <c r="H23" s="8"/>
      <c r="I23" s="78" t="s">
        <v>241</v>
      </c>
      <c r="J23" s="293"/>
      <c r="K23" s="96" t="str">
        <f>IF(J23&lt;&gt;0,6,"")</f>
        <v/>
      </c>
      <c r="L23" s="117" t="str">
        <f>IF(K23="","",1)</f>
        <v/>
      </c>
    </row>
    <row r="24" spans="2:13" x14ac:dyDescent="0.2">
      <c r="B24" s="298" t="str">
        <f>IF(D24="","",1)</f>
        <v/>
      </c>
      <c r="C24" s="40" t="str">
        <f>IF(D24&lt;&gt;0,15,"")</f>
        <v/>
      </c>
      <c r="D24" s="293"/>
      <c r="E24" s="99" t="s">
        <v>338</v>
      </c>
      <c r="F24" s="294" t="s">
        <v>344</v>
      </c>
      <c r="G24" s="294"/>
      <c r="H24" s="75"/>
      <c r="I24" s="78" t="s">
        <v>468</v>
      </c>
      <c r="J24" s="293"/>
      <c r="K24" s="96" t="str">
        <f>IF(J24&lt;&gt;0,8,"")</f>
        <v/>
      </c>
      <c r="L24" s="117" t="str">
        <f>IF(K24="","",1)</f>
        <v/>
      </c>
    </row>
    <row r="25" spans="2:13" ht="13.5" thickBot="1" x14ac:dyDescent="0.25">
      <c r="B25" s="299">
        <f>SUM(B20:B24)</f>
        <v>0</v>
      </c>
      <c r="C25" s="118">
        <f>IF(B25&gt;1,0,SUM(C20:C24))</f>
        <v>0</v>
      </c>
      <c r="D25" s="296"/>
      <c r="E25" s="105"/>
      <c r="F25" s="205"/>
      <c r="G25" s="205"/>
      <c r="H25" s="205"/>
      <c r="I25" s="105"/>
      <c r="J25" s="105"/>
      <c r="K25" s="118">
        <f>IF(L25&gt;1,0,SUM(K21:K24))</f>
        <v>0</v>
      </c>
      <c r="L25" s="119">
        <f>SUM(L22:L24)</f>
        <v>0</v>
      </c>
    </row>
    <row r="32" spans="2:13" ht="13.5" thickBot="1" x14ac:dyDescent="0.25">
      <c r="B32" s="208"/>
      <c r="C32" s="208"/>
      <c r="D32" s="208"/>
      <c r="E32" s="208"/>
      <c r="F32" s="208"/>
      <c r="G32" s="208"/>
      <c r="H32" s="208"/>
      <c r="I32" s="208"/>
      <c r="J32" s="208"/>
      <c r="K32" s="208"/>
      <c r="L32" s="208"/>
      <c r="M32" s="208"/>
    </row>
    <row r="33" spans="1:13" ht="13.5" customHeight="1" thickTop="1" x14ac:dyDescent="0.45">
      <c r="A33" s="668"/>
      <c r="B33" s="516"/>
      <c r="C33" s="517"/>
      <c r="D33" s="517"/>
      <c r="E33" s="517"/>
      <c r="F33" s="517"/>
      <c r="G33" s="517"/>
      <c r="H33" s="517"/>
      <c r="I33" s="609"/>
      <c r="J33" s="609"/>
      <c r="K33" s="683" t="s">
        <v>446</v>
      </c>
      <c r="L33" s="684"/>
      <c r="M33" s="208"/>
    </row>
    <row r="34" spans="1:13" ht="12.75" customHeight="1" x14ac:dyDescent="0.2">
      <c r="A34" s="668"/>
      <c r="B34" s="518"/>
      <c r="C34" s="519"/>
      <c r="D34" s="519"/>
      <c r="E34" s="519"/>
      <c r="F34" s="519"/>
      <c r="G34" s="687" t="s">
        <v>469</v>
      </c>
      <c r="H34" s="687"/>
      <c r="I34" s="687"/>
      <c r="J34" s="687"/>
      <c r="K34" s="685"/>
      <c r="L34" s="686"/>
      <c r="M34" s="208"/>
    </row>
    <row r="35" spans="1:13" ht="12.75" customHeight="1" x14ac:dyDescent="0.2">
      <c r="A35" s="668"/>
      <c r="B35" s="521" t="s">
        <v>92</v>
      </c>
      <c r="C35" s="522"/>
      <c r="D35" s="522"/>
      <c r="E35" s="522"/>
      <c r="F35" s="522"/>
      <c r="G35" s="687"/>
      <c r="H35" s="687"/>
      <c r="I35" s="687"/>
      <c r="J35" s="687"/>
      <c r="K35" s="685"/>
      <c r="L35" s="686"/>
      <c r="M35" s="208"/>
    </row>
    <row r="36" spans="1:13" ht="12.75" customHeight="1" x14ac:dyDescent="0.2">
      <c r="A36" s="668"/>
      <c r="B36" s="518"/>
      <c r="C36" s="519"/>
      <c r="D36" s="519"/>
      <c r="E36" s="519"/>
      <c r="F36" s="519"/>
      <c r="G36" s="687"/>
      <c r="H36" s="687"/>
      <c r="I36" s="687"/>
      <c r="J36" s="687"/>
      <c r="K36" s="685"/>
      <c r="L36" s="686"/>
      <c r="M36" s="208"/>
    </row>
    <row r="37" spans="1:13" x14ac:dyDescent="0.2">
      <c r="A37" s="668"/>
      <c r="B37" s="518"/>
      <c r="C37" s="519"/>
      <c r="D37" s="519"/>
      <c r="E37" s="519"/>
      <c r="F37" s="519"/>
      <c r="G37" s="519"/>
      <c r="H37" s="519"/>
      <c r="I37" s="519"/>
      <c r="J37" s="519"/>
      <c r="K37" s="685"/>
      <c r="L37" s="686"/>
      <c r="M37" s="208"/>
    </row>
    <row r="38" spans="1:13" x14ac:dyDescent="0.2">
      <c r="A38" s="668"/>
      <c r="B38" s="524" t="s">
        <v>93</v>
      </c>
      <c r="C38" s="150">
        <v>0</v>
      </c>
      <c r="D38" s="520"/>
      <c r="E38" s="519" t="s">
        <v>93</v>
      </c>
      <c r="F38" s="519" t="s">
        <v>94</v>
      </c>
      <c r="G38" s="519"/>
      <c r="H38" s="519"/>
      <c r="I38" s="519"/>
      <c r="J38" s="519"/>
      <c r="K38" s="519"/>
      <c r="L38" s="525"/>
      <c r="M38" s="155"/>
    </row>
    <row r="39" spans="1:13" x14ac:dyDescent="0.2">
      <c r="A39" s="668"/>
      <c r="B39" s="524"/>
      <c r="C39" s="150"/>
      <c r="D39" s="520"/>
      <c r="E39" s="519"/>
      <c r="F39" s="519" t="s">
        <v>95</v>
      </c>
      <c r="G39" s="519"/>
      <c r="H39" s="519"/>
      <c r="I39" s="519"/>
      <c r="J39" s="519"/>
      <c r="K39" s="519"/>
      <c r="L39" s="525"/>
      <c r="M39" s="155"/>
    </row>
    <row r="40" spans="1:13" x14ac:dyDescent="0.2">
      <c r="A40" s="668"/>
      <c r="B40" s="518"/>
      <c r="C40" s="150"/>
      <c r="D40" s="520"/>
      <c r="E40" s="520"/>
      <c r="F40" s="520"/>
      <c r="G40" s="520"/>
      <c r="H40" s="519"/>
      <c r="I40" s="519"/>
      <c r="J40" s="519"/>
      <c r="K40" s="519"/>
      <c r="L40" s="523"/>
      <c r="M40" s="155"/>
    </row>
    <row r="41" spans="1:13" x14ac:dyDescent="0.2">
      <c r="A41" s="668"/>
      <c r="B41" s="524" t="s">
        <v>96</v>
      </c>
      <c r="C41" s="150">
        <v>2</v>
      </c>
      <c r="D41" s="520"/>
      <c r="E41" s="519" t="s">
        <v>96</v>
      </c>
      <c r="F41" s="519" t="s">
        <v>97</v>
      </c>
      <c r="G41" s="519"/>
      <c r="H41" s="519"/>
      <c r="I41" s="519"/>
      <c r="J41" s="519"/>
      <c r="K41" s="519"/>
      <c r="L41" s="525"/>
      <c r="M41" s="155"/>
    </row>
    <row r="42" spans="1:13" x14ac:dyDescent="0.2">
      <c r="A42" s="668"/>
      <c r="B42" s="524"/>
      <c r="C42" s="150"/>
      <c r="D42" s="520"/>
      <c r="E42" s="520"/>
      <c r="F42" s="520"/>
      <c r="G42" s="520" t="s">
        <v>98</v>
      </c>
      <c r="H42" s="520"/>
      <c r="I42" s="520"/>
      <c r="J42" s="519"/>
      <c r="K42" s="519"/>
      <c r="L42" s="525"/>
      <c r="M42" s="155"/>
    </row>
    <row r="43" spans="1:13" x14ac:dyDescent="0.2">
      <c r="A43" s="668"/>
      <c r="B43" s="518"/>
      <c r="C43" s="150"/>
      <c r="D43" s="520"/>
      <c r="E43" s="520"/>
      <c r="F43" s="520"/>
      <c r="G43" s="520"/>
      <c r="H43" s="519"/>
      <c r="I43" s="519"/>
      <c r="J43" s="519"/>
      <c r="K43" s="519"/>
      <c r="L43" s="523"/>
      <c r="M43" s="155"/>
    </row>
    <row r="44" spans="1:13" x14ac:dyDescent="0.2">
      <c r="A44" s="668"/>
      <c r="B44" s="524" t="s">
        <v>99</v>
      </c>
      <c r="C44" s="150">
        <v>4</v>
      </c>
      <c r="D44" s="520"/>
      <c r="E44" s="519" t="s">
        <v>99</v>
      </c>
      <c r="F44" s="519" t="s">
        <v>100</v>
      </c>
      <c r="G44" s="519"/>
      <c r="H44" s="519"/>
      <c r="I44" s="519"/>
      <c r="J44" s="519"/>
      <c r="K44" s="519"/>
      <c r="L44" s="525"/>
      <c r="M44" s="155"/>
    </row>
    <row r="45" spans="1:13" x14ac:dyDescent="0.2">
      <c r="A45" s="668"/>
      <c r="B45" s="524"/>
      <c r="C45" s="150"/>
      <c r="D45" s="520"/>
      <c r="E45" s="520"/>
      <c r="F45" s="519" t="s">
        <v>101</v>
      </c>
      <c r="G45" s="519"/>
      <c r="H45" s="519"/>
      <c r="I45" s="519"/>
      <c r="J45" s="519"/>
      <c r="K45" s="519"/>
      <c r="L45" s="525"/>
      <c r="M45" s="155"/>
    </row>
    <row r="46" spans="1:13" x14ac:dyDescent="0.2">
      <c r="A46" s="668"/>
      <c r="B46" s="524"/>
      <c r="C46" s="150"/>
      <c r="D46" s="520"/>
      <c r="E46" s="520"/>
      <c r="F46" s="519" t="s">
        <v>102</v>
      </c>
      <c r="G46" s="519"/>
      <c r="H46" s="519"/>
      <c r="I46" s="519"/>
      <c r="J46" s="519"/>
      <c r="K46" s="519"/>
      <c r="L46" s="525"/>
      <c r="M46" s="155"/>
    </row>
    <row r="47" spans="1:13" x14ac:dyDescent="0.2">
      <c r="A47" s="668"/>
      <c r="B47" s="524" t="s">
        <v>103</v>
      </c>
      <c r="C47" s="150">
        <v>6</v>
      </c>
      <c r="D47" s="520"/>
      <c r="E47" s="519" t="s">
        <v>103</v>
      </c>
      <c r="F47" s="519" t="s">
        <v>104</v>
      </c>
      <c r="G47" s="519"/>
      <c r="H47" s="519"/>
      <c r="I47" s="519"/>
      <c r="J47" s="519"/>
      <c r="K47" s="519"/>
      <c r="L47" s="525"/>
      <c r="M47" s="155"/>
    </row>
    <row r="48" spans="1:13" x14ac:dyDescent="0.2">
      <c r="A48" s="668"/>
      <c r="B48" s="524"/>
      <c r="C48" s="150"/>
      <c r="D48" s="520"/>
      <c r="E48" s="520"/>
      <c r="F48" s="519" t="s">
        <v>105</v>
      </c>
      <c r="G48" s="519"/>
      <c r="H48" s="519"/>
      <c r="I48" s="519"/>
      <c r="J48" s="519"/>
      <c r="K48" s="519"/>
      <c r="L48" s="525"/>
      <c r="M48" s="155"/>
    </row>
    <row r="49" spans="1:13" x14ac:dyDescent="0.2">
      <c r="A49" s="668"/>
      <c r="B49" s="524"/>
      <c r="C49" s="150"/>
      <c r="D49" s="520"/>
      <c r="E49" s="520"/>
      <c r="F49" s="519" t="s">
        <v>106</v>
      </c>
      <c r="G49" s="519"/>
      <c r="H49" s="519"/>
      <c r="I49" s="519"/>
      <c r="J49" s="519"/>
      <c r="K49" s="519"/>
      <c r="L49" s="525"/>
      <c r="M49" s="155"/>
    </row>
    <row r="50" spans="1:13" x14ac:dyDescent="0.2">
      <c r="A50" s="668"/>
      <c r="B50" s="524" t="s">
        <v>107</v>
      </c>
      <c r="C50" s="150">
        <v>8</v>
      </c>
      <c r="D50" s="520"/>
      <c r="E50" s="519" t="s">
        <v>107</v>
      </c>
      <c r="F50" s="519" t="s">
        <v>108</v>
      </c>
      <c r="G50" s="519"/>
      <c r="H50" s="519"/>
      <c r="I50" s="519"/>
      <c r="J50" s="519"/>
      <c r="K50" s="519"/>
      <c r="L50" s="525"/>
      <c r="M50" s="155"/>
    </row>
    <row r="51" spans="1:13" x14ac:dyDescent="0.2">
      <c r="A51" s="668"/>
      <c r="B51" s="524"/>
      <c r="C51" s="150"/>
      <c r="D51" s="520"/>
      <c r="E51" s="520"/>
      <c r="F51" s="519" t="s">
        <v>109</v>
      </c>
      <c r="G51" s="519"/>
      <c r="H51" s="519"/>
      <c r="I51" s="519"/>
      <c r="J51" s="519"/>
      <c r="K51" s="519"/>
      <c r="L51" s="525"/>
      <c r="M51" s="155"/>
    </row>
    <row r="52" spans="1:13" x14ac:dyDescent="0.2">
      <c r="A52" s="668"/>
      <c r="B52" s="524"/>
      <c r="C52" s="150"/>
      <c r="D52" s="520"/>
      <c r="E52" s="519"/>
      <c r="F52" s="519" t="s">
        <v>110</v>
      </c>
      <c r="G52" s="519"/>
      <c r="H52" s="519"/>
      <c r="I52" s="519"/>
      <c r="J52" s="519"/>
      <c r="K52" s="519"/>
      <c r="L52" s="525"/>
      <c r="M52" s="155"/>
    </row>
    <row r="53" spans="1:13" x14ac:dyDescent="0.2">
      <c r="A53" s="668"/>
      <c r="B53" s="524" t="s">
        <v>111</v>
      </c>
      <c r="C53" s="150">
        <v>10</v>
      </c>
      <c r="D53" s="520"/>
      <c r="E53" s="519" t="s">
        <v>111</v>
      </c>
      <c r="F53" s="519" t="s">
        <v>112</v>
      </c>
      <c r="G53" s="519"/>
      <c r="H53" s="519"/>
      <c r="I53" s="519"/>
      <c r="J53" s="519"/>
      <c r="K53" s="519"/>
      <c r="L53" s="525"/>
      <c r="M53" s="155"/>
    </row>
    <row r="54" spans="1:13" x14ac:dyDescent="0.2">
      <c r="A54" s="668"/>
      <c r="B54" s="524"/>
      <c r="C54" s="519"/>
      <c r="D54" s="520"/>
      <c r="E54" s="520"/>
      <c r="F54" s="519" t="s">
        <v>113</v>
      </c>
      <c r="G54" s="519"/>
      <c r="H54" s="519"/>
      <c r="I54" s="519"/>
      <c r="J54" s="519"/>
      <c r="K54" s="519"/>
      <c r="L54" s="525"/>
      <c r="M54" s="208"/>
    </row>
    <row r="55" spans="1:13" x14ac:dyDescent="0.2">
      <c r="A55" s="668"/>
      <c r="B55" s="524"/>
      <c r="C55" s="520"/>
      <c r="D55" s="520"/>
      <c r="E55" s="520"/>
      <c r="F55" s="519" t="s">
        <v>114</v>
      </c>
      <c r="G55" s="519"/>
      <c r="H55" s="519"/>
      <c r="I55" s="519"/>
      <c r="J55" s="519"/>
      <c r="K55" s="519"/>
      <c r="L55" s="525"/>
      <c r="M55" s="212"/>
    </row>
    <row r="56" spans="1:13" x14ac:dyDescent="0.2">
      <c r="A56" s="668"/>
      <c r="B56" s="524"/>
      <c r="C56" s="519" t="s">
        <v>115</v>
      </c>
      <c r="D56" s="519"/>
      <c r="E56" s="519"/>
      <c r="F56" s="519"/>
      <c r="G56" s="519"/>
      <c r="H56" s="519"/>
      <c r="I56" s="519"/>
      <c r="J56" s="519"/>
      <c r="K56" s="519"/>
      <c r="L56" s="525"/>
      <c r="M56" s="208"/>
    </row>
    <row r="57" spans="1:13" x14ac:dyDescent="0.2">
      <c r="A57" s="668"/>
      <c r="B57" s="524"/>
      <c r="C57" s="519"/>
      <c r="D57" s="519"/>
      <c r="E57" s="519"/>
      <c r="F57" s="519"/>
      <c r="G57" s="519"/>
      <c r="H57" s="519"/>
      <c r="I57" s="519"/>
      <c r="J57" s="519"/>
      <c r="K57" s="519"/>
      <c r="L57" s="525"/>
      <c r="M57" s="208"/>
    </row>
    <row r="58" spans="1:13" x14ac:dyDescent="0.2">
      <c r="A58" s="668"/>
      <c r="B58" s="524"/>
      <c r="C58" s="519"/>
      <c r="D58" s="519"/>
      <c r="E58" s="519"/>
      <c r="F58" s="519"/>
      <c r="G58" s="519"/>
      <c r="H58" s="519"/>
      <c r="I58" s="519"/>
      <c r="J58" s="519"/>
      <c r="K58" s="519"/>
      <c r="L58" s="525"/>
      <c r="M58" s="208"/>
    </row>
    <row r="59" spans="1:13" x14ac:dyDescent="0.2">
      <c r="A59" s="668"/>
      <c r="B59" s="526"/>
      <c r="C59" s="520"/>
      <c r="D59" s="520"/>
      <c r="E59" s="519"/>
      <c r="F59" s="519"/>
      <c r="G59" s="519"/>
      <c r="H59" s="519"/>
      <c r="I59" s="519"/>
      <c r="J59" s="519"/>
      <c r="K59" s="519"/>
      <c r="L59" s="527"/>
      <c r="M59" s="212"/>
    </row>
    <row r="60" spans="1:13" x14ac:dyDescent="0.2">
      <c r="A60" s="668"/>
      <c r="B60" s="521" t="s">
        <v>116</v>
      </c>
      <c r="C60" s="522"/>
      <c r="D60" s="522"/>
      <c r="E60" s="519" t="s">
        <v>117</v>
      </c>
      <c r="F60" s="519"/>
      <c r="G60" s="520"/>
      <c r="H60" s="519" t="s">
        <v>118</v>
      </c>
      <c r="I60" s="519"/>
      <c r="J60" s="519" t="s">
        <v>119</v>
      </c>
      <c r="K60" s="519"/>
      <c r="L60" s="528"/>
      <c r="M60" s="208"/>
    </row>
    <row r="61" spans="1:13" x14ac:dyDescent="0.2">
      <c r="A61" s="668"/>
      <c r="B61" s="529"/>
      <c r="C61" s="519"/>
      <c r="D61" s="519"/>
      <c r="E61" s="519"/>
      <c r="F61" s="519"/>
      <c r="G61" s="519"/>
      <c r="H61" s="519"/>
      <c r="I61" s="519"/>
      <c r="J61" s="519"/>
      <c r="K61" s="519"/>
      <c r="L61" s="528"/>
      <c r="M61" s="208"/>
    </row>
    <row r="62" spans="1:13" x14ac:dyDescent="0.2">
      <c r="A62" s="668"/>
      <c r="B62" s="529"/>
      <c r="C62" s="519"/>
      <c r="D62" s="519"/>
      <c r="E62" s="519"/>
      <c r="F62" s="519"/>
      <c r="G62" s="519"/>
      <c r="H62" s="519"/>
      <c r="I62" s="519"/>
      <c r="J62" s="519"/>
      <c r="K62" s="519"/>
      <c r="L62" s="528"/>
      <c r="M62" s="208"/>
    </row>
    <row r="63" spans="1:13" x14ac:dyDescent="0.2">
      <c r="A63" s="668"/>
      <c r="B63" s="518"/>
      <c r="C63" s="519"/>
      <c r="D63" s="519"/>
      <c r="E63" s="519"/>
      <c r="F63" s="519"/>
      <c r="G63" s="519"/>
      <c r="H63" s="519"/>
      <c r="I63" s="519"/>
      <c r="J63" s="519"/>
      <c r="K63" s="519"/>
      <c r="L63" s="523"/>
      <c r="M63" s="208"/>
    </row>
    <row r="64" spans="1:13" x14ac:dyDescent="0.2">
      <c r="A64" s="668"/>
      <c r="B64" s="521" t="s">
        <v>120</v>
      </c>
      <c r="C64" s="522"/>
      <c r="D64" s="522"/>
      <c r="E64" s="522"/>
      <c r="F64" s="522"/>
      <c r="G64" s="519"/>
      <c r="H64" s="519"/>
      <c r="I64" s="519"/>
      <c r="J64" s="519"/>
      <c r="K64" s="519"/>
      <c r="L64" s="528"/>
      <c r="M64" s="208"/>
    </row>
    <row r="65" spans="1:13" x14ac:dyDescent="0.2">
      <c r="A65" s="668"/>
      <c r="B65" s="518"/>
      <c r="C65" s="519"/>
      <c r="D65" s="519"/>
      <c r="E65" s="519"/>
      <c r="F65" s="519"/>
      <c r="G65" s="519"/>
      <c r="H65" s="519"/>
      <c r="I65" s="519"/>
      <c r="J65" s="519"/>
      <c r="K65" s="519"/>
      <c r="L65" s="523"/>
      <c r="M65" s="208"/>
    </row>
    <row r="66" spans="1:13" x14ac:dyDescent="0.2">
      <c r="A66" s="668"/>
      <c r="B66" s="518" t="s">
        <v>3</v>
      </c>
      <c r="C66" s="519"/>
      <c r="D66" s="519"/>
      <c r="E66" s="519"/>
      <c r="F66" s="519"/>
      <c r="G66" s="519"/>
      <c r="H66" s="519"/>
      <c r="I66" s="519"/>
      <c r="J66" s="519"/>
      <c r="K66" s="519"/>
      <c r="L66" s="523"/>
      <c r="M66" s="208"/>
    </row>
    <row r="67" spans="1:13" x14ac:dyDescent="0.2">
      <c r="A67" s="668"/>
      <c r="B67" s="524" t="s">
        <v>93</v>
      </c>
      <c r="C67" s="150">
        <v>0</v>
      </c>
      <c r="D67" s="530"/>
      <c r="E67" s="519" t="s">
        <v>93</v>
      </c>
      <c r="F67" s="519" t="s">
        <v>121</v>
      </c>
      <c r="G67" s="519"/>
      <c r="H67" s="519"/>
      <c r="I67" s="519"/>
      <c r="J67" s="519"/>
      <c r="K67" s="519"/>
      <c r="L67" s="525"/>
      <c r="M67" s="155"/>
    </row>
    <row r="68" spans="1:13" x14ac:dyDescent="0.2">
      <c r="A68" s="668"/>
      <c r="B68" s="524"/>
      <c r="C68" s="150"/>
      <c r="D68" s="520"/>
      <c r="E68" s="519"/>
      <c r="F68" s="519"/>
      <c r="G68" s="519"/>
      <c r="H68" s="519"/>
      <c r="I68" s="519"/>
      <c r="J68" s="519"/>
      <c r="K68" s="519"/>
      <c r="L68" s="525"/>
      <c r="M68" s="155"/>
    </row>
    <row r="69" spans="1:13" x14ac:dyDescent="0.2">
      <c r="A69" s="668"/>
      <c r="B69" s="524" t="s">
        <v>96</v>
      </c>
      <c r="C69" s="150">
        <v>5</v>
      </c>
      <c r="D69" s="520"/>
      <c r="E69" s="519" t="s">
        <v>96</v>
      </c>
      <c r="F69" s="519" t="s">
        <v>122</v>
      </c>
      <c r="G69" s="519"/>
      <c r="H69" s="519"/>
      <c r="I69" s="519"/>
      <c r="J69" s="519"/>
      <c r="K69" s="519"/>
      <c r="L69" s="525"/>
      <c r="M69" s="155"/>
    </row>
    <row r="70" spans="1:13" x14ac:dyDescent="0.2">
      <c r="A70" s="668"/>
      <c r="B70" s="524"/>
      <c r="C70" s="150"/>
      <c r="D70" s="520"/>
      <c r="E70" s="519"/>
      <c r="F70" s="519"/>
      <c r="G70" s="520"/>
      <c r="H70" s="519"/>
      <c r="I70" s="519"/>
      <c r="J70" s="519"/>
      <c r="K70" s="519"/>
      <c r="L70" s="525"/>
      <c r="M70" s="155"/>
    </row>
    <row r="71" spans="1:13" x14ac:dyDescent="0.2">
      <c r="A71" s="668"/>
      <c r="B71" s="524" t="s">
        <v>103</v>
      </c>
      <c r="C71" s="150">
        <v>10</v>
      </c>
      <c r="D71" s="520"/>
      <c r="E71" s="519" t="s">
        <v>103</v>
      </c>
      <c r="F71" s="519" t="s">
        <v>123</v>
      </c>
      <c r="G71" s="519"/>
      <c r="H71" s="519"/>
      <c r="I71" s="519"/>
      <c r="J71" s="519"/>
      <c r="K71" s="519"/>
      <c r="L71" s="525"/>
      <c r="M71" s="155"/>
    </row>
    <row r="72" spans="1:13" x14ac:dyDescent="0.2">
      <c r="A72" s="668"/>
      <c r="B72" s="531"/>
      <c r="C72" s="150"/>
      <c r="D72" s="520"/>
      <c r="E72" s="520"/>
      <c r="F72" s="519" t="s">
        <v>124</v>
      </c>
      <c r="G72" s="519"/>
      <c r="H72" s="519"/>
      <c r="I72" s="519"/>
      <c r="J72" s="519"/>
      <c r="K72" s="519"/>
      <c r="L72" s="532"/>
      <c r="M72" s="155"/>
    </row>
    <row r="73" spans="1:13" x14ac:dyDescent="0.2">
      <c r="A73" s="668"/>
      <c r="B73" s="524" t="s">
        <v>111</v>
      </c>
      <c r="C73" s="150">
        <v>15</v>
      </c>
      <c r="D73" s="520"/>
      <c r="E73" s="519" t="s">
        <v>111</v>
      </c>
      <c r="F73" s="519" t="s">
        <v>125</v>
      </c>
      <c r="G73" s="519"/>
      <c r="H73" s="519"/>
      <c r="I73" s="519"/>
      <c r="J73" s="519"/>
      <c r="K73" s="519"/>
      <c r="L73" s="525"/>
      <c r="M73" s="155"/>
    </row>
    <row r="74" spans="1:13" x14ac:dyDescent="0.2">
      <c r="A74" s="668"/>
      <c r="B74" s="531"/>
      <c r="C74" s="150"/>
      <c r="D74" s="520"/>
      <c r="E74" s="520"/>
      <c r="F74" s="519" t="s">
        <v>126</v>
      </c>
      <c r="G74" s="519"/>
      <c r="H74" s="519"/>
      <c r="I74" s="519"/>
      <c r="J74" s="519"/>
      <c r="K74" s="519"/>
      <c r="L74" s="532"/>
      <c r="M74" s="155"/>
    </row>
    <row r="75" spans="1:13" x14ac:dyDescent="0.2">
      <c r="A75" s="668"/>
      <c r="B75" s="524" t="s">
        <v>127</v>
      </c>
      <c r="C75" s="150">
        <v>20</v>
      </c>
      <c r="D75" s="533"/>
      <c r="E75" s="519" t="s">
        <v>127</v>
      </c>
      <c r="F75" s="519" t="s">
        <v>128</v>
      </c>
      <c r="G75" s="519"/>
      <c r="H75" s="519"/>
      <c r="I75" s="519"/>
      <c r="J75" s="519"/>
      <c r="K75" s="519"/>
      <c r="L75" s="525"/>
      <c r="M75" s="155"/>
    </row>
    <row r="76" spans="1:13" x14ac:dyDescent="0.2">
      <c r="A76" s="668"/>
      <c r="B76" s="526"/>
      <c r="C76" s="520"/>
      <c r="D76" s="520"/>
      <c r="E76" s="519"/>
      <c r="F76" s="519" t="s">
        <v>129</v>
      </c>
      <c r="G76" s="519"/>
      <c r="H76" s="519"/>
      <c r="I76" s="519"/>
      <c r="J76" s="519"/>
      <c r="K76" s="519"/>
      <c r="L76" s="527"/>
      <c r="M76" s="212"/>
    </row>
    <row r="77" spans="1:13" x14ac:dyDescent="0.2">
      <c r="A77" s="668"/>
      <c r="B77" s="518"/>
      <c r="C77" s="519"/>
      <c r="D77" s="519"/>
      <c r="E77" s="519"/>
      <c r="F77" s="519"/>
      <c r="G77" s="520"/>
      <c r="H77" s="519"/>
      <c r="I77" s="519"/>
      <c r="J77" s="519"/>
      <c r="K77" s="519"/>
      <c r="L77" s="523"/>
      <c r="M77" s="208"/>
    </row>
    <row r="78" spans="1:13" x14ac:dyDescent="0.2">
      <c r="A78" s="668"/>
      <c r="B78" s="518"/>
      <c r="C78" s="519" t="s">
        <v>115</v>
      </c>
      <c r="D78" s="519"/>
      <c r="E78" s="519"/>
      <c r="F78" s="519"/>
      <c r="G78" s="519"/>
      <c r="H78" s="519"/>
      <c r="I78" s="519"/>
      <c r="J78" s="519"/>
      <c r="K78" s="519"/>
      <c r="L78" s="523"/>
      <c r="M78" s="208"/>
    </row>
    <row r="79" spans="1:13" x14ac:dyDescent="0.2">
      <c r="A79" s="668"/>
      <c r="B79" s="518"/>
      <c r="C79" s="519"/>
      <c r="D79" s="519"/>
      <c r="E79" s="519"/>
      <c r="F79" s="519"/>
      <c r="G79" s="519"/>
      <c r="H79" s="519"/>
      <c r="I79" s="519"/>
      <c r="J79" s="519"/>
      <c r="K79" s="519"/>
      <c r="L79" s="523"/>
      <c r="M79" s="208"/>
    </row>
    <row r="80" spans="1:13" x14ac:dyDescent="0.2">
      <c r="A80" s="668"/>
      <c r="B80" s="518"/>
      <c r="C80" s="519"/>
      <c r="D80" s="519"/>
      <c r="E80" s="519"/>
      <c r="F80" s="519"/>
      <c r="G80" s="519"/>
      <c r="H80" s="519"/>
      <c r="I80" s="519"/>
      <c r="J80" s="519"/>
      <c r="K80" s="519"/>
      <c r="L80" s="523"/>
      <c r="M80" s="208"/>
    </row>
    <row r="81" spans="1:13" x14ac:dyDescent="0.2">
      <c r="A81" s="668"/>
      <c r="B81" s="518"/>
      <c r="C81" s="520"/>
      <c r="D81" s="519"/>
      <c r="E81" s="519"/>
      <c r="F81" s="519"/>
      <c r="G81" s="519"/>
      <c r="H81" s="519"/>
      <c r="I81" s="519"/>
      <c r="J81" s="519"/>
      <c r="K81" s="519"/>
      <c r="L81" s="523"/>
      <c r="M81" s="212"/>
    </row>
    <row r="82" spans="1:13" x14ac:dyDescent="0.2">
      <c r="A82" s="668"/>
      <c r="B82" s="518"/>
      <c r="C82" s="519"/>
      <c r="D82" s="519"/>
      <c r="E82" s="519"/>
      <c r="F82" s="519"/>
      <c r="G82" s="520"/>
      <c r="H82" s="519"/>
      <c r="I82" s="519"/>
      <c r="J82" s="519"/>
      <c r="K82" s="519"/>
      <c r="L82" s="523"/>
      <c r="M82" s="208"/>
    </row>
    <row r="83" spans="1:13" x14ac:dyDescent="0.2">
      <c r="A83" s="668"/>
      <c r="B83" s="518" t="s">
        <v>5</v>
      </c>
      <c r="C83" s="519"/>
      <c r="D83" s="519"/>
      <c r="E83" s="519"/>
      <c r="F83" s="519"/>
      <c r="G83" s="520"/>
      <c r="H83" s="519" t="s">
        <v>12</v>
      </c>
      <c r="I83" s="519"/>
      <c r="J83" s="519"/>
      <c r="K83" s="534"/>
      <c r="L83" s="523"/>
      <c r="M83" s="208"/>
    </row>
    <row r="84" spans="1:13" x14ac:dyDescent="0.2">
      <c r="A84" s="668"/>
      <c r="B84" s="518"/>
      <c r="C84" s="519" t="s">
        <v>85</v>
      </c>
      <c r="D84" s="519"/>
      <c r="E84" s="519"/>
      <c r="F84" s="519"/>
      <c r="G84" s="520"/>
      <c r="H84" s="519" t="s">
        <v>13</v>
      </c>
      <c r="I84" s="520"/>
      <c r="J84" s="519"/>
      <c r="K84" s="535"/>
      <c r="L84" s="523"/>
      <c r="M84" s="208"/>
    </row>
    <row r="85" spans="1:13" x14ac:dyDescent="0.2">
      <c r="A85" s="668"/>
      <c r="B85" s="518"/>
      <c r="C85" s="519"/>
      <c r="D85" s="519"/>
      <c r="E85" s="519"/>
      <c r="F85" s="519"/>
      <c r="G85" s="520"/>
      <c r="H85" s="519" t="s">
        <v>14</v>
      </c>
      <c r="I85" s="519"/>
      <c r="J85" s="519"/>
      <c r="K85" s="535"/>
      <c r="L85" s="523"/>
      <c r="M85" s="208"/>
    </row>
    <row r="86" spans="1:13" ht="13.5" thickBot="1" x14ac:dyDescent="0.25">
      <c r="B86" s="518"/>
      <c r="C86" s="519"/>
      <c r="D86" s="519"/>
      <c r="E86" s="519"/>
      <c r="F86" s="519"/>
      <c r="G86" s="520"/>
      <c r="H86" s="519"/>
      <c r="I86" s="519"/>
      <c r="J86" s="519"/>
      <c r="K86" s="519"/>
      <c r="L86" s="523"/>
      <c r="M86" s="208"/>
    </row>
    <row r="87" spans="1:13" ht="13.5" thickBot="1" x14ac:dyDescent="0.25">
      <c r="B87" s="536"/>
      <c r="C87" s="537"/>
      <c r="D87" s="537"/>
      <c r="E87" s="537"/>
      <c r="F87" s="538"/>
      <c r="G87" s="538"/>
      <c r="H87" s="538"/>
      <c r="I87" s="537"/>
      <c r="J87" s="539" t="s">
        <v>130</v>
      </c>
      <c r="K87" s="540">
        <f>D10</f>
        <v>0</v>
      </c>
      <c r="L87" s="541"/>
      <c r="M87" s="208"/>
    </row>
    <row r="88" spans="1:13" ht="13.5" thickTop="1" x14ac:dyDescent="0.2">
      <c r="B88" s="542"/>
      <c r="C88" s="542"/>
      <c r="D88" s="542"/>
      <c r="E88" s="542"/>
      <c r="F88" s="542"/>
      <c r="G88" s="543"/>
      <c r="H88" s="544"/>
      <c r="I88" s="544"/>
      <c r="J88" s="544"/>
      <c r="K88" s="544"/>
      <c r="L88" s="542"/>
      <c r="M88" s="208"/>
    </row>
    <row r="89" spans="1:13" ht="13.5" thickBot="1" x14ac:dyDescent="0.25">
      <c r="B89" s="545"/>
      <c r="C89" s="545"/>
      <c r="D89" s="545"/>
      <c r="E89" s="545"/>
      <c r="F89" s="545"/>
      <c r="G89" s="545"/>
      <c r="H89" s="545"/>
      <c r="I89" s="545"/>
      <c r="J89" s="545"/>
      <c r="K89" s="545"/>
      <c r="L89" s="545"/>
      <c r="M89" s="208"/>
    </row>
    <row r="90" spans="1:13" ht="13.5" customHeight="1" thickTop="1" x14ac:dyDescent="0.45">
      <c r="B90" s="546"/>
      <c r="C90" s="547"/>
      <c r="D90" s="547"/>
      <c r="E90" s="547"/>
      <c r="F90" s="547"/>
      <c r="G90" s="547"/>
      <c r="H90" s="547"/>
      <c r="I90" s="547"/>
      <c r="J90" s="606"/>
      <c r="K90" s="677" t="s">
        <v>446</v>
      </c>
      <c r="L90" s="678"/>
      <c r="M90" s="208"/>
    </row>
    <row r="91" spans="1:13" ht="12.75" customHeight="1" x14ac:dyDescent="0.2">
      <c r="A91" s="668"/>
      <c r="B91" s="607" t="s">
        <v>488</v>
      </c>
      <c r="C91" s="608"/>
      <c r="D91" s="608"/>
      <c r="E91" s="608"/>
      <c r="F91" s="608"/>
      <c r="G91" s="608"/>
      <c r="H91" s="681" t="s">
        <v>481</v>
      </c>
      <c r="I91" s="682"/>
      <c r="J91" s="682"/>
      <c r="K91" s="679"/>
      <c r="L91" s="680"/>
      <c r="M91" s="208"/>
    </row>
    <row r="92" spans="1:13" ht="12.75" customHeight="1" x14ac:dyDescent="0.2">
      <c r="A92" s="668"/>
      <c r="B92" s="548"/>
      <c r="C92" s="549"/>
      <c r="D92" s="549"/>
      <c r="E92" s="549"/>
      <c r="F92" s="549"/>
      <c r="G92" s="549"/>
      <c r="H92" s="682"/>
      <c r="I92" s="682"/>
      <c r="J92" s="682"/>
      <c r="K92" s="679"/>
      <c r="L92" s="680"/>
      <c r="M92" s="208"/>
    </row>
    <row r="93" spans="1:13" ht="12.75" customHeight="1" x14ac:dyDescent="0.2">
      <c r="A93" s="668"/>
      <c r="B93" s="548"/>
      <c r="C93" s="549"/>
      <c r="D93" s="549"/>
      <c r="E93" s="549"/>
      <c r="F93" s="549"/>
      <c r="G93" s="549"/>
      <c r="H93" s="682"/>
      <c r="I93" s="682"/>
      <c r="J93" s="682"/>
      <c r="K93" s="679"/>
      <c r="L93" s="680"/>
      <c r="M93" s="208"/>
    </row>
    <row r="94" spans="1:13" x14ac:dyDescent="0.2">
      <c r="A94" s="668"/>
      <c r="B94" s="550"/>
      <c r="C94" s="549" t="s">
        <v>227</v>
      </c>
      <c r="D94" s="549"/>
      <c r="E94" s="549"/>
      <c r="F94" s="549"/>
      <c r="G94" s="549"/>
      <c r="H94" s="549"/>
      <c r="I94" s="549"/>
      <c r="J94" s="549"/>
      <c r="K94" s="549"/>
      <c r="L94" s="551"/>
      <c r="M94" s="208"/>
    </row>
    <row r="95" spans="1:13" x14ac:dyDescent="0.2">
      <c r="A95" s="668"/>
      <c r="B95" s="550"/>
      <c r="C95" s="549" t="s">
        <v>91</v>
      </c>
      <c r="D95" s="549"/>
      <c r="E95" s="549"/>
      <c r="F95" s="549"/>
      <c r="G95" s="549"/>
      <c r="H95" s="549"/>
      <c r="I95" s="549"/>
      <c r="J95" s="549"/>
      <c r="K95" s="549"/>
      <c r="L95" s="551"/>
      <c r="M95" s="208"/>
    </row>
    <row r="96" spans="1:13" ht="15.75" x14ac:dyDescent="0.25">
      <c r="A96" s="668"/>
      <c r="B96" s="616" t="s">
        <v>390</v>
      </c>
      <c r="C96" s="617"/>
      <c r="D96" s="617"/>
      <c r="E96" s="617"/>
      <c r="F96" s="618"/>
      <c r="G96" s="617"/>
      <c r="H96" s="619" t="s">
        <v>228</v>
      </c>
      <c r="I96" s="620"/>
      <c r="J96" s="620"/>
      <c r="K96" s="620"/>
      <c r="L96" s="621"/>
      <c r="M96" s="208"/>
    </row>
    <row r="97" spans="1:13" x14ac:dyDescent="0.2">
      <c r="A97" s="668"/>
      <c r="B97" s="548"/>
      <c r="C97" s="549"/>
      <c r="D97" s="549"/>
      <c r="E97" s="549"/>
      <c r="F97" s="549"/>
      <c r="G97" s="549"/>
      <c r="H97" s="549"/>
      <c r="I97" s="549"/>
      <c r="J97" s="549"/>
      <c r="K97" s="549"/>
      <c r="L97" s="552"/>
      <c r="M97" s="208"/>
    </row>
    <row r="98" spans="1:13" x14ac:dyDescent="0.2">
      <c r="A98" s="668"/>
      <c r="B98" s="554" t="s">
        <v>96</v>
      </c>
      <c r="C98" s="555">
        <v>0</v>
      </c>
      <c r="D98" s="556"/>
      <c r="E98" s="557" t="s">
        <v>96</v>
      </c>
      <c r="F98" s="610" t="s">
        <v>484</v>
      </c>
      <c r="G98" s="549"/>
      <c r="H98" s="549"/>
      <c r="I98" s="549"/>
      <c r="J98" s="549"/>
      <c r="K98" s="549"/>
      <c r="L98" s="552"/>
      <c r="M98" s="208"/>
    </row>
    <row r="99" spans="1:13" x14ac:dyDescent="0.2">
      <c r="A99" s="668"/>
      <c r="B99" s="554"/>
      <c r="C99" s="555"/>
      <c r="D99" s="557"/>
      <c r="E99" s="557"/>
      <c r="F99" s="549"/>
      <c r="G99" s="549"/>
      <c r="H99" s="549"/>
      <c r="I99" s="549"/>
      <c r="J99" s="549"/>
      <c r="K99" s="549"/>
      <c r="L99" s="552"/>
      <c r="M99" s="208"/>
    </row>
    <row r="100" spans="1:13" x14ac:dyDescent="0.2">
      <c r="A100" s="668"/>
      <c r="B100" s="554" t="s">
        <v>103</v>
      </c>
      <c r="C100" s="555">
        <v>4</v>
      </c>
      <c r="D100" s="557"/>
      <c r="E100" s="557" t="s">
        <v>103</v>
      </c>
      <c r="F100" s="549" t="s">
        <v>485</v>
      </c>
      <c r="G100" s="549"/>
      <c r="H100" s="549"/>
      <c r="I100" s="549"/>
      <c r="J100" s="549"/>
      <c r="K100" s="549"/>
      <c r="L100" s="552"/>
      <c r="M100" s="155"/>
    </row>
    <row r="101" spans="1:13" x14ac:dyDescent="0.2">
      <c r="A101" s="668"/>
      <c r="B101" s="554"/>
      <c r="C101" s="555"/>
      <c r="D101" s="557"/>
      <c r="E101" s="557"/>
      <c r="F101" s="549"/>
      <c r="G101" s="549"/>
      <c r="H101" s="549"/>
      <c r="I101" s="549"/>
      <c r="J101" s="549"/>
      <c r="K101" s="549"/>
      <c r="L101" s="552"/>
      <c r="M101" s="155"/>
    </row>
    <row r="102" spans="1:13" x14ac:dyDescent="0.2">
      <c r="A102" s="668"/>
      <c r="B102" s="554" t="s">
        <v>111</v>
      </c>
      <c r="C102" s="555">
        <v>8</v>
      </c>
      <c r="D102" s="558"/>
      <c r="E102" s="557" t="s">
        <v>111</v>
      </c>
      <c r="F102" s="549" t="s">
        <v>131</v>
      </c>
      <c r="G102" s="549"/>
      <c r="H102" s="549"/>
      <c r="I102" s="549"/>
      <c r="J102" s="549"/>
      <c r="K102" s="549"/>
      <c r="L102" s="552"/>
      <c r="M102" s="155"/>
    </row>
    <row r="103" spans="1:13" ht="8.25" customHeight="1" x14ac:dyDescent="0.2">
      <c r="A103" s="668"/>
      <c r="B103" s="554"/>
      <c r="C103" s="559"/>
      <c r="D103" s="557"/>
      <c r="E103" s="557"/>
      <c r="F103" s="549"/>
      <c r="G103" s="549"/>
      <c r="H103" s="549"/>
      <c r="I103" s="549"/>
      <c r="J103" s="549"/>
      <c r="K103" s="549"/>
      <c r="L103" s="552"/>
      <c r="M103" s="155"/>
    </row>
    <row r="104" spans="1:13" x14ac:dyDescent="0.2">
      <c r="A104" s="668"/>
      <c r="B104" s="632" t="s">
        <v>115</v>
      </c>
      <c r="C104" s="549"/>
      <c r="D104" s="549"/>
      <c r="E104" s="549"/>
      <c r="F104" s="549" t="s">
        <v>486</v>
      </c>
      <c r="G104" s="549"/>
      <c r="H104" s="549"/>
      <c r="I104" s="549"/>
      <c r="J104" s="549"/>
      <c r="K104" s="549"/>
      <c r="L104" s="552"/>
      <c r="M104" s="155"/>
    </row>
    <row r="105" spans="1:13" x14ac:dyDescent="0.2">
      <c r="A105" s="668"/>
      <c r="B105" s="548"/>
      <c r="C105" s="549"/>
      <c r="D105" s="549"/>
      <c r="E105" s="549"/>
      <c r="F105" s="549" t="s">
        <v>487</v>
      </c>
      <c r="G105" s="549"/>
      <c r="H105" s="549"/>
      <c r="I105" s="549"/>
      <c r="J105" s="549"/>
      <c r="K105" s="549"/>
      <c r="L105" s="552"/>
      <c r="M105" s="155"/>
    </row>
    <row r="106" spans="1:13" x14ac:dyDescent="0.2">
      <c r="A106" s="668"/>
      <c r="B106" s="548"/>
      <c r="C106" s="549"/>
      <c r="D106" s="549"/>
      <c r="E106" s="549"/>
      <c r="F106" s="549"/>
      <c r="G106" s="549"/>
      <c r="H106" s="549"/>
      <c r="I106" s="549"/>
      <c r="J106" s="549"/>
      <c r="K106" s="549"/>
      <c r="L106" s="552"/>
      <c r="M106" s="155"/>
    </row>
    <row r="107" spans="1:13" x14ac:dyDescent="0.2">
      <c r="A107" s="668"/>
      <c r="B107" s="622"/>
      <c r="C107" s="623"/>
      <c r="D107" s="623"/>
      <c r="E107" s="623"/>
      <c r="F107" s="623"/>
      <c r="G107" s="623"/>
      <c r="H107" s="623"/>
      <c r="I107" s="624" t="s">
        <v>483</v>
      </c>
      <c r="J107" s="625"/>
      <c r="K107" s="626" t="s">
        <v>229</v>
      </c>
      <c r="L107" s="627"/>
      <c r="M107" s="208"/>
    </row>
    <row r="108" spans="1:13" x14ac:dyDescent="0.2">
      <c r="A108" s="668"/>
      <c r="B108" s="550"/>
      <c r="C108" s="549"/>
      <c r="D108" s="549"/>
      <c r="E108" s="549"/>
      <c r="F108" s="549"/>
      <c r="G108" s="549"/>
      <c r="H108" s="563"/>
      <c r="I108" s="563"/>
      <c r="J108" s="563"/>
      <c r="K108" s="563"/>
      <c r="L108" s="552"/>
      <c r="M108" s="208"/>
    </row>
    <row r="109" spans="1:13" x14ac:dyDescent="0.2">
      <c r="A109" s="668"/>
      <c r="B109" s="521" t="s">
        <v>230</v>
      </c>
      <c r="C109" s="549"/>
      <c r="D109" s="564"/>
      <c r="E109" s="553"/>
      <c r="F109" s="549"/>
      <c r="G109" s="553" t="s">
        <v>228</v>
      </c>
      <c r="H109" s="549"/>
      <c r="I109" s="564"/>
      <c r="J109" s="549"/>
      <c r="K109" s="565"/>
      <c r="L109" s="566"/>
      <c r="M109" s="208"/>
    </row>
    <row r="110" spans="1:13" x14ac:dyDescent="0.2">
      <c r="A110" s="668"/>
      <c r="B110" s="567"/>
      <c r="C110" s="549"/>
      <c r="D110" s="568"/>
      <c r="E110" s="549"/>
      <c r="F110" s="549"/>
      <c r="G110" s="549"/>
      <c r="H110" s="549"/>
      <c r="I110" s="569"/>
      <c r="J110" s="570"/>
      <c r="K110" s="565"/>
      <c r="L110" s="566"/>
      <c r="M110" s="208"/>
    </row>
    <row r="111" spans="1:13" x14ac:dyDescent="0.2">
      <c r="A111" s="668"/>
      <c r="B111" s="612"/>
      <c r="C111" s="615" t="s">
        <v>96</v>
      </c>
      <c r="D111" s="555">
        <v>0</v>
      </c>
      <c r="E111" s="569"/>
      <c r="F111" s="549"/>
      <c r="G111" s="549"/>
      <c r="H111" s="549"/>
      <c r="I111" s="569"/>
      <c r="J111" s="571"/>
      <c r="K111" s="563"/>
      <c r="L111" s="566"/>
      <c r="M111" s="208"/>
    </row>
    <row r="112" spans="1:13" x14ac:dyDescent="0.2">
      <c r="A112" s="668"/>
      <c r="B112" s="612"/>
      <c r="C112" s="615" t="s">
        <v>103</v>
      </c>
      <c r="D112" s="555">
        <v>5</v>
      </c>
      <c r="E112" s="549" t="s">
        <v>252</v>
      </c>
      <c r="F112" s="549"/>
      <c r="G112" s="549"/>
      <c r="H112" s="549"/>
      <c r="I112" s="560" t="s">
        <v>253</v>
      </c>
      <c r="J112" s="561"/>
      <c r="K112" s="562" t="s">
        <v>229</v>
      </c>
      <c r="L112" s="566"/>
      <c r="M112" s="208"/>
    </row>
    <row r="113" spans="1:13" x14ac:dyDescent="0.2">
      <c r="A113" s="668"/>
      <c r="B113" s="612"/>
      <c r="C113" s="615" t="s">
        <v>111</v>
      </c>
      <c r="D113" s="555">
        <v>10</v>
      </c>
      <c r="E113" s="569"/>
      <c r="F113" s="564"/>
      <c r="G113" s="564"/>
      <c r="H113" s="564"/>
      <c r="I113" s="564"/>
      <c r="J113" s="571"/>
      <c r="K113" s="563"/>
      <c r="L113" s="566"/>
      <c r="M113" s="208"/>
    </row>
    <row r="114" spans="1:13" x14ac:dyDescent="0.2">
      <c r="A114" s="668"/>
      <c r="B114" s="622"/>
      <c r="C114" s="623"/>
      <c r="D114" s="628"/>
      <c r="E114" s="623"/>
      <c r="F114" s="629"/>
      <c r="G114" s="629"/>
      <c r="H114" s="629"/>
      <c r="I114" s="630" t="s">
        <v>279</v>
      </c>
      <c r="J114" s="561">
        <f>IF(H10&gt;18,18,H10)</f>
        <v>0</v>
      </c>
      <c r="K114" s="626" t="s">
        <v>229</v>
      </c>
      <c r="L114" s="631"/>
      <c r="M114" s="208"/>
    </row>
    <row r="115" spans="1:13" x14ac:dyDescent="0.2">
      <c r="A115" s="668"/>
      <c r="B115" s="548"/>
      <c r="C115" s="549"/>
      <c r="D115" s="569"/>
      <c r="E115" s="549"/>
      <c r="F115" s="564"/>
      <c r="G115" s="564"/>
      <c r="H115" s="564"/>
      <c r="I115" s="564"/>
      <c r="J115" s="572"/>
      <c r="K115" s="565"/>
      <c r="L115" s="566"/>
      <c r="M115" s="208"/>
    </row>
    <row r="116" spans="1:13" x14ac:dyDescent="0.2">
      <c r="A116" s="668"/>
      <c r="B116" s="573" t="s">
        <v>231</v>
      </c>
      <c r="C116" s="549"/>
      <c r="D116" s="549"/>
      <c r="E116" s="549"/>
      <c r="F116" s="549"/>
      <c r="G116" s="549"/>
      <c r="H116" s="519"/>
      <c r="I116" s="633" t="s">
        <v>232</v>
      </c>
      <c r="J116" s="549"/>
      <c r="K116" s="549"/>
      <c r="L116" s="552"/>
      <c r="M116" s="208"/>
    </row>
    <row r="117" spans="1:13" x14ac:dyDescent="0.2">
      <c r="A117" s="668"/>
      <c r="B117" s="548"/>
      <c r="C117" s="549"/>
      <c r="D117" s="549"/>
      <c r="E117" s="549"/>
      <c r="F117" s="549"/>
      <c r="G117" s="549"/>
      <c r="H117" s="549"/>
      <c r="I117" s="549"/>
      <c r="J117" s="549"/>
      <c r="K117" s="549"/>
      <c r="L117" s="552"/>
      <c r="M117" s="208"/>
    </row>
    <row r="118" spans="1:13" x14ac:dyDescent="0.2">
      <c r="A118" s="668"/>
      <c r="B118" s="574"/>
      <c r="C118" s="549" t="s">
        <v>233</v>
      </c>
      <c r="D118" s="549"/>
      <c r="E118" s="549"/>
      <c r="F118" s="549"/>
      <c r="G118" s="549"/>
      <c r="H118" s="549"/>
      <c r="I118" s="549"/>
      <c r="J118" s="549"/>
      <c r="K118" s="549"/>
      <c r="L118" s="552"/>
      <c r="M118" s="208"/>
    </row>
    <row r="119" spans="1:13" x14ac:dyDescent="0.2">
      <c r="A119" s="668"/>
      <c r="B119" s="548"/>
      <c r="C119" s="549"/>
      <c r="D119" s="549" t="s">
        <v>234</v>
      </c>
      <c r="E119" s="549"/>
      <c r="F119" s="549"/>
      <c r="G119" s="549"/>
      <c r="H119" s="549"/>
      <c r="I119" s="549"/>
      <c r="J119" s="549"/>
      <c r="K119" s="549"/>
      <c r="L119" s="552"/>
      <c r="M119" s="208"/>
    </row>
    <row r="120" spans="1:13" x14ac:dyDescent="0.2">
      <c r="A120" s="668"/>
      <c r="B120" s="612"/>
      <c r="C120" s="549"/>
      <c r="D120" s="549" t="s">
        <v>4</v>
      </c>
      <c r="E120" s="549"/>
      <c r="F120" s="549"/>
      <c r="G120" s="549"/>
      <c r="H120" s="549"/>
      <c r="I120" s="549"/>
      <c r="J120" s="519"/>
      <c r="K120" s="565"/>
      <c r="L120" s="552"/>
      <c r="M120" s="208"/>
    </row>
    <row r="121" spans="1:13" x14ac:dyDescent="0.2">
      <c r="A121" s="668"/>
      <c r="B121" s="612"/>
      <c r="C121" s="549"/>
      <c r="D121" s="522" t="s">
        <v>1</v>
      </c>
      <c r="E121" s="549"/>
      <c r="F121" s="549"/>
      <c r="G121" s="549"/>
      <c r="H121" s="549"/>
      <c r="I121" s="575" t="s">
        <v>251</v>
      </c>
      <c r="J121" s="576" t="s">
        <v>254</v>
      </c>
      <c r="K121" s="549"/>
      <c r="L121" s="523"/>
      <c r="M121" s="208"/>
    </row>
    <row r="122" spans="1:13" x14ac:dyDescent="0.2">
      <c r="A122" s="668"/>
      <c r="B122" s="612"/>
      <c r="C122" s="614" t="s">
        <v>96</v>
      </c>
      <c r="D122" s="577">
        <v>3</v>
      </c>
      <c r="E122" s="519" t="s">
        <v>10</v>
      </c>
      <c r="F122" s="564"/>
      <c r="G122" s="568"/>
      <c r="H122" s="569"/>
      <c r="I122" s="561" t="str">
        <f>IF(D20&lt;&gt;"","X","")</f>
        <v/>
      </c>
      <c r="J122" s="555" t="str">
        <f>IF(I122&lt;&gt;"",3,"")</f>
        <v/>
      </c>
      <c r="K122" s="578" t="str">
        <f>IF(J122="","",1)</f>
        <v/>
      </c>
      <c r="L122" s="523"/>
      <c r="M122" s="208"/>
    </row>
    <row r="123" spans="1:13" x14ac:dyDescent="0.2">
      <c r="A123" s="668"/>
      <c r="B123" s="612"/>
      <c r="C123" s="519"/>
      <c r="D123" s="555">
        <v>6</v>
      </c>
      <c r="E123" s="579" t="s">
        <v>336</v>
      </c>
      <c r="F123" s="564"/>
      <c r="G123" s="568"/>
      <c r="H123" s="569"/>
      <c r="I123" s="561" t="str">
        <f>IF(D21&lt;&gt;"","X","")</f>
        <v/>
      </c>
      <c r="J123" s="555" t="str">
        <f>IF(I123&lt;&gt;"",6,"")</f>
        <v/>
      </c>
      <c r="K123" s="578" t="str">
        <f>IF(J123="","",1)</f>
        <v/>
      </c>
      <c r="L123" s="523"/>
      <c r="M123" s="208"/>
    </row>
    <row r="124" spans="1:13" x14ac:dyDescent="0.2">
      <c r="A124" s="668"/>
      <c r="B124" s="612"/>
      <c r="C124" s="615" t="s">
        <v>103</v>
      </c>
      <c r="D124" s="555">
        <v>9</v>
      </c>
      <c r="E124" s="580" t="s">
        <v>248</v>
      </c>
      <c r="F124" s="564"/>
      <c r="G124" s="569"/>
      <c r="H124" s="569"/>
      <c r="I124" s="561" t="str">
        <f>IF(D22&lt;&gt;"","X","")</f>
        <v/>
      </c>
      <c r="J124" s="555" t="str">
        <f>IF(I124&lt;&gt;"",9,"")</f>
        <v/>
      </c>
      <c r="K124" s="578" t="str">
        <f>IF(J124="","",1)</f>
        <v/>
      </c>
      <c r="L124" s="523"/>
      <c r="M124" s="208"/>
    </row>
    <row r="125" spans="1:13" x14ac:dyDescent="0.2">
      <c r="A125" s="668"/>
      <c r="B125" s="612"/>
      <c r="C125" s="564"/>
      <c r="D125" s="555">
        <v>12</v>
      </c>
      <c r="E125" s="580" t="s">
        <v>337</v>
      </c>
      <c r="F125" s="582"/>
      <c r="G125" s="583"/>
      <c r="H125" s="583"/>
      <c r="I125" s="561" t="str">
        <f>IF(D23&lt;&gt;"","X","")</f>
        <v/>
      </c>
      <c r="J125" s="555" t="str">
        <f>IF(I125&lt;&gt;"",12,"")</f>
        <v/>
      </c>
      <c r="K125" s="578" t="str">
        <f>IF(J125="","",1)</f>
        <v/>
      </c>
      <c r="L125" s="523"/>
      <c r="M125" s="208"/>
    </row>
    <row r="126" spans="1:13" x14ac:dyDescent="0.2">
      <c r="A126" s="668"/>
      <c r="B126" s="612"/>
      <c r="C126" s="615" t="s">
        <v>111</v>
      </c>
      <c r="D126" s="555">
        <v>15</v>
      </c>
      <c r="E126" s="579" t="s">
        <v>338</v>
      </c>
      <c r="F126" s="582"/>
      <c r="G126" s="583"/>
      <c r="H126" s="583"/>
      <c r="I126" s="561" t="str">
        <f>IF(D24&lt;&gt;"","X","")</f>
        <v/>
      </c>
      <c r="J126" s="555" t="str">
        <f>IF(I126&lt;&gt;"",15,"")</f>
        <v/>
      </c>
      <c r="K126" s="578" t="str">
        <f>IF(J126="","",1)</f>
        <v/>
      </c>
      <c r="L126" s="523"/>
      <c r="M126" s="208"/>
    </row>
    <row r="127" spans="1:13" x14ac:dyDescent="0.2">
      <c r="A127" s="668"/>
      <c r="B127" s="581"/>
      <c r="C127" s="582"/>
      <c r="D127" s="564"/>
      <c r="E127" s="582"/>
      <c r="F127" s="582"/>
      <c r="G127" s="583"/>
      <c r="H127" s="583"/>
      <c r="I127" s="583"/>
      <c r="J127" s="584">
        <f>IF(K127&gt;1,0,SUM(J122:J126))</f>
        <v>0</v>
      </c>
      <c r="K127" s="578">
        <f>SUM(K122:K126)</f>
        <v>0</v>
      </c>
      <c r="L127" s="523"/>
      <c r="M127" s="208"/>
    </row>
    <row r="128" spans="1:13" x14ac:dyDescent="0.2">
      <c r="A128" s="668"/>
      <c r="B128" s="518"/>
      <c r="C128" s="519"/>
      <c r="D128" s="519"/>
      <c r="E128" s="519"/>
      <c r="F128" s="519"/>
      <c r="G128" s="519"/>
      <c r="H128" s="519"/>
      <c r="I128" s="519"/>
      <c r="J128" s="519"/>
      <c r="K128" s="585" t="str">
        <f>IF(I126="","",1)</f>
        <v/>
      </c>
      <c r="L128" s="523"/>
      <c r="M128" s="208"/>
    </row>
    <row r="129" spans="1:13" x14ac:dyDescent="0.2">
      <c r="A129" s="668"/>
      <c r="B129" s="518"/>
      <c r="C129" s="519"/>
      <c r="D129" s="519"/>
      <c r="E129" s="519"/>
      <c r="F129" s="519"/>
      <c r="G129" s="519"/>
      <c r="H129" s="519"/>
      <c r="I129" s="519"/>
      <c r="J129" s="519"/>
      <c r="K129" s="578">
        <f>SUM(K122:K128)</f>
        <v>0</v>
      </c>
      <c r="L129" s="523"/>
      <c r="M129" s="208"/>
    </row>
    <row r="130" spans="1:13" x14ac:dyDescent="0.2">
      <c r="A130" s="668"/>
      <c r="B130" s="573" t="s">
        <v>235</v>
      </c>
      <c r="C130" s="586"/>
      <c r="D130" s="564"/>
      <c r="E130" s="564"/>
      <c r="F130" s="519"/>
      <c r="G130" s="587" t="s">
        <v>236</v>
      </c>
      <c r="H130" s="564"/>
      <c r="I130" s="564"/>
      <c r="J130" s="564"/>
      <c r="K130" s="564"/>
      <c r="L130" s="566"/>
      <c r="M130" s="208"/>
    </row>
    <row r="131" spans="1:13" x14ac:dyDescent="0.2">
      <c r="A131" s="668"/>
      <c r="B131" s="567"/>
      <c r="C131" s="586"/>
      <c r="D131" s="688" t="s">
        <v>238</v>
      </c>
      <c r="E131" s="563"/>
      <c r="F131" s="565"/>
      <c r="G131" s="564"/>
      <c r="H131" s="519"/>
      <c r="I131" s="564"/>
      <c r="J131" s="564"/>
      <c r="K131" s="564"/>
      <c r="L131" s="566"/>
      <c r="M131" s="208"/>
    </row>
    <row r="132" spans="1:13" ht="21.75" x14ac:dyDescent="0.2">
      <c r="A132" s="668"/>
      <c r="B132" s="612"/>
      <c r="C132" s="613" t="s">
        <v>482</v>
      </c>
      <c r="D132" s="689"/>
      <c r="E132" s="610" t="s">
        <v>249</v>
      </c>
      <c r="F132" s="589" t="s">
        <v>250</v>
      </c>
      <c r="G132" s="564"/>
      <c r="H132" s="519"/>
      <c r="I132" s="564"/>
      <c r="J132" s="564"/>
      <c r="K132" s="564"/>
      <c r="L132" s="566"/>
      <c r="M132" s="208"/>
    </row>
    <row r="133" spans="1:13" x14ac:dyDescent="0.2">
      <c r="A133" s="668"/>
      <c r="B133" s="612"/>
      <c r="C133" s="611" t="s">
        <v>239</v>
      </c>
      <c r="D133" s="561" t="str">
        <f>IF('RC INPUT'!AF30&lt;&gt;"","X","")</f>
        <v/>
      </c>
      <c r="E133" s="559">
        <v>4</v>
      </c>
      <c r="F133" s="591" t="str">
        <f>IF(D133&lt;&gt;"",4,"")</f>
        <v/>
      </c>
      <c r="G133" s="585" t="str">
        <f>IF(D133="","",1)</f>
        <v/>
      </c>
      <c r="H133" s="519"/>
      <c r="I133" s="569"/>
      <c r="J133" s="564"/>
      <c r="K133" s="569"/>
      <c r="L133" s="566"/>
      <c r="M133" s="208"/>
    </row>
    <row r="134" spans="1:13" x14ac:dyDescent="0.2">
      <c r="A134" s="668"/>
      <c r="B134" s="612"/>
      <c r="C134" s="611" t="s">
        <v>240</v>
      </c>
      <c r="D134" s="561" t="str">
        <f>IF('RC INPUT'!AF31&lt;&gt;"","X","")</f>
        <v/>
      </c>
      <c r="E134" s="559">
        <v>6</v>
      </c>
      <c r="F134" s="591" t="str">
        <f>IF(D134&lt;&gt;"",6,"")</f>
        <v/>
      </c>
      <c r="G134" s="585" t="str">
        <f>IF(D134="","",1)</f>
        <v/>
      </c>
      <c r="H134" s="519"/>
      <c r="I134" s="569"/>
      <c r="J134" s="564"/>
      <c r="K134" s="564"/>
      <c r="L134" s="566"/>
      <c r="M134" s="208"/>
    </row>
    <row r="135" spans="1:13" x14ac:dyDescent="0.2">
      <c r="A135" s="668"/>
      <c r="B135" s="612"/>
      <c r="C135" s="611" t="s">
        <v>241</v>
      </c>
      <c r="D135" s="561" t="str">
        <f>IF('RC INPUT'!AF32&lt;&gt;"","X","")</f>
        <v/>
      </c>
      <c r="E135" s="559">
        <v>8</v>
      </c>
      <c r="F135" s="591" t="str">
        <f>IF(D135&lt;&gt;"",8,"")</f>
        <v/>
      </c>
      <c r="G135" s="585" t="str">
        <f>IF(D135="","",1)</f>
        <v/>
      </c>
      <c r="H135" s="519"/>
      <c r="I135" s="519"/>
      <c r="J135" s="519"/>
      <c r="K135" s="519"/>
      <c r="L135" s="566"/>
      <c r="M135" s="208"/>
    </row>
    <row r="136" spans="1:13" x14ac:dyDescent="0.2">
      <c r="A136" s="668"/>
      <c r="B136" s="612"/>
      <c r="C136" s="611" t="s">
        <v>242</v>
      </c>
      <c r="D136" s="561" t="str">
        <f>IF('RC INPUT'!AF33&lt;&gt;"","X","")</f>
        <v/>
      </c>
      <c r="E136" s="559">
        <v>10</v>
      </c>
      <c r="F136" s="592" t="str">
        <f>IF(D136&lt;&gt;"",10,"")</f>
        <v/>
      </c>
      <c r="G136" s="585" t="str">
        <f>IF(D136="","",1)</f>
        <v/>
      </c>
      <c r="H136" s="519"/>
      <c r="I136" s="519"/>
      <c r="J136" s="519"/>
      <c r="K136" s="519"/>
      <c r="L136" s="566"/>
      <c r="M136" s="208"/>
    </row>
    <row r="137" spans="1:13" x14ac:dyDescent="0.2">
      <c r="A137" s="668"/>
      <c r="B137" s="590"/>
      <c r="C137" s="593"/>
      <c r="D137" s="519"/>
      <c r="E137" s="559"/>
      <c r="F137" s="591">
        <f>IF(G137&gt;1,0,SUM(F133:F136))</f>
        <v>0</v>
      </c>
      <c r="G137" s="578">
        <f>SUM(G133:G136)</f>
        <v>0</v>
      </c>
      <c r="H137" s="519"/>
      <c r="I137" s="519"/>
      <c r="J137" s="519"/>
      <c r="K137" s="519"/>
      <c r="L137" s="566"/>
      <c r="M137" s="208"/>
    </row>
    <row r="138" spans="1:13" x14ac:dyDescent="0.2">
      <c r="A138" s="668"/>
      <c r="B138" s="548"/>
      <c r="C138" s="572"/>
      <c r="D138" s="549"/>
      <c r="E138" s="549"/>
      <c r="F138" s="563"/>
      <c r="G138" s="557"/>
      <c r="H138" s="549" t="s">
        <v>255</v>
      </c>
      <c r="I138" s="549"/>
      <c r="J138" s="594">
        <f>J114</f>
        <v>0</v>
      </c>
      <c r="K138" s="595" t="s">
        <v>187</v>
      </c>
      <c r="L138" s="552"/>
      <c r="M138" s="208"/>
    </row>
    <row r="139" spans="1:13" x14ac:dyDescent="0.2">
      <c r="A139" s="668"/>
      <c r="B139" s="548"/>
      <c r="C139" s="572"/>
      <c r="D139" s="549"/>
      <c r="E139" s="549"/>
      <c r="F139" s="563"/>
      <c r="G139" s="519"/>
      <c r="H139" s="549" t="s">
        <v>243</v>
      </c>
      <c r="I139" s="549"/>
      <c r="J139" s="596">
        <f>J127</f>
        <v>0</v>
      </c>
      <c r="K139" s="519"/>
      <c r="L139" s="597"/>
      <c r="M139" s="208"/>
    </row>
    <row r="140" spans="1:13" x14ac:dyDescent="0.2">
      <c r="A140" s="668"/>
      <c r="B140" s="548"/>
      <c r="C140" s="563"/>
      <c r="D140" s="549"/>
      <c r="E140" s="549"/>
      <c r="F140" s="563"/>
      <c r="G140" s="588" t="s">
        <v>245</v>
      </c>
      <c r="H140" s="549" t="s">
        <v>246</v>
      </c>
      <c r="I140" s="549"/>
      <c r="J140" s="594">
        <f>IF(AND('Traffic &amp; Accidents'!G13=7,Structure!H10&lt;&gt;""),2,0)</f>
        <v>0</v>
      </c>
      <c r="K140" s="598"/>
      <c r="L140" s="597"/>
      <c r="M140" s="208"/>
    </row>
    <row r="141" spans="1:13" x14ac:dyDescent="0.2">
      <c r="A141" s="668"/>
      <c r="B141" s="548"/>
      <c r="C141" s="599"/>
      <c r="D141" s="549"/>
      <c r="E141" s="549"/>
      <c r="F141" s="563"/>
      <c r="G141" s="563"/>
      <c r="H141" s="549" t="s">
        <v>244</v>
      </c>
      <c r="I141" s="549"/>
      <c r="J141" s="596">
        <f>SUM(F133:F136)</f>
        <v>0</v>
      </c>
      <c r="K141" s="598"/>
      <c r="L141" s="597"/>
      <c r="M141" s="208"/>
    </row>
    <row r="142" spans="1:13" x14ac:dyDescent="0.2">
      <c r="A142" s="668"/>
      <c r="B142" s="548"/>
      <c r="C142" s="549"/>
      <c r="D142" s="549"/>
      <c r="E142" s="549"/>
      <c r="F142" s="549"/>
      <c r="G142" s="563"/>
      <c r="H142" s="557"/>
      <c r="I142" s="563"/>
      <c r="J142" s="563"/>
      <c r="K142" s="549"/>
      <c r="L142" s="597"/>
      <c r="M142" s="208"/>
    </row>
    <row r="143" spans="1:13" ht="13.5" thickBot="1" x14ac:dyDescent="0.25">
      <c r="A143" s="668"/>
      <c r="B143" s="600"/>
      <c r="C143" s="601"/>
      <c r="D143" s="601"/>
      <c r="E143" s="601"/>
      <c r="F143" s="601"/>
      <c r="G143" s="602"/>
      <c r="H143" s="602"/>
      <c r="I143" s="603" t="s">
        <v>247</v>
      </c>
      <c r="J143" s="604">
        <f>SUM(J138:J141)</f>
        <v>0</v>
      </c>
      <c r="K143" s="602"/>
      <c r="L143" s="605"/>
      <c r="M143" s="208"/>
    </row>
    <row r="144" spans="1:13" ht="13.5" thickTop="1" x14ac:dyDescent="0.2"/>
  </sheetData>
  <sheetProtection algorithmName="SHA-512" hashValue="oiiUQ0+sS8FTtjaZhAN2/2DTlBjwIdCyEzBl5xB9H1YhqJcWxnSGs0DzAPj0LqwUlsmsUQpZ8bfPcQHp2NuBfQ==" saltValue="BL1f1J4U6expgcqrpVLozw==" spinCount="100000" sheet="1" objects="1" scenarios="1" selectLockedCells="1"/>
  <mergeCells count="12">
    <mergeCell ref="A33:A85"/>
    <mergeCell ref="A91:A143"/>
    <mergeCell ref="J4:K4"/>
    <mergeCell ref="F8:G8"/>
    <mergeCell ref="B10:C10"/>
    <mergeCell ref="I10:J10"/>
    <mergeCell ref="F19:G19"/>
    <mergeCell ref="K90:L93"/>
    <mergeCell ref="H91:J93"/>
    <mergeCell ref="K33:L37"/>
    <mergeCell ref="G34:J36"/>
    <mergeCell ref="D131:D132"/>
  </mergeCells>
  <hyperlinks>
    <hyperlink ref="F19:G19" location="USCS!E1" display="See USCS sheet" xr:uid="{00000000-0004-0000-0300-000000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BE150"/>
  <sheetViews>
    <sheetView showGridLines="0" workbookViewId="0">
      <selection activeCell="F6" sqref="F6"/>
    </sheetView>
  </sheetViews>
  <sheetFormatPr defaultColWidth="7.7109375" defaultRowHeight="15" customHeight="1" x14ac:dyDescent="0.2"/>
  <cols>
    <col min="1" max="1" width="3.28515625" style="159" customWidth="1"/>
    <col min="2" max="7" width="7.7109375" style="159"/>
    <col min="8" max="8" width="8.7109375" style="159" bestFit="1" customWidth="1"/>
    <col min="9" max="11" width="7.7109375" style="159"/>
    <col min="12" max="12" width="7.7109375" style="159" customWidth="1"/>
    <col min="13" max="16384" width="7.7109375" style="159"/>
  </cols>
  <sheetData>
    <row r="3" spans="4:19" ht="15" customHeight="1" thickBot="1" x14ac:dyDescent="0.25"/>
    <row r="4" spans="4:19" ht="15" customHeight="1" x14ac:dyDescent="0.2">
      <c r="D4" s="123" t="s">
        <v>217</v>
      </c>
      <c r="E4" s="109"/>
      <c r="F4" s="95"/>
      <c r="G4" s="95"/>
      <c r="H4" s="95"/>
      <c r="I4" s="698" t="s">
        <v>270</v>
      </c>
      <c r="J4" s="698"/>
      <c r="K4" s="698"/>
      <c r="L4" s="698"/>
      <c r="M4" s="698"/>
      <c r="N4" s="698"/>
      <c r="O4" s="694" t="s">
        <v>474</v>
      </c>
      <c r="P4" s="694"/>
      <c r="Q4" s="316"/>
      <c r="R4" s="317"/>
    </row>
    <row r="5" spans="4:19" ht="15" customHeight="1" x14ac:dyDescent="0.2">
      <c r="D5" s="120"/>
      <c r="E5" s="115" t="s">
        <v>269</v>
      </c>
      <c r="F5" s="124" t="s">
        <v>211</v>
      </c>
      <c r="G5" s="75"/>
      <c r="H5" s="158"/>
      <c r="I5" s="75"/>
      <c r="J5" s="75"/>
      <c r="K5" s="92"/>
      <c r="L5" s="111" t="s">
        <v>283</v>
      </c>
      <c r="M5" s="60" t="s">
        <v>281</v>
      </c>
      <c r="N5" s="92"/>
      <c r="O5" s="92" t="s">
        <v>303</v>
      </c>
      <c r="P5" s="125"/>
      <c r="Q5" s="33"/>
      <c r="R5" s="318"/>
      <c r="S5" s="178"/>
    </row>
    <row r="6" spans="4:19" ht="15" customHeight="1" x14ac:dyDescent="0.2">
      <c r="D6" s="120"/>
      <c r="E6" s="75"/>
      <c r="F6" s="329"/>
      <c r="G6" s="60" t="s">
        <v>179</v>
      </c>
      <c r="H6" s="75"/>
      <c r="I6" s="36"/>
      <c r="J6" s="33"/>
      <c r="K6" s="36" t="s">
        <v>427</v>
      </c>
      <c r="L6" s="333"/>
      <c r="M6" s="330"/>
      <c r="N6" s="93"/>
      <c r="O6" s="11" t="str">
        <f>Geometry!C50</f>
        <v/>
      </c>
      <c r="P6" s="116" t="str">
        <f>IF(AND(M6&lt;&gt;"",M6&lt;O6),"May Need Dev. Approval","")</f>
        <v/>
      </c>
      <c r="Q6" s="33"/>
      <c r="R6" s="318"/>
      <c r="S6" s="178"/>
    </row>
    <row r="7" spans="4:19" ht="15" customHeight="1" x14ac:dyDescent="0.2">
      <c r="D7" s="120"/>
      <c r="E7" s="75"/>
      <c r="F7" s="330"/>
      <c r="G7" s="60" t="s">
        <v>180</v>
      </c>
      <c r="H7" s="75"/>
      <c r="I7" s="33"/>
      <c r="J7" s="33"/>
      <c r="K7" s="33" t="s">
        <v>280</v>
      </c>
      <c r="L7" s="333"/>
      <c r="M7" s="330"/>
      <c r="N7" s="93"/>
      <c r="O7" s="11" t="str">
        <f>Geometry!I50</f>
        <v/>
      </c>
      <c r="P7" s="116" t="str">
        <f>IF(AND(M7&lt;&gt;"",M7&lt;O7),"May Need Dev. Approval","")</f>
        <v/>
      </c>
      <c r="Q7" s="75"/>
      <c r="R7" s="319"/>
    </row>
    <row r="8" spans="4:19" ht="15" customHeight="1" x14ac:dyDescent="0.2">
      <c r="D8" s="120"/>
      <c r="E8" s="75"/>
      <c r="F8" s="330"/>
      <c r="G8" s="60" t="s">
        <v>181</v>
      </c>
      <c r="H8" s="75"/>
      <c r="I8" s="75"/>
      <c r="J8" s="75"/>
      <c r="K8" s="75"/>
      <c r="L8" s="21"/>
      <c r="M8" s="21"/>
      <c r="N8" s="75"/>
      <c r="O8" s="75"/>
      <c r="P8" s="75"/>
      <c r="Q8" s="75"/>
      <c r="R8" s="319"/>
    </row>
    <row r="9" spans="4:19" ht="15" customHeight="1" x14ac:dyDescent="0.2">
      <c r="D9" s="120"/>
      <c r="E9" s="75"/>
      <c r="F9" s="14"/>
      <c r="G9" s="60"/>
      <c r="H9" s="75"/>
      <c r="I9" s="75"/>
      <c r="J9" s="75"/>
      <c r="K9" s="75"/>
      <c r="L9" s="75"/>
      <c r="M9" s="75"/>
      <c r="N9" s="75"/>
      <c r="O9" s="75"/>
      <c r="P9" s="75"/>
      <c r="Q9" s="75"/>
      <c r="R9" s="319"/>
    </row>
    <row r="10" spans="4:19" ht="15" customHeight="1" x14ac:dyDescent="0.2">
      <c r="D10" s="120"/>
      <c r="E10" s="75"/>
      <c r="F10" s="14"/>
      <c r="G10" s="126"/>
      <c r="H10" s="707" t="s">
        <v>399</v>
      </c>
      <c r="I10" s="707"/>
      <c r="J10" s="707"/>
      <c r="K10" s="707"/>
      <c r="L10" s="707"/>
      <c r="M10" s="126"/>
      <c r="N10" s="75"/>
      <c r="O10" s="111" t="s">
        <v>161</v>
      </c>
      <c r="P10" s="73" t="str">
        <f>Geometry!V61</f>
        <v/>
      </c>
      <c r="Q10" s="75"/>
      <c r="R10" s="319"/>
    </row>
    <row r="11" spans="4:19" ht="15" customHeight="1" x14ac:dyDescent="0.2">
      <c r="D11" s="120"/>
      <c r="E11" s="75"/>
      <c r="F11" s="14"/>
      <c r="G11" s="126"/>
      <c r="H11" s="374"/>
      <c r="I11" s="374"/>
      <c r="J11" s="374"/>
      <c r="K11" s="374"/>
      <c r="L11" s="374"/>
      <c r="M11" s="126"/>
      <c r="N11" s="75"/>
      <c r="O11" s="111"/>
      <c r="P11" s="375"/>
      <c r="Q11" s="75"/>
      <c r="R11" s="319"/>
    </row>
    <row r="12" spans="4:19" ht="15" customHeight="1" x14ac:dyDescent="0.2">
      <c r="D12" s="120"/>
      <c r="E12" s="701" t="s">
        <v>208</v>
      </c>
      <c r="F12" s="701"/>
      <c r="G12" s="701"/>
      <c r="H12" s="377" t="s">
        <v>475</v>
      </c>
      <c r="I12" s="75"/>
      <c r="J12" s="75"/>
      <c r="K12" s="75"/>
      <c r="L12" s="75"/>
      <c r="M12" s="701" t="s">
        <v>207</v>
      </c>
      <c r="N12" s="701"/>
      <c r="O12" s="701"/>
      <c r="P12" s="75"/>
      <c r="Q12" s="75"/>
      <c r="R12" s="319"/>
    </row>
    <row r="13" spans="4:19" ht="15" customHeight="1" x14ac:dyDescent="0.2">
      <c r="D13" s="120"/>
      <c r="E13" s="33" t="s">
        <v>4</v>
      </c>
      <c r="F13" s="49">
        <f>Geometry!L79*H31</f>
        <v>0</v>
      </c>
      <c r="G13" s="75"/>
      <c r="H13" s="75"/>
      <c r="I13" s="126"/>
      <c r="J13" s="126"/>
      <c r="K13" s="126"/>
      <c r="L13" s="126"/>
      <c r="M13" s="33" t="s">
        <v>4</v>
      </c>
      <c r="N13" s="49">
        <f>Geometry!L119*P31</f>
        <v>0</v>
      </c>
      <c r="O13" s="699" t="s">
        <v>473</v>
      </c>
      <c r="P13" s="699"/>
      <c r="Q13" s="699"/>
      <c r="R13" s="700"/>
      <c r="S13" s="179"/>
    </row>
    <row r="14" spans="4:19" ht="15" customHeight="1" x14ac:dyDescent="0.2">
      <c r="D14" s="692"/>
      <c r="E14" s="703"/>
      <c r="F14" s="703"/>
      <c r="G14" s="703"/>
      <c r="H14" s="77" t="s">
        <v>401</v>
      </c>
      <c r="I14" s="75"/>
      <c r="J14" s="75"/>
      <c r="K14" s="702" t="s">
        <v>395</v>
      </c>
      <c r="L14" s="75"/>
      <c r="M14" s="278"/>
      <c r="N14" s="392"/>
      <c r="O14" s="699"/>
      <c r="P14" s="699"/>
      <c r="Q14" s="699"/>
      <c r="R14" s="700"/>
      <c r="S14" s="180"/>
    </row>
    <row r="15" spans="4:19" ht="15" customHeight="1" x14ac:dyDescent="0.2">
      <c r="D15" s="692"/>
      <c r="E15" s="92" t="s">
        <v>392</v>
      </c>
      <c r="F15" s="98" t="s">
        <v>197</v>
      </c>
      <c r="G15" s="92" t="s">
        <v>139</v>
      </c>
      <c r="H15" s="92" t="s">
        <v>198</v>
      </c>
      <c r="I15" s="92" t="s">
        <v>394</v>
      </c>
      <c r="J15" s="92"/>
      <c r="K15" s="702"/>
      <c r="L15" s="75"/>
      <c r="M15" s="77" t="s">
        <v>139</v>
      </c>
      <c r="N15" s="77" t="s">
        <v>138</v>
      </c>
      <c r="O15" s="99" t="s">
        <v>139</v>
      </c>
      <c r="P15" s="77" t="s">
        <v>198</v>
      </c>
      <c r="Q15" s="77" t="s">
        <v>393</v>
      </c>
      <c r="R15" s="320"/>
      <c r="S15" s="180"/>
    </row>
    <row r="16" spans="4:19" ht="15" customHeight="1" x14ac:dyDescent="0.2">
      <c r="D16" s="692"/>
      <c r="E16" s="100" t="s">
        <v>185</v>
      </c>
      <c r="F16" s="98" t="s">
        <v>210</v>
      </c>
      <c r="G16" s="92" t="s">
        <v>162</v>
      </c>
      <c r="H16" s="100" t="s">
        <v>391</v>
      </c>
      <c r="I16" s="100" t="s">
        <v>162</v>
      </c>
      <c r="J16" s="100"/>
      <c r="K16" s="702"/>
      <c r="L16" s="75"/>
      <c r="M16" s="112" t="s">
        <v>226</v>
      </c>
      <c r="N16" s="77" t="s">
        <v>141</v>
      </c>
      <c r="O16" s="77" t="s">
        <v>141</v>
      </c>
      <c r="P16" s="127" t="s">
        <v>391</v>
      </c>
      <c r="Q16" s="127" t="s">
        <v>141</v>
      </c>
      <c r="R16" s="321"/>
      <c r="S16" s="181"/>
    </row>
    <row r="17" spans="4:19" ht="15" customHeight="1" x14ac:dyDescent="0.2">
      <c r="D17" s="101" t="str">
        <f>IF(AND(G17&lt;&gt;0,G17&lt;P10),"*","")</f>
        <v/>
      </c>
      <c r="E17" s="330"/>
      <c r="F17" s="330"/>
      <c r="G17" s="330"/>
      <c r="H17" s="128">
        <f>IF(P10="",0,IF(AND(G17&gt;=I17,I17&lt;P10,G17&lt;&gt;0),J17*(F17/H32),""))</f>
        <v>0</v>
      </c>
      <c r="I17" s="31" t="str">
        <f>Geometry!R78</f>
        <v/>
      </c>
      <c r="J17" s="325">
        <f>IF(G17&gt;=P10,1,(G17-I17)/(P10-I17))</f>
        <v>1</v>
      </c>
      <c r="K17" s="31">
        <v>1</v>
      </c>
      <c r="L17" s="102" t="str">
        <f t="shared" ref="L17:L30" si="0">IF(AND(O17&lt;&gt;0,P17&lt;1),"*","")</f>
        <v/>
      </c>
      <c r="M17" s="330"/>
      <c r="N17" s="330"/>
      <c r="O17" s="330"/>
      <c r="P17" s="378" t="str">
        <f>IF(AND(O17&lt;=N17,N17&gt;Q17,O17&lt;&gt;0),R17,"")</f>
        <v/>
      </c>
      <c r="Q17" s="373" t="str">
        <f>Geometry!S114</f>
        <v/>
      </c>
      <c r="R17" s="322">
        <f t="shared" ref="R17:R30" si="1">IF(O17&lt;=Q17,1,1-(O17-Q17)/(N17-Q17))</f>
        <v>1</v>
      </c>
      <c r="S17" s="182"/>
    </row>
    <row r="18" spans="4:19" ht="15" customHeight="1" x14ac:dyDescent="0.2">
      <c r="D18" s="101" t="str">
        <f>IF(AND(G18&lt;&gt;0,G18&lt;P10),"*","")</f>
        <v/>
      </c>
      <c r="E18" s="330"/>
      <c r="F18" s="330"/>
      <c r="G18" s="330"/>
      <c r="H18" s="128">
        <f>IF(P10="",0,IF(AND(G18&gt;=I18,I18&lt;P10,G18&lt;&gt;0),J18*(F18/H32),""))</f>
        <v>0</v>
      </c>
      <c r="I18" s="31" t="str">
        <f>Geometry!R79</f>
        <v/>
      </c>
      <c r="J18" s="325">
        <f>IF(G18&gt;=P10,1,(G18-I18)/(P10-I18))</f>
        <v>1</v>
      </c>
      <c r="K18" s="31">
        <v>2</v>
      </c>
      <c r="L18" s="102" t="str">
        <f t="shared" si="0"/>
        <v/>
      </c>
      <c r="M18" s="330"/>
      <c r="N18" s="330"/>
      <c r="O18" s="330"/>
      <c r="P18" s="378" t="str">
        <f t="shared" ref="P18:P30" si="2">IF(AND(O18&lt;N18,N18&gt;Q18,O18&lt;&gt;0),R18,"")</f>
        <v/>
      </c>
      <c r="Q18" s="373" t="str">
        <f>Geometry!S115</f>
        <v/>
      </c>
      <c r="R18" s="322">
        <f t="shared" si="1"/>
        <v>1</v>
      </c>
      <c r="S18" s="182"/>
    </row>
    <row r="19" spans="4:19" ht="15" customHeight="1" x14ac:dyDescent="0.2">
      <c r="D19" s="101" t="str">
        <f>IF(AND(G19&lt;&gt;0,G19&lt;P10),"*","")</f>
        <v/>
      </c>
      <c r="E19" s="330"/>
      <c r="F19" s="330"/>
      <c r="G19" s="330"/>
      <c r="H19" s="128">
        <f>IF(P10="",0,IF(AND(G19&gt;=I19,I19&lt;P10,G19&lt;&gt;0),J19*(F19/H32),""))</f>
        <v>0</v>
      </c>
      <c r="I19" s="31" t="str">
        <f>Geometry!R80</f>
        <v/>
      </c>
      <c r="J19" s="325">
        <f>IF(G19&gt;=P10,1,(G19-I19)/(P10-I19))</f>
        <v>1</v>
      </c>
      <c r="K19" s="31">
        <v>3</v>
      </c>
      <c r="L19" s="102" t="str">
        <f t="shared" si="0"/>
        <v/>
      </c>
      <c r="M19" s="330"/>
      <c r="N19" s="330"/>
      <c r="O19" s="330"/>
      <c r="P19" s="378" t="str">
        <f t="shared" si="2"/>
        <v/>
      </c>
      <c r="Q19" s="373" t="str">
        <f>Geometry!S116</f>
        <v/>
      </c>
      <c r="R19" s="322">
        <f t="shared" si="1"/>
        <v>1</v>
      </c>
      <c r="S19" s="182"/>
    </row>
    <row r="20" spans="4:19" ht="15" customHeight="1" x14ac:dyDescent="0.2">
      <c r="D20" s="101" t="str">
        <f>IF(AND(G20&lt;&gt;0,G20&lt;P10),"*","")</f>
        <v/>
      </c>
      <c r="E20" s="330"/>
      <c r="F20" s="330"/>
      <c r="G20" s="330"/>
      <c r="H20" s="128">
        <f>IF(P10="",0,IF(AND(G20&gt;=I20,I20&lt;P10,G20&lt;&gt;0),J20*(F20/H32),""))</f>
        <v>0</v>
      </c>
      <c r="I20" s="31" t="str">
        <f>Geometry!R81</f>
        <v/>
      </c>
      <c r="J20" s="325">
        <f>IF(G20&gt;=P10,1,(G20-I20)/(P10-I20))</f>
        <v>1</v>
      </c>
      <c r="K20" s="14">
        <v>4</v>
      </c>
      <c r="L20" s="102" t="str">
        <f t="shared" si="0"/>
        <v/>
      </c>
      <c r="M20" s="330"/>
      <c r="N20" s="330"/>
      <c r="O20" s="330"/>
      <c r="P20" s="378" t="str">
        <f t="shared" si="2"/>
        <v/>
      </c>
      <c r="Q20" s="373" t="str">
        <f>Geometry!S117</f>
        <v/>
      </c>
      <c r="R20" s="322">
        <f t="shared" si="1"/>
        <v>1</v>
      </c>
      <c r="S20" s="182"/>
    </row>
    <row r="21" spans="4:19" ht="15" customHeight="1" x14ac:dyDescent="0.2">
      <c r="D21" s="101" t="str">
        <f>IF(AND(G21&lt;&gt;0,G21&lt;P10),"*","")</f>
        <v/>
      </c>
      <c r="E21" s="330"/>
      <c r="F21" s="330"/>
      <c r="G21" s="330"/>
      <c r="H21" s="128">
        <f>IF(P10="",0,IF(AND(G21&gt;=I21,I21&lt;P10,G21&lt;&gt;0),J21*(F21/H32),""))</f>
        <v>0</v>
      </c>
      <c r="I21" s="31" t="str">
        <f>Geometry!R82</f>
        <v/>
      </c>
      <c r="J21" s="325">
        <f>IF(G21&gt;=P10,1,(G21-I21)/(P10-I21))</f>
        <v>1</v>
      </c>
      <c r="K21" s="14">
        <v>5</v>
      </c>
      <c r="L21" s="102" t="str">
        <f t="shared" si="0"/>
        <v/>
      </c>
      <c r="M21" s="331"/>
      <c r="N21" s="331"/>
      <c r="O21" s="330"/>
      <c r="P21" s="378" t="str">
        <f t="shared" si="2"/>
        <v/>
      </c>
      <c r="Q21" s="373" t="str">
        <f>Geometry!S118</f>
        <v/>
      </c>
      <c r="R21" s="322">
        <f t="shared" si="1"/>
        <v>1</v>
      </c>
      <c r="S21" s="182"/>
    </row>
    <row r="22" spans="4:19" ht="15" customHeight="1" x14ac:dyDescent="0.2">
      <c r="D22" s="101" t="str">
        <f>IF(AND(G22&lt;&gt;0,G22&lt;P10),"*","")</f>
        <v/>
      </c>
      <c r="E22" s="330"/>
      <c r="F22" s="330"/>
      <c r="G22" s="330"/>
      <c r="H22" s="128">
        <f>IF(P10="",0,IF(AND(G22&gt;=I22,I22&lt;P10,G22&lt;&gt;0),J22*(F22/H32),""))</f>
        <v>0</v>
      </c>
      <c r="I22" s="31" t="str">
        <f>Geometry!R83</f>
        <v/>
      </c>
      <c r="J22" s="325">
        <f>IF(G22&gt;=P10,1,(G22-I22)/(P10-I22))</f>
        <v>1</v>
      </c>
      <c r="K22" s="14">
        <v>6</v>
      </c>
      <c r="L22" s="102" t="str">
        <f t="shared" si="0"/>
        <v/>
      </c>
      <c r="M22" s="331"/>
      <c r="N22" s="331"/>
      <c r="O22" s="330"/>
      <c r="P22" s="378" t="str">
        <f t="shared" si="2"/>
        <v/>
      </c>
      <c r="Q22" s="373" t="str">
        <f>Geometry!S119</f>
        <v/>
      </c>
      <c r="R22" s="322">
        <f t="shared" si="1"/>
        <v>1</v>
      </c>
      <c r="S22" s="182"/>
    </row>
    <row r="23" spans="4:19" ht="15" customHeight="1" x14ac:dyDescent="0.2">
      <c r="D23" s="101" t="str">
        <f>IF(AND(G23&lt;&gt;0,G23&lt;P10),"*","")</f>
        <v/>
      </c>
      <c r="E23" s="330"/>
      <c r="F23" s="330"/>
      <c r="G23" s="330"/>
      <c r="H23" s="128">
        <f>IF(P10="",0,IF(AND(G23&gt;=I23,I23&lt;P10,G23&lt;&gt;0),J23*(F23/H32),""))</f>
        <v>0</v>
      </c>
      <c r="I23" s="31" t="str">
        <f>Geometry!R84</f>
        <v/>
      </c>
      <c r="J23" s="325">
        <f>IF(G23&gt;=P10,1,(G23-I23)/(P10-I23))</f>
        <v>1</v>
      </c>
      <c r="K23" s="14">
        <v>7</v>
      </c>
      <c r="L23" s="102" t="str">
        <f t="shared" si="0"/>
        <v/>
      </c>
      <c r="M23" s="331"/>
      <c r="N23" s="331"/>
      <c r="O23" s="330"/>
      <c r="P23" s="378" t="str">
        <f t="shared" si="2"/>
        <v/>
      </c>
      <c r="Q23" s="373" t="str">
        <f>Geometry!S120</f>
        <v/>
      </c>
      <c r="R23" s="322">
        <f t="shared" si="1"/>
        <v>1</v>
      </c>
      <c r="S23" s="182"/>
    </row>
    <row r="24" spans="4:19" ht="15" customHeight="1" x14ac:dyDescent="0.2">
      <c r="D24" s="101" t="str">
        <f>IF(AND(G24&lt;&gt;0,G24&lt;P10),"*","")</f>
        <v/>
      </c>
      <c r="E24" s="330"/>
      <c r="F24" s="330"/>
      <c r="G24" s="330"/>
      <c r="H24" s="128">
        <f>IF(P10="",0,IF(AND(G24&gt;=I24,I24&lt;P10,G24&lt;&gt;0),J24*(F24/H32),""))</f>
        <v>0</v>
      </c>
      <c r="I24" s="31" t="str">
        <f>Geometry!R85</f>
        <v/>
      </c>
      <c r="J24" s="325">
        <f>IF(G24&gt;=P10,1,(G24-I24)/(P10-I24))</f>
        <v>1</v>
      </c>
      <c r="K24" s="14">
        <v>8</v>
      </c>
      <c r="L24" s="102" t="str">
        <f t="shared" si="0"/>
        <v/>
      </c>
      <c r="M24" s="331"/>
      <c r="N24" s="331"/>
      <c r="O24" s="330"/>
      <c r="P24" s="378" t="str">
        <f t="shared" si="2"/>
        <v/>
      </c>
      <c r="Q24" s="373" t="str">
        <f>Geometry!S121</f>
        <v/>
      </c>
      <c r="R24" s="322">
        <f t="shared" si="1"/>
        <v>1</v>
      </c>
      <c r="S24" s="182"/>
    </row>
    <row r="25" spans="4:19" ht="15" customHeight="1" x14ac:dyDescent="0.2">
      <c r="D25" s="101" t="str">
        <f>IF(AND(G25&lt;&gt;0,G25&lt;P10),"*","")</f>
        <v/>
      </c>
      <c r="E25" s="330"/>
      <c r="F25" s="330"/>
      <c r="G25" s="330"/>
      <c r="H25" s="128">
        <f>IF(P10="",0,IF(AND(G25&gt;=I25,I25&lt;P10,G25&lt;&gt;0),J25*(F25/H32),""))</f>
        <v>0</v>
      </c>
      <c r="I25" s="31" t="str">
        <f>Geometry!R86</f>
        <v/>
      </c>
      <c r="J25" s="325">
        <f>IF(G25&gt;=P10,1,(G25-I25)/(P10-I25))</f>
        <v>1</v>
      </c>
      <c r="K25" s="14">
        <v>9</v>
      </c>
      <c r="L25" s="102" t="str">
        <f t="shared" si="0"/>
        <v/>
      </c>
      <c r="M25" s="331"/>
      <c r="N25" s="331"/>
      <c r="O25" s="330"/>
      <c r="P25" s="378" t="str">
        <f t="shared" si="2"/>
        <v/>
      </c>
      <c r="Q25" s="373" t="str">
        <f>Geometry!S122</f>
        <v/>
      </c>
      <c r="R25" s="322">
        <f t="shared" si="1"/>
        <v>1</v>
      </c>
      <c r="S25" s="182"/>
    </row>
    <row r="26" spans="4:19" ht="15" customHeight="1" x14ac:dyDescent="0.2">
      <c r="D26" s="101" t="str">
        <f>IF(AND(G26&lt;&gt;0,H26&lt;1),"*","")</f>
        <v/>
      </c>
      <c r="E26" s="330"/>
      <c r="F26" s="330"/>
      <c r="G26" s="330"/>
      <c r="H26" s="128">
        <f>IF(P10="",0,IF(AND(G26&gt;=I26,I26&lt;P10,G26&lt;&gt;0),J26*(F26/H32),""))</f>
        <v>0</v>
      </c>
      <c r="I26" s="31" t="str">
        <f>Geometry!R87</f>
        <v/>
      </c>
      <c r="J26" s="325">
        <f>IF(G26&gt;=P10,1,(G26-I26)/(P10-I26))</f>
        <v>1</v>
      </c>
      <c r="K26" s="14">
        <v>10</v>
      </c>
      <c r="L26" s="102" t="str">
        <f t="shared" si="0"/>
        <v/>
      </c>
      <c r="M26" s="331"/>
      <c r="N26" s="331"/>
      <c r="O26" s="330"/>
      <c r="P26" s="378" t="str">
        <f t="shared" si="2"/>
        <v/>
      </c>
      <c r="Q26" s="373" t="str">
        <f>Geometry!S123</f>
        <v/>
      </c>
      <c r="R26" s="322">
        <f t="shared" si="1"/>
        <v>1</v>
      </c>
      <c r="S26" s="182"/>
    </row>
    <row r="27" spans="4:19" ht="15" customHeight="1" x14ac:dyDescent="0.2">
      <c r="D27" s="101" t="str">
        <f>IF(AND(G27&lt;&gt;0,H27&lt;1),"*","")</f>
        <v/>
      </c>
      <c r="E27" s="330"/>
      <c r="F27" s="330"/>
      <c r="G27" s="330"/>
      <c r="H27" s="128">
        <f>IF(P10="",0,IF(AND(G27&gt;=I27,I27&lt;P10,G27&lt;&gt;0),J27*(F27/H32),""))</f>
        <v>0</v>
      </c>
      <c r="I27" s="31" t="str">
        <f>Geometry!R88</f>
        <v/>
      </c>
      <c r="J27" s="325">
        <f>IF(G27&gt;=P10,1,(G27-I27)/(P10-I27))</f>
        <v>1</v>
      </c>
      <c r="K27" s="14">
        <v>11</v>
      </c>
      <c r="L27" s="102" t="str">
        <f t="shared" si="0"/>
        <v/>
      </c>
      <c r="M27" s="331"/>
      <c r="N27" s="331"/>
      <c r="O27" s="330"/>
      <c r="P27" s="378" t="str">
        <f t="shared" si="2"/>
        <v/>
      </c>
      <c r="Q27" s="373" t="str">
        <f>Geometry!S124</f>
        <v/>
      </c>
      <c r="R27" s="322">
        <f t="shared" si="1"/>
        <v>1</v>
      </c>
      <c r="S27" s="182"/>
    </row>
    <row r="28" spans="4:19" ht="15" customHeight="1" x14ac:dyDescent="0.2">
      <c r="D28" s="101" t="str">
        <f>IF(AND(G28&lt;&gt;0,H28&lt;1),"*","")</f>
        <v/>
      </c>
      <c r="E28" s="330"/>
      <c r="F28" s="330"/>
      <c r="G28" s="330"/>
      <c r="H28" s="128">
        <f>IF(P10="",0,IF(AND(G28&gt;=I28,I28&lt;P10,G28&lt;&gt;0),J28*(F28/H32),""))</f>
        <v>0</v>
      </c>
      <c r="I28" s="31" t="str">
        <f>Geometry!R89</f>
        <v/>
      </c>
      <c r="J28" s="325">
        <f>IF(G28&gt;=P10,1,(G28-I28)/(P10-I28))</f>
        <v>1</v>
      </c>
      <c r="K28" s="14">
        <v>12</v>
      </c>
      <c r="L28" s="102" t="str">
        <f t="shared" si="0"/>
        <v/>
      </c>
      <c r="M28" s="331"/>
      <c r="N28" s="331"/>
      <c r="O28" s="330"/>
      <c r="P28" s="378" t="str">
        <f t="shared" si="2"/>
        <v/>
      </c>
      <c r="Q28" s="373" t="str">
        <f>Geometry!S125</f>
        <v/>
      </c>
      <c r="R28" s="322">
        <f t="shared" si="1"/>
        <v>1</v>
      </c>
      <c r="S28" s="182"/>
    </row>
    <row r="29" spans="4:19" ht="15" customHeight="1" x14ac:dyDescent="0.2">
      <c r="D29" s="101" t="str">
        <f>IF(AND(G29&lt;&gt;0,H29&lt;1),"*","")</f>
        <v/>
      </c>
      <c r="E29" s="330"/>
      <c r="F29" s="330"/>
      <c r="G29" s="330"/>
      <c r="H29" s="128">
        <f>IF(P10="",0,IF(AND(G29&gt;=I29,I29&lt;P10,G29&lt;&gt;0),J29*(F29/H32),""))</f>
        <v>0</v>
      </c>
      <c r="I29" s="31" t="str">
        <f>Geometry!R90</f>
        <v/>
      </c>
      <c r="J29" s="325">
        <f>IF(G29&gt;=P10,1,(G29-I29)/(P10-I29))</f>
        <v>1</v>
      </c>
      <c r="K29" s="14">
        <v>13</v>
      </c>
      <c r="L29" s="102" t="str">
        <f t="shared" si="0"/>
        <v/>
      </c>
      <c r="M29" s="331"/>
      <c r="N29" s="331"/>
      <c r="O29" s="330"/>
      <c r="P29" s="378" t="str">
        <f t="shared" si="2"/>
        <v/>
      </c>
      <c r="Q29" s="373" t="str">
        <f>Geometry!S126</f>
        <v/>
      </c>
      <c r="R29" s="322">
        <f t="shared" si="1"/>
        <v>1</v>
      </c>
      <c r="S29" s="182"/>
    </row>
    <row r="30" spans="4:19" ht="15" customHeight="1" x14ac:dyDescent="0.2">
      <c r="D30" s="101" t="str">
        <f>IF(AND(G30&lt;&gt;0,H30&lt;1),"*","")</f>
        <v/>
      </c>
      <c r="E30" s="330"/>
      <c r="F30" s="330"/>
      <c r="G30" s="330"/>
      <c r="H30" s="128">
        <f>IF(P10="",0,IF(AND(G30&gt;=I30,I30&lt;P10,G30&lt;&gt;0),J30*(F30/H32),""))</f>
        <v>0</v>
      </c>
      <c r="I30" s="31" t="str">
        <f>Geometry!R91</f>
        <v/>
      </c>
      <c r="J30" s="325">
        <f>IF(G30&gt;=P10,1,(G30-I30)/(P10-I30))</f>
        <v>1</v>
      </c>
      <c r="K30" s="14">
        <v>14</v>
      </c>
      <c r="L30" s="102" t="str">
        <f t="shared" si="0"/>
        <v/>
      </c>
      <c r="M30" s="331"/>
      <c r="N30" s="331"/>
      <c r="O30" s="330"/>
      <c r="P30" s="378" t="str">
        <f t="shared" si="2"/>
        <v/>
      </c>
      <c r="Q30" s="373" t="str">
        <f>Geometry!S127</f>
        <v/>
      </c>
      <c r="R30" s="322">
        <f t="shared" si="1"/>
        <v>1</v>
      </c>
      <c r="S30" s="182"/>
    </row>
    <row r="31" spans="4:19" ht="15" customHeight="1" x14ac:dyDescent="0.2">
      <c r="D31" s="129"/>
      <c r="E31" s="75"/>
      <c r="F31" s="75"/>
      <c r="G31" s="75"/>
      <c r="H31" s="76">
        <f>IF(SUM(H17:H30)=0,0,(SUM(H17:H30)))</f>
        <v>0</v>
      </c>
      <c r="I31" s="75" t="s">
        <v>398</v>
      </c>
      <c r="J31" s="75"/>
      <c r="K31" s="75"/>
      <c r="L31" s="114"/>
      <c r="M31" s="75"/>
      <c r="N31" s="75"/>
      <c r="O31" s="75"/>
      <c r="P31" s="76">
        <f>IF(SUM(P17:P30)=0,0,SUM(P17:P30)/(COUNT(P17:P30)))</f>
        <v>0</v>
      </c>
      <c r="Q31" s="75" t="s">
        <v>396</v>
      </c>
      <c r="R31" s="319"/>
    </row>
    <row r="32" spans="4:19" ht="15" customHeight="1" x14ac:dyDescent="0.2">
      <c r="D32" s="101" t="str">
        <f>IF(AND(H31&gt;0,H31&lt;1),"*","")</f>
        <v/>
      </c>
      <c r="E32" s="376" t="str">
        <f>IF(D32="*","May Require WSDOT Dev. Approval","")</f>
        <v/>
      </c>
      <c r="F32" s="75"/>
      <c r="G32" s="75"/>
      <c r="H32" s="33">
        <f>SUM(F17:F30)</f>
        <v>0</v>
      </c>
      <c r="I32" s="75" t="s">
        <v>400</v>
      </c>
      <c r="J32" s="75"/>
      <c r="K32" s="75"/>
      <c r="L32" s="102" t="str">
        <f>IF(AND(P31&gt;0,P31&lt;1),"*","")</f>
        <v/>
      </c>
      <c r="M32" s="104" t="str">
        <f>IF(AND(P31&lt;&gt;0,P31&lt;1),"May Require WSDOT Dev. Approval","")</f>
        <v/>
      </c>
      <c r="N32" s="75"/>
      <c r="O32" s="75"/>
      <c r="P32" s="75"/>
      <c r="Q32" s="33"/>
      <c r="R32" s="318"/>
      <c r="S32" s="178"/>
    </row>
    <row r="33" spans="1:52" ht="15" customHeight="1" thickBot="1" x14ac:dyDescent="0.25">
      <c r="D33" s="121"/>
      <c r="E33" s="105"/>
      <c r="F33" s="105"/>
      <c r="G33" s="105"/>
      <c r="H33" s="130"/>
      <c r="I33" s="105"/>
      <c r="J33" s="105"/>
      <c r="K33" s="105"/>
      <c r="L33" s="105"/>
      <c r="M33" s="105"/>
      <c r="N33" s="105"/>
      <c r="O33" s="105"/>
      <c r="P33" s="105"/>
      <c r="Q33" s="323"/>
      <c r="R33" s="324"/>
    </row>
    <row r="34" spans="1:52" ht="15" customHeight="1" x14ac:dyDescent="0.2">
      <c r="G34" s="326"/>
    </row>
    <row r="36" spans="1:52" ht="15" customHeight="1" x14ac:dyDescent="0.2">
      <c r="A36" s="393"/>
      <c r="B36" s="393"/>
      <c r="C36" s="176"/>
      <c r="D36" s="176"/>
      <c r="E36" s="176"/>
      <c r="F36" s="176"/>
      <c r="G36" s="176"/>
      <c r="H36" s="176"/>
      <c r="I36" s="176"/>
      <c r="J36" s="176"/>
      <c r="K36" s="176"/>
      <c r="L36" s="176"/>
      <c r="M36" s="176"/>
      <c r="N36" s="372"/>
      <c r="O36" s="371"/>
      <c r="P36" s="372"/>
      <c r="Q36" s="372"/>
      <c r="R36" s="371"/>
      <c r="S36" s="371"/>
      <c r="T36" s="371"/>
      <c r="U36" s="371"/>
      <c r="V36" s="372"/>
      <c r="W36" s="372"/>
      <c r="X36" s="372"/>
      <c r="Y36" s="372"/>
      <c r="Z36" s="176"/>
      <c r="AA36" s="394"/>
      <c r="AB36" s="394"/>
      <c r="AC36" s="394"/>
      <c r="AD36" s="176"/>
      <c r="AE36" s="176"/>
      <c r="AF36" s="176"/>
      <c r="AG36" s="176"/>
      <c r="AH36" s="176"/>
      <c r="AI36" s="176"/>
      <c r="AJ36" s="176"/>
      <c r="AK36" s="176"/>
      <c r="AL36" s="176"/>
      <c r="AM36" s="176"/>
      <c r="AN36" s="176"/>
      <c r="AO36" s="176"/>
      <c r="AP36" s="176"/>
      <c r="AQ36" s="176"/>
      <c r="AR36" s="176"/>
      <c r="AS36" s="176"/>
      <c r="AT36" s="176"/>
      <c r="AU36" s="176"/>
      <c r="AV36" s="176"/>
      <c r="AW36" s="176"/>
      <c r="AX36" s="176"/>
      <c r="AY36" s="176"/>
      <c r="AZ36" s="176"/>
    </row>
    <row r="37" spans="1:52" ht="15" customHeight="1" x14ac:dyDescent="0.2">
      <c r="A37" s="393"/>
      <c r="B37" s="393"/>
      <c r="C37" s="176"/>
      <c r="D37" s="176"/>
      <c r="E37" s="176"/>
      <c r="F37" s="176"/>
      <c r="G37" s="176"/>
      <c r="H37" s="176"/>
      <c r="I37" s="176"/>
      <c r="J37" s="176"/>
      <c r="K37" s="176"/>
      <c r="L37" s="176"/>
      <c r="M37" s="176"/>
      <c r="N37" s="372"/>
      <c r="O37" s="176"/>
      <c r="P37" s="704" t="s">
        <v>284</v>
      </c>
      <c r="Q37" s="704"/>
      <c r="R37" s="704"/>
      <c r="S37" s="704"/>
      <c r="T37" s="704"/>
      <c r="U37" s="704"/>
      <c r="V37" s="704"/>
      <c r="W37" s="704"/>
      <c r="X37" s="704"/>
      <c r="Y37" s="176"/>
      <c r="Z37" s="176"/>
      <c r="AA37" s="176"/>
      <c r="AB37" s="176"/>
      <c r="AC37" s="176"/>
      <c r="AD37" s="176"/>
      <c r="AE37" s="176"/>
      <c r="AF37" s="395"/>
      <c r="AG37" s="396"/>
      <c r="AH37" s="397"/>
      <c r="AI37" s="397"/>
      <c r="AJ37" s="394"/>
      <c r="AK37" s="176"/>
      <c r="AL37" s="176"/>
      <c r="AM37" s="176"/>
      <c r="AN37" s="176"/>
      <c r="AO37" s="176"/>
      <c r="AP37" s="176"/>
      <c r="AQ37" s="176"/>
      <c r="AR37" s="176"/>
      <c r="AS37" s="176"/>
      <c r="AT37" s="176"/>
      <c r="AU37" s="176"/>
      <c r="AV37" s="176"/>
      <c r="AW37" s="176"/>
      <c r="AX37" s="176"/>
      <c r="AY37" s="176"/>
      <c r="AZ37" s="176"/>
    </row>
    <row r="38" spans="1:52" ht="15" customHeight="1" x14ac:dyDescent="0.2">
      <c r="A38" s="393"/>
      <c r="B38" s="393"/>
      <c r="C38" s="176"/>
      <c r="D38" s="176"/>
      <c r="E38" s="176"/>
      <c r="F38" s="176"/>
      <c r="G38" s="176"/>
      <c r="H38" s="176"/>
      <c r="I38" s="176"/>
      <c r="J38" s="176"/>
      <c r="K38" s="176"/>
      <c r="L38" s="176"/>
      <c r="M38" s="176"/>
      <c r="N38" s="372"/>
      <c r="O38" s="176"/>
      <c r="P38" s="176"/>
      <c r="Q38" s="176"/>
      <c r="R38" s="176"/>
      <c r="S38" s="176"/>
      <c r="T38" s="176"/>
      <c r="U38" s="176"/>
      <c r="V38" s="176"/>
      <c r="W38" s="176"/>
      <c r="X38" s="176"/>
      <c r="Y38" s="176"/>
      <c r="Z38" s="176"/>
      <c r="AA38" s="176"/>
      <c r="AB38" s="176"/>
      <c r="AC38" s="176"/>
      <c r="AD38" s="176"/>
      <c r="AE38" s="176"/>
      <c r="AF38" s="397"/>
      <c r="AG38" s="397"/>
      <c r="AH38" s="397"/>
      <c r="AI38" s="398"/>
      <c r="AJ38" s="394"/>
      <c r="AK38" s="176"/>
      <c r="AL38" s="176"/>
      <c r="AM38" s="176"/>
      <c r="AN38" s="176"/>
      <c r="AO38" s="176"/>
      <c r="AP38" s="176"/>
      <c r="AQ38" s="176"/>
      <c r="AR38" s="176"/>
      <c r="AS38" s="176"/>
      <c r="AT38" s="176"/>
      <c r="AU38" s="176"/>
      <c r="AV38" s="176"/>
      <c r="AW38" s="176"/>
      <c r="AX38" s="176"/>
      <c r="AY38" s="176"/>
      <c r="AZ38" s="176"/>
    </row>
    <row r="39" spans="1:52" ht="15" customHeight="1" x14ac:dyDescent="0.2">
      <c r="A39" s="393"/>
      <c r="B39" s="393"/>
      <c r="C39" s="176"/>
      <c r="D39" s="176"/>
      <c r="E39" s="176"/>
      <c r="F39" s="176"/>
      <c r="G39" s="176"/>
      <c r="H39" s="176"/>
      <c r="I39" s="176"/>
      <c r="J39" s="176"/>
      <c r="K39" s="176"/>
      <c r="L39" s="176"/>
      <c r="M39" s="176"/>
      <c r="N39" s="372"/>
      <c r="O39" s="176"/>
      <c r="P39" s="145"/>
      <c r="Q39" s="399" t="s">
        <v>429</v>
      </c>
      <c r="R39" s="145"/>
      <c r="S39" s="145"/>
      <c r="T39" s="372"/>
      <c r="U39" s="176"/>
      <c r="V39" s="145"/>
      <c r="W39" s="399" t="s">
        <v>428</v>
      </c>
      <c r="X39" s="145"/>
      <c r="Y39" s="145"/>
      <c r="Z39" s="176"/>
      <c r="AA39" s="176"/>
      <c r="AB39" s="176"/>
      <c r="AC39" s="176"/>
      <c r="AD39" s="176"/>
      <c r="AE39" s="176"/>
      <c r="AF39" s="400"/>
      <c r="AG39" s="400"/>
      <c r="AH39" s="401"/>
      <c r="AI39" s="397"/>
      <c r="AJ39" s="394"/>
      <c r="AK39" s="176"/>
      <c r="AL39" s="176"/>
      <c r="AM39" s="176"/>
      <c r="AN39" s="695" t="s">
        <v>284</v>
      </c>
      <c r="AO39" s="695"/>
      <c r="AP39" s="695"/>
      <c r="AQ39" s="695"/>
      <c r="AR39" s="176"/>
      <c r="AS39" s="176"/>
      <c r="AT39" s="176"/>
      <c r="AU39" s="176"/>
      <c r="AV39" s="176"/>
      <c r="AW39" s="176"/>
      <c r="AX39" s="176"/>
      <c r="AY39" s="176"/>
      <c r="AZ39" s="176"/>
    </row>
    <row r="40" spans="1:52" ht="15" customHeight="1" x14ac:dyDescent="0.2">
      <c r="A40" s="393"/>
      <c r="B40" s="393"/>
      <c r="C40" s="176"/>
      <c r="D40" s="176"/>
      <c r="E40" s="176"/>
      <c r="F40" s="176"/>
      <c r="G40" s="176"/>
      <c r="H40" s="176"/>
      <c r="I40" s="176"/>
      <c r="J40" s="176"/>
      <c r="K40" s="176"/>
      <c r="L40" s="176"/>
      <c r="M40" s="176"/>
      <c r="N40" s="372"/>
      <c r="O40" s="176"/>
      <c r="P40" s="176"/>
      <c r="Q40" s="176"/>
      <c r="R40" s="176"/>
      <c r="S40" s="176"/>
      <c r="T40" s="371"/>
      <c r="U40" s="176"/>
      <c r="V40" s="176"/>
      <c r="W40" s="176"/>
      <c r="X40" s="176"/>
      <c r="Y40" s="176"/>
      <c r="Z40" s="176"/>
      <c r="AA40" s="176"/>
      <c r="AB40" s="176"/>
      <c r="AC40" s="176"/>
      <c r="AD40" s="176"/>
      <c r="AE40" s="176"/>
      <c r="AF40" s="400"/>
      <c r="AG40" s="400"/>
      <c r="AH40" s="397"/>
      <c r="AI40" s="397"/>
      <c r="AJ40" s="394"/>
      <c r="AK40" s="176"/>
      <c r="AL40" s="176"/>
      <c r="AM40" s="176"/>
      <c r="AN40" s="176"/>
      <c r="AO40" s="176"/>
      <c r="AP40" s="176"/>
      <c r="AQ40" s="176"/>
      <c r="AR40" s="176"/>
      <c r="AS40" s="176"/>
      <c r="AT40" s="176"/>
      <c r="AU40" s="176"/>
      <c r="AV40" s="176"/>
      <c r="AW40" s="176"/>
      <c r="AX40" s="176"/>
      <c r="AY40" s="176"/>
      <c r="AZ40" s="176"/>
    </row>
    <row r="41" spans="1:52" ht="15" customHeight="1" x14ac:dyDescent="0.2">
      <c r="A41" s="690"/>
      <c r="B41" s="393"/>
      <c r="C41" s="176"/>
      <c r="D41" s="176"/>
      <c r="E41" s="176"/>
      <c r="F41" s="176"/>
      <c r="G41" s="176"/>
      <c r="H41" s="176"/>
      <c r="I41" s="176"/>
      <c r="J41" s="176"/>
      <c r="K41" s="176"/>
      <c r="L41" s="176"/>
      <c r="M41" s="176"/>
      <c r="N41" s="372"/>
      <c r="O41" s="178" t="s">
        <v>287</v>
      </c>
      <c r="P41" s="176"/>
      <c r="Q41" s="145" t="s">
        <v>288</v>
      </c>
      <c r="R41" s="393"/>
      <c r="S41" s="393"/>
      <c r="T41" s="371"/>
      <c r="U41" s="178" t="s">
        <v>287</v>
      </c>
      <c r="V41" s="176"/>
      <c r="W41" s="145" t="s">
        <v>289</v>
      </c>
      <c r="X41" s="393"/>
      <c r="Y41" s="393"/>
      <c r="Z41" s="176"/>
      <c r="AA41" s="176"/>
      <c r="AB41" s="176"/>
      <c r="AC41" s="176"/>
      <c r="AD41" s="176"/>
      <c r="AE41" s="176"/>
      <c r="AF41" s="400"/>
      <c r="AG41" s="400"/>
      <c r="AH41" s="397"/>
      <c r="AI41" s="397"/>
      <c r="AJ41" s="394"/>
      <c r="AK41" s="176"/>
      <c r="AL41" s="176"/>
      <c r="AM41" s="176"/>
      <c r="AN41" s="145"/>
      <c r="AO41" s="402" t="s">
        <v>285</v>
      </c>
      <c r="AP41" s="145"/>
      <c r="AQ41" s="145"/>
      <c r="AR41" s="372"/>
      <c r="AS41" s="176"/>
      <c r="AT41" s="145"/>
      <c r="AU41" s="402" t="s">
        <v>285</v>
      </c>
      <c r="AV41" s="145"/>
      <c r="AW41" s="145"/>
      <c r="AX41" s="176"/>
      <c r="AY41" s="176"/>
      <c r="AZ41" s="176"/>
    </row>
    <row r="42" spans="1:52" ht="15" customHeight="1" x14ac:dyDescent="0.2">
      <c r="A42" s="690"/>
      <c r="B42" s="393"/>
      <c r="C42" s="403" t="s">
        <v>424</v>
      </c>
      <c r="D42" s="176"/>
      <c r="E42" s="176"/>
      <c r="F42" s="176"/>
      <c r="G42" s="176"/>
      <c r="H42" s="393"/>
      <c r="I42" s="404" t="s">
        <v>286</v>
      </c>
      <c r="J42" s="176"/>
      <c r="K42" s="394"/>
      <c r="L42" s="394"/>
      <c r="M42" s="176"/>
      <c r="N42" s="372"/>
      <c r="O42" s="178" t="s">
        <v>290</v>
      </c>
      <c r="P42" s="405" t="s">
        <v>291</v>
      </c>
      <c r="Q42" s="405" t="s">
        <v>292</v>
      </c>
      <c r="R42" s="405" t="s">
        <v>293</v>
      </c>
      <c r="S42" s="405" t="s">
        <v>133</v>
      </c>
      <c r="T42" s="371"/>
      <c r="U42" s="178" t="s">
        <v>290</v>
      </c>
      <c r="V42" s="405" t="s">
        <v>291</v>
      </c>
      <c r="W42" s="405" t="s">
        <v>292</v>
      </c>
      <c r="X42" s="405" t="s">
        <v>293</v>
      </c>
      <c r="Y42" s="405" t="s">
        <v>133</v>
      </c>
      <c r="Z42" s="176"/>
      <c r="AA42" s="176"/>
      <c r="AB42" s="176"/>
      <c r="AC42" s="176"/>
      <c r="AD42" s="176"/>
      <c r="AE42" s="176"/>
      <c r="AF42" s="176"/>
      <c r="AG42" s="176"/>
      <c r="AH42" s="394"/>
      <c r="AI42" s="394"/>
      <c r="AJ42" s="394"/>
      <c r="AK42" s="176"/>
      <c r="AL42" s="176"/>
      <c r="AM42" s="176"/>
      <c r="AN42" s="176"/>
      <c r="AO42" s="176"/>
      <c r="AP42" s="176"/>
      <c r="AQ42" s="176"/>
      <c r="AR42" s="371"/>
      <c r="AS42" s="176"/>
      <c r="AT42" s="176"/>
      <c r="AU42" s="176"/>
      <c r="AV42" s="176"/>
      <c r="AW42" s="176"/>
      <c r="AX42" s="176"/>
      <c r="AY42" s="176"/>
      <c r="AZ42" s="176"/>
    </row>
    <row r="43" spans="1:52" ht="15" customHeight="1" x14ac:dyDescent="0.2">
      <c r="A43" s="690"/>
      <c r="B43" s="393"/>
      <c r="C43" s="176"/>
      <c r="D43" s="176"/>
      <c r="E43" s="176"/>
      <c r="F43" s="176"/>
      <c r="G43" s="176"/>
      <c r="H43" s="301"/>
      <c r="I43" s="176"/>
      <c r="J43" s="176"/>
      <c r="K43" s="394"/>
      <c r="L43" s="394"/>
      <c r="M43" s="176"/>
      <c r="N43" s="372"/>
      <c r="O43" s="176"/>
      <c r="P43" s="176"/>
      <c r="Q43" s="176"/>
      <c r="R43" s="176"/>
      <c r="S43" s="176"/>
      <c r="T43" s="371"/>
      <c r="U43" s="176"/>
      <c r="V43" s="176"/>
      <c r="W43" s="176"/>
      <c r="X43" s="176"/>
      <c r="Y43" s="176"/>
      <c r="Z43" s="176"/>
      <c r="AA43" s="176"/>
      <c r="AB43" s="176"/>
      <c r="AC43" s="176"/>
      <c r="AD43" s="176"/>
      <c r="AE43" s="176"/>
      <c r="AF43" s="176"/>
      <c r="AG43" s="176"/>
      <c r="AH43" s="394"/>
      <c r="AI43" s="394"/>
      <c r="AJ43" s="394"/>
      <c r="AK43" s="176"/>
      <c r="AL43" s="176"/>
      <c r="AM43" s="178" t="s">
        <v>287</v>
      </c>
      <c r="AN43" s="176"/>
      <c r="AO43" s="145" t="s">
        <v>288</v>
      </c>
      <c r="AP43" s="393"/>
      <c r="AQ43" s="393"/>
      <c r="AR43" s="371"/>
      <c r="AS43" s="178" t="s">
        <v>287</v>
      </c>
      <c r="AT43" s="176"/>
      <c r="AU43" s="145" t="s">
        <v>289</v>
      </c>
      <c r="AV43" s="393"/>
      <c r="AW43" s="393"/>
      <c r="AX43" s="176"/>
      <c r="AY43" s="176"/>
      <c r="AZ43" s="176"/>
    </row>
    <row r="44" spans="1:52" ht="15" customHeight="1" x14ac:dyDescent="0.2">
      <c r="A44" s="690"/>
      <c r="B44" s="393"/>
      <c r="C44" s="406">
        <f>Geometry!L6</f>
        <v>0</v>
      </c>
      <c r="D44" s="407" t="s">
        <v>425</v>
      </c>
      <c r="E44" s="176"/>
      <c r="F44" s="176"/>
      <c r="G44" s="176"/>
      <c r="H44" s="372"/>
      <c r="I44" s="406">
        <f>Geometry!L7</f>
        <v>0</v>
      </c>
      <c r="J44" s="408" t="s">
        <v>294</v>
      </c>
      <c r="K44" s="394"/>
      <c r="L44" s="394"/>
      <c r="M44" s="176"/>
      <c r="N44" s="372"/>
      <c r="O44" s="145">
        <v>20</v>
      </c>
      <c r="P44" s="145">
        <v>20</v>
      </c>
      <c r="Q44" s="145">
        <v>20</v>
      </c>
      <c r="R44" s="145">
        <v>22</v>
      </c>
      <c r="S44" s="145">
        <v>24</v>
      </c>
      <c r="T44" s="371"/>
      <c r="U44" s="178" t="s">
        <v>295</v>
      </c>
      <c r="V44" s="145">
        <v>2</v>
      </c>
      <c r="W44" s="145">
        <v>4</v>
      </c>
      <c r="X44" s="145">
        <v>6</v>
      </c>
      <c r="Y44" s="145">
        <v>8</v>
      </c>
      <c r="Z44" s="176"/>
      <c r="AA44" s="176"/>
      <c r="AB44" s="176"/>
      <c r="AC44" s="176"/>
      <c r="AD44" s="176"/>
      <c r="AE44" s="176"/>
      <c r="AF44" s="394"/>
      <c r="AG44" s="394"/>
      <c r="AH44" s="394"/>
      <c r="AI44" s="394"/>
      <c r="AJ44" s="394"/>
      <c r="AK44" s="176"/>
      <c r="AL44" s="176"/>
      <c r="AM44" s="178" t="s">
        <v>290</v>
      </c>
      <c r="AN44" s="405" t="s">
        <v>291</v>
      </c>
      <c r="AO44" s="405" t="s">
        <v>292</v>
      </c>
      <c r="AP44" s="405" t="s">
        <v>293</v>
      </c>
      <c r="AQ44" s="405" t="s">
        <v>133</v>
      </c>
      <c r="AR44" s="371"/>
      <c r="AS44" s="178" t="s">
        <v>290</v>
      </c>
      <c r="AT44" s="405" t="s">
        <v>291</v>
      </c>
      <c r="AU44" s="405" t="s">
        <v>292</v>
      </c>
      <c r="AV44" s="405" t="s">
        <v>293</v>
      </c>
      <c r="AW44" s="405" t="s">
        <v>133</v>
      </c>
      <c r="AX44" s="176"/>
      <c r="AY44" s="176"/>
      <c r="AZ44" s="176"/>
    </row>
    <row r="45" spans="1:52" ht="15" customHeight="1" x14ac:dyDescent="0.2">
      <c r="A45" s="690"/>
      <c r="B45" s="393"/>
      <c r="C45" s="394"/>
      <c r="D45" s="394"/>
      <c r="E45" s="176"/>
      <c r="F45" s="176"/>
      <c r="G45" s="176"/>
      <c r="H45" s="372"/>
      <c r="I45" s="176"/>
      <c r="J45" s="176"/>
      <c r="K45" s="394"/>
      <c r="L45" s="394"/>
      <c r="M45" s="176"/>
      <c r="N45" s="372"/>
      <c r="O45" s="145">
        <v>25</v>
      </c>
      <c r="P45" s="145">
        <v>20</v>
      </c>
      <c r="Q45" s="145">
        <v>20</v>
      </c>
      <c r="R45" s="145">
        <v>22</v>
      </c>
      <c r="S45" s="145">
        <v>24</v>
      </c>
      <c r="T45" s="371"/>
      <c r="U45" s="145"/>
      <c r="V45" s="145"/>
      <c r="W45" s="145"/>
      <c r="X45" s="145"/>
      <c r="Y45" s="145"/>
      <c r="Z45" s="176"/>
      <c r="AA45" s="176"/>
      <c r="AB45" s="176"/>
      <c r="AC45" s="176"/>
      <c r="AD45" s="176"/>
      <c r="AE45" s="176"/>
      <c r="AF45" s="394"/>
      <c r="AG45" s="394"/>
      <c r="AH45" s="394"/>
      <c r="AI45" s="394"/>
      <c r="AJ45" s="394"/>
      <c r="AK45" s="176"/>
      <c r="AL45" s="176"/>
      <c r="AM45" s="176"/>
      <c r="AN45" s="176"/>
      <c r="AO45" s="176"/>
      <c r="AP45" s="176"/>
      <c r="AQ45" s="176"/>
      <c r="AR45" s="371"/>
      <c r="AS45" s="176"/>
      <c r="AT45" s="176"/>
      <c r="AU45" s="176"/>
      <c r="AV45" s="176"/>
      <c r="AW45" s="176"/>
      <c r="AX45" s="176"/>
      <c r="AY45" s="176"/>
      <c r="AZ45" s="176"/>
    </row>
    <row r="46" spans="1:52" ht="15" customHeight="1" x14ac:dyDescent="0.2">
      <c r="A46" s="690"/>
      <c r="B46" s="393"/>
      <c r="C46" s="406">
        <f>Geometry!M6</f>
        <v>0</v>
      </c>
      <c r="D46" s="407" t="s">
        <v>426</v>
      </c>
      <c r="E46" s="176"/>
      <c r="F46" s="176"/>
      <c r="G46" s="176"/>
      <c r="H46" s="372"/>
      <c r="I46" s="406">
        <f>Geometry!M7</f>
        <v>0</v>
      </c>
      <c r="J46" s="408" t="s">
        <v>296</v>
      </c>
      <c r="K46" s="394"/>
      <c r="L46" s="394"/>
      <c r="M46" s="176"/>
      <c r="N46" s="372"/>
      <c r="O46" s="145">
        <v>30</v>
      </c>
      <c r="P46" s="145">
        <v>20</v>
      </c>
      <c r="Q46" s="145">
        <v>20</v>
      </c>
      <c r="R46" s="145">
        <v>22</v>
      </c>
      <c r="S46" s="145">
        <v>24</v>
      </c>
      <c r="T46" s="371"/>
      <c r="U46" s="371"/>
      <c r="V46" s="371"/>
      <c r="W46" s="371"/>
      <c r="X46" s="372"/>
      <c r="Y46" s="372"/>
      <c r="Z46" s="176"/>
      <c r="AA46" s="176"/>
      <c r="AB46" s="176"/>
      <c r="AC46" s="176"/>
      <c r="AD46" s="176"/>
      <c r="AE46" s="176"/>
      <c r="AF46" s="394"/>
      <c r="AG46" s="394"/>
      <c r="AH46" s="394"/>
      <c r="AI46" s="394"/>
      <c r="AJ46" s="394"/>
      <c r="AK46" s="176"/>
      <c r="AL46" s="176"/>
      <c r="AM46" s="145">
        <v>20</v>
      </c>
      <c r="AN46" s="145">
        <v>20</v>
      </c>
      <c r="AO46" s="145">
        <v>20</v>
      </c>
      <c r="AP46" s="145">
        <v>22</v>
      </c>
      <c r="AQ46" s="145">
        <v>24</v>
      </c>
      <c r="AR46" s="371"/>
      <c r="AS46" s="178" t="s">
        <v>295</v>
      </c>
      <c r="AT46" s="145">
        <v>2</v>
      </c>
      <c r="AU46" s="145">
        <v>4</v>
      </c>
      <c r="AV46" s="145">
        <v>6</v>
      </c>
      <c r="AW46" s="145">
        <v>8</v>
      </c>
      <c r="AX46" s="176"/>
      <c r="AY46" s="176"/>
      <c r="AZ46" s="176"/>
    </row>
    <row r="47" spans="1:52" ht="15" customHeight="1" x14ac:dyDescent="0.2">
      <c r="A47" s="690"/>
      <c r="B47" s="393"/>
      <c r="C47" s="394"/>
      <c r="D47" s="394"/>
      <c r="E47" s="176"/>
      <c r="F47" s="176"/>
      <c r="G47" s="176"/>
      <c r="H47" s="372"/>
      <c r="I47" s="176"/>
      <c r="J47" s="394"/>
      <c r="K47" s="394"/>
      <c r="L47" s="394"/>
      <c r="M47" s="176"/>
      <c r="N47" s="372"/>
      <c r="O47" s="371">
        <v>35</v>
      </c>
      <c r="P47" s="145">
        <v>20</v>
      </c>
      <c r="Q47" s="145">
        <v>22</v>
      </c>
      <c r="R47" s="145">
        <v>22</v>
      </c>
      <c r="S47" s="145">
        <v>24</v>
      </c>
      <c r="T47" s="371"/>
      <c r="U47" s="371"/>
      <c r="V47" s="371"/>
      <c r="W47" s="371"/>
      <c r="X47" s="372"/>
      <c r="Y47" s="372"/>
      <c r="Z47" s="176"/>
      <c r="AA47" s="176"/>
      <c r="AB47" s="176"/>
      <c r="AC47" s="176"/>
      <c r="AD47" s="176"/>
      <c r="AE47" s="176"/>
      <c r="AF47" s="176"/>
      <c r="AG47" s="176"/>
      <c r="AH47" s="176"/>
      <c r="AI47" s="176"/>
      <c r="AJ47" s="176"/>
      <c r="AK47" s="176"/>
      <c r="AL47" s="176"/>
      <c r="AM47" s="145">
        <v>25</v>
      </c>
      <c r="AN47" s="145">
        <v>20</v>
      </c>
      <c r="AO47" s="145">
        <v>20</v>
      </c>
      <c r="AP47" s="145">
        <v>22</v>
      </c>
      <c r="AQ47" s="145">
        <v>24</v>
      </c>
      <c r="AR47" s="371"/>
      <c r="AS47" s="145"/>
      <c r="AT47" s="145"/>
      <c r="AU47" s="145"/>
      <c r="AV47" s="145"/>
      <c r="AW47" s="145"/>
      <c r="AX47" s="176"/>
      <c r="AY47" s="176"/>
      <c r="AZ47" s="176"/>
    </row>
    <row r="48" spans="1:52" ht="15" customHeight="1" x14ac:dyDescent="0.2">
      <c r="A48" s="690"/>
      <c r="B48" s="393"/>
      <c r="C48" s="408" t="s">
        <v>297</v>
      </c>
      <c r="D48" s="394"/>
      <c r="E48" s="176"/>
      <c r="F48" s="176"/>
      <c r="G48" s="176"/>
      <c r="H48" s="372"/>
      <c r="I48" s="408" t="s">
        <v>297</v>
      </c>
      <c r="J48" s="394"/>
      <c r="K48" s="394"/>
      <c r="L48" s="394"/>
      <c r="M48" s="394"/>
      <c r="N48" s="372"/>
      <c r="O48" s="145">
        <v>40</v>
      </c>
      <c r="P48" s="145">
        <v>20</v>
      </c>
      <c r="Q48" s="145">
        <v>22</v>
      </c>
      <c r="R48" s="145">
        <v>22</v>
      </c>
      <c r="S48" s="145">
        <v>24</v>
      </c>
      <c r="T48" s="371"/>
      <c r="U48" s="371"/>
      <c r="V48" s="371"/>
      <c r="W48" s="371"/>
      <c r="X48" s="372"/>
      <c r="Y48" s="372"/>
      <c r="Z48" s="176"/>
      <c r="AA48" s="176"/>
      <c r="AB48" s="176"/>
      <c r="AC48" s="176"/>
      <c r="AD48" s="176"/>
      <c r="AE48" s="176"/>
      <c r="AF48" s="394"/>
      <c r="AG48" s="394"/>
      <c r="AH48" s="372"/>
      <c r="AI48" s="176"/>
      <c r="AJ48" s="176"/>
      <c r="AK48" s="176"/>
      <c r="AL48" s="176"/>
      <c r="AM48" s="145">
        <v>30</v>
      </c>
      <c r="AN48" s="145">
        <v>20</v>
      </c>
      <c r="AO48" s="145">
        <v>20</v>
      </c>
      <c r="AP48" s="145">
        <v>22</v>
      </c>
      <c r="AQ48" s="145">
        <v>24</v>
      </c>
      <c r="AR48" s="371"/>
      <c r="AS48" s="371"/>
      <c r="AT48" s="371"/>
      <c r="AU48" s="371"/>
      <c r="AV48" s="372"/>
      <c r="AW48" s="372"/>
      <c r="AX48" s="176"/>
      <c r="AY48" s="176"/>
      <c r="AZ48" s="176"/>
    </row>
    <row r="49" spans="1:52" ht="15" customHeight="1" x14ac:dyDescent="0.2">
      <c r="A49" s="690"/>
      <c r="B49" s="393"/>
      <c r="C49" s="394"/>
      <c r="D49" s="394"/>
      <c r="E49" s="176"/>
      <c r="F49" s="176"/>
      <c r="G49" s="176"/>
      <c r="H49" s="372"/>
      <c r="I49" s="176"/>
      <c r="J49" s="176"/>
      <c r="K49" s="394"/>
      <c r="L49" s="394"/>
      <c r="M49" s="394"/>
      <c r="N49" s="372"/>
      <c r="O49" s="145">
        <v>45</v>
      </c>
      <c r="P49" s="145">
        <v>20</v>
      </c>
      <c r="Q49" s="145">
        <v>22</v>
      </c>
      <c r="R49" s="145">
        <v>22</v>
      </c>
      <c r="S49" s="145">
        <v>24</v>
      </c>
      <c r="T49" s="371"/>
      <c r="U49" s="371"/>
      <c r="V49" s="371"/>
      <c r="W49" s="371"/>
      <c r="X49" s="372"/>
      <c r="Y49" s="372"/>
      <c r="Z49" s="176"/>
      <c r="AA49" s="176"/>
      <c r="AB49" s="176"/>
      <c r="AC49" s="176"/>
      <c r="AD49" s="176"/>
      <c r="AE49" s="176"/>
      <c r="AF49" s="372"/>
      <c r="AG49" s="372"/>
      <c r="AH49" s="372"/>
      <c r="AI49" s="176"/>
      <c r="AJ49" s="176"/>
      <c r="AK49" s="176"/>
      <c r="AL49" s="176"/>
      <c r="AM49" s="371">
        <v>35</v>
      </c>
      <c r="AN49" s="145">
        <v>20</v>
      </c>
      <c r="AO49" s="145">
        <v>22</v>
      </c>
      <c r="AP49" s="145">
        <v>22</v>
      </c>
      <c r="AQ49" s="145">
        <v>24</v>
      </c>
      <c r="AR49" s="371"/>
      <c r="AS49" s="371"/>
      <c r="AT49" s="371"/>
      <c r="AU49" s="371"/>
      <c r="AV49" s="372"/>
      <c r="AW49" s="372"/>
      <c r="AX49" s="176"/>
      <c r="AY49" s="176"/>
      <c r="AZ49" s="176"/>
    </row>
    <row r="50" spans="1:52" ht="15" customHeight="1" x14ac:dyDescent="0.2">
      <c r="A50" s="690"/>
      <c r="B50" s="393"/>
      <c r="C50" s="409" t="str">
        <f>IF(V61="","",C56)</f>
        <v/>
      </c>
      <c r="D50" s="408" t="s">
        <v>302</v>
      </c>
      <c r="E50" s="176"/>
      <c r="F50" s="176"/>
      <c r="G50" s="176"/>
      <c r="H50" s="372"/>
      <c r="I50" s="409" t="str">
        <f>IF(V61="","",I56)</f>
        <v/>
      </c>
      <c r="J50" s="408" t="s">
        <v>301</v>
      </c>
      <c r="K50" s="394"/>
      <c r="L50" s="394"/>
      <c r="M50" s="394"/>
      <c r="N50" s="372"/>
      <c r="O50" s="145">
        <v>50</v>
      </c>
      <c r="P50" s="145">
        <v>20</v>
      </c>
      <c r="Q50" s="145">
        <v>22</v>
      </c>
      <c r="R50" s="145">
        <v>22</v>
      </c>
      <c r="S50" s="145">
        <v>24</v>
      </c>
      <c r="T50" s="372"/>
      <c r="U50" s="372"/>
      <c r="V50" s="372"/>
      <c r="W50" s="372"/>
      <c r="X50" s="372"/>
      <c r="Y50" s="372"/>
      <c r="Z50" s="176"/>
      <c r="AA50" s="176"/>
      <c r="AB50" s="176"/>
      <c r="AC50" s="176"/>
      <c r="AD50" s="176"/>
      <c r="AE50" s="176"/>
      <c r="AF50" s="394"/>
      <c r="AG50" s="394"/>
      <c r="AH50" s="394"/>
      <c r="AI50" s="394"/>
      <c r="AJ50" s="394"/>
      <c r="AK50" s="176"/>
      <c r="AL50" s="176"/>
      <c r="AM50" s="145">
        <v>40</v>
      </c>
      <c r="AN50" s="145">
        <v>20</v>
      </c>
      <c r="AO50" s="145">
        <v>22</v>
      </c>
      <c r="AP50" s="145">
        <v>22</v>
      </c>
      <c r="AQ50" s="145">
        <v>24</v>
      </c>
      <c r="AR50" s="371"/>
      <c r="AS50" s="371"/>
      <c r="AT50" s="371"/>
      <c r="AU50" s="371"/>
      <c r="AV50" s="372"/>
      <c r="AW50" s="372"/>
      <c r="AX50" s="176"/>
      <c r="AY50" s="176"/>
      <c r="AZ50" s="176"/>
    </row>
    <row r="51" spans="1:52" ht="15" customHeight="1" x14ac:dyDescent="0.2">
      <c r="A51" s="690"/>
      <c r="B51" s="393"/>
      <c r="C51" s="176"/>
      <c r="D51" s="176"/>
      <c r="E51" s="176"/>
      <c r="F51" s="410"/>
      <c r="G51" s="176"/>
      <c r="H51" s="372"/>
      <c r="I51" s="176"/>
      <c r="J51" s="176"/>
      <c r="K51" s="176"/>
      <c r="L51" s="410"/>
      <c r="M51" s="176"/>
      <c r="N51" s="372"/>
      <c r="O51" s="145">
        <v>55</v>
      </c>
      <c r="P51" s="145">
        <v>22</v>
      </c>
      <c r="Q51" s="145">
        <v>22</v>
      </c>
      <c r="R51" s="145">
        <v>24</v>
      </c>
      <c r="S51" s="145">
        <v>24</v>
      </c>
      <c r="T51" s="372"/>
      <c r="U51" s="372"/>
      <c r="V51" s="372"/>
      <c r="W51" s="372"/>
      <c r="X51" s="372"/>
      <c r="Y51" s="372"/>
      <c r="Z51" s="176"/>
      <c r="AA51" s="176"/>
      <c r="AB51" s="176"/>
      <c r="AC51" s="176"/>
      <c r="AD51" s="176"/>
      <c r="AE51" s="176"/>
      <c r="AF51" s="691" t="s">
        <v>298</v>
      </c>
      <c r="AG51" s="691"/>
      <c r="AH51" s="691"/>
      <c r="AI51" s="691"/>
      <c r="AJ51" s="176"/>
      <c r="AK51" s="176"/>
      <c r="AL51" s="176"/>
      <c r="AM51" s="145">
        <v>45</v>
      </c>
      <c r="AN51" s="145">
        <v>20</v>
      </c>
      <c r="AO51" s="145">
        <v>22</v>
      </c>
      <c r="AP51" s="145">
        <v>22</v>
      </c>
      <c r="AQ51" s="145">
        <v>24</v>
      </c>
      <c r="AR51" s="371"/>
      <c r="AS51" s="371"/>
      <c r="AT51" s="371"/>
      <c r="AU51" s="371"/>
      <c r="AV51" s="372"/>
      <c r="AW51" s="372"/>
      <c r="AX51" s="176"/>
      <c r="AY51" s="176"/>
      <c r="AZ51" s="176"/>
    </row>
    <row r="52" spans="1:52" ht="15" customHeight="1" x14ac:dyDescent="0.2">
      <c r="A52" s="690"/>
      <c r="B52" s="393"/>
      <c r="C52" s="372"/>
      <c r="D52" s="371"/>
      <c r="E52" s="372"/>
      <c r="F52" s="176"/>
      <c r="G52" s="411"/>
      <c r="H52" s="327"/>
      <c r="I52" s="394"/>
      <c r="J52" s="394"/>
      <c r="K52" s="394"/>
      <c r="L52" s="394"/>
      <c r="M52" s="394"/>
      <c r="N52" s="372"/>
      <c r="O52" s="145">
        <v>60</v>
      </c>
      <c r="P52" s="145">
        <v>22</v>
      </c>
      <c r="Q52" s="145">
        <v>22</v>
      </c>
      <c r="R52" s="145">
        <v>24</v>
      </c>
      <c r="S52" s="145">
        <v>24</v>
      </c>
      <c r="T52" s="301"/>
      <c r="U52" s="301"/>
      <c r="V52" s="372"/>
      <c r="W52" s="412"/>
      <c r="X52" s="413"/>
      <c r="Y52" s="372"/>
      <c r="Z52" s="176"/>
      <c r="AA52" s="176"/>
      <c r="AB52" s="176"/>
      <c r="AC52" s="176"/>
      <c r="AD52" s="176"/>
      <c r="AE52" s="176"/>
      <c r="AF52" s="176"/>
      <c r="AG52" s="372"/>
      <c r="AH52" s="372"/>
      <c r="AI52" s="372"/>
      <c r="AJ52" s="176"/>
      <c r="AK52" s="176"/>
      <c r="AL52" s="176"/>
      <c r="AM52" s="145">
        <v>50</v>
      </c>
      <c r="AN52" s="145">
        <v>20</v>
      </c>
      <c r="AO52" s="145">
        <v>22</v>
      </c>
      <c r="AP52" s="145">
        <v>22</v>
      </c>
      <c r="AQ52" s="145">
        <v>24</v>
      </c>
      <c r="AR52" s="372"/>
      <c r="AS52" s="372"/>
      <c r="AT52" s="372"/>
      <c r="AU52" s="372"/>
      <c r="AV52" s="372"/>
      <c r="AW52" s="372"/>
      <c r="AX52" s="176"/>
      <c r="AY52" s="176"/>
      <c r="AZ52" s="176"/>
    </row>
    <row r="53" spans="1:52" ht="15" customHeight="1" x14ac:dyDescent="0.2">
      <c r="A53" s="690"/>
      <c r="B53" s="393"/>
      <c r="C53" s="691" t="s">
        <v>285</v>
      </c>
      <c r="D53" s="691"/>
      <c r="E53" s="691"/>
      <c r="F53" s="691"/>
      <c r="G53" s="309"/>
      <c r="H53" s="328"/>
      <c r="I53" s="691" t="s">
        <v>285</v>
      </c>
      <c r="J53" s="691"/>
      <c r="K53" s="691"/>
      <c r="L53" s="691"/>
      <c r="M53" s="309"/>
      <c r="N53" s="372"/>
      <c r="O53" s="372"/>
      <c r="P53" s="372"/>
      <c r="Q53" s="372"/>
      <c r="R53" s="372"/>
      <c r="S53" s="371"/>
      <c r="T53" s="371"/>
      <c r="U53" s="371"/>
      <c r="V53" s="372"/>
      <c r="W53" s="372"/>
      <c r="X53" s="372"/>
      <c r="Y53" s="372"/>
      <c r="Z53" s="176"/>
      <c r="AA53" s="176"/>
      <c r="AB53" s="176"/>
      <c r="AC53" s="176"/>
      <c r="AD53" s="176"/>
      <c r="AE53" s="176"/>
      <c r="AF53" s="405" t="s">
        <v>291</v>
      </c>
      <c r="AG53" s="405" t="s">
        <v>292</v>
      </c>
      <c r="AH53" s="405" t="s">
        <v>299</v>
      </c>
      <c r="AI53" s="405" t="s">
        <v>133</v>
      </c>
      <c r="AJ53" s="176"/>
      <c r="AK53" s="176"/>
      <c r="AL53" s="176"/>
      <c r="AM53" s="145">
        <v>55</v>
      </c>
      <c r="AN53" s="145">
        <v>22</v>
      </c>
      <c r="AO53" s="145">
        <v>22</v>
      </c>
      <c r="AP53" s="145">
        <v>24</v>
      </c>
      <c r="AQ53" s="145">
        <v>24</v>
      </c>
      <c r="AR53" s="372"/>
      <c r="AS53" s="372"/>
      <c r="AT53" s="372"/>
      <c r="AU53" s="372"/>
      <c r="AV53" s="372"/>
      <c r="AW53" s="372"/>
      <c r="AX53" s="176"/>
      <c r="AY53" s="176"/>
      <c r="AZ53" s="176"/>
    </row>
    <row r="54" spans="1:52" ht="15" customHeight="1" x14ac:dyDescent="0.2">
      <c r="A54" s="690"/>
      <c r="B54" s="393"/>
      <c r="C54" s="310"/>
      <c r="D54" s="371"/>
      <c r="E54" s="372"/>
      <c r="F54" s="372"/>
      <c r="G54" s="372"/>
      <c r="H54" s="328"/>
      <c r="I54" s="310"/>
      <c r="J54" s="371"/>
      <c r="K54" s="372"/>
      <c r="L54" s="372"/>
      <c r="M54" s="372"/>
      <c r="N54" s="372"/>
      <c r="O54" s="176"/>
      <c r="P54" s="176"/>
      <c r="Q54" s="176"/>
      <c r="R54" s="176"/>
      <c r="S54" s="145"/>
      <c r="T54" s="145"/>
      <c r="U54" s="145"/>
      <c r="V54" s="176"/>
      <c r="W54" s="176"/>
      <c r="X54" s="176"/>
      <c r="Y54" s="176"/>
      <c r="Z54" s="176"/>
      <c r="AA54" s="176"/>
      <c r="AB54" s="176"/>
      <c r="AC54" s="176"/>
      <c r="AD54" s="176"/>
      <c r="AE54" s="176"/>
      <c r="AF54" s="414">
        <f>IF(AND(V61&lt;60,'Traffic &amp; Accidents'!I30&lt;400),30,AF55)</f>
        <v>32</v>
      </c>
      <c r="AG54" s="371">
        <f>IF(AND(V61&lt;60,'Traffic &amp; Accidents'!I30&lt;1501),34,AG55)</f>
        <v>36</v>
      </c>
      <c r="AH54" s="371">
        <f>IF(AND(V61&lt;50,'Traffic &amp; Accidents'!I30&lt;=2000),34,AH55)</f>
        <v>36</v>
      </c>
      <c r="AI54" s="145">
        <f>IF('Traffic &amp; Accidents'!I30&gt;2000,40,0)</f>
        <v>0</v>
      </c>
      <c r="AJ54" s="176"/>
      <c r="AK54" s="176"/>
      <c r="AL54" s="176"/>
      <c r="AM54" s="145">
        <v>60</v>
      </c>
      <c r="AN54" s="145">
        <v>22</v>
      </c>
      <c r="AO54" s="145">
        <v>22</v>
      </c>
      <c r="AP54" s="145">
        <v>24</v>
      </c>
      <c r="AQ54" s="145">
        <v>24</v>
      </c>
      <c r="AR54" s="301"/>
      <c r="AS54" s="301"/>
      <c r="AT54" s="372"/>
      <c r="AU54" s="412"/>
      <c r="AV54" s="413"/>
      <c r="AW54" s="372"/>
      <c r="AX54" s="176"/>
      <c r="AY54" s="176"/>
      <c r="AZ54" s="176"/>
    </row>
    <row r="55" spans="1:52" ht="15" customHeight="1" x14ac:dyDescent="0.2">
      <c r="A55" s="690"/>
      <c r="B55" s="393"/>
      <c r="C55" s="405" t="s">
        <v>291</v>
      </c>
      <c r="D55" s="405" t="s">
        <v>292</v>
      </c>
      <c r="E55" s="405" t="s">
        <v>293</v>
      </c>
      <c r="F55" s="405" t="s">
        <v>133</v>
      </c>
      <c r="G55" s="372"/>
      <c r="H55" s="328"/>
      <c r="I55" s="405" t="s">
        <v>291</v>
      </c>
      <c r="J55" s="405" t="s">
        <v>292</v>
      </c>
      <c r="K55" s="405" t="s">
        <v>293</v>
      </c>
      <c r="L55" s="405" t="s">
        <v>133</v>
      </c>
      <c r="M55" s="372"/>
      <c r="N55" s="372"/>
      <c r="O55" s="176"/>
      <c r="P55" s="176"/>
      <c r="Q55" s="176"/>
      <c r="R55" s="176"/>
      <c r="S55" s="145"/>
      <c r="T55" s="145"/>
      <c r="U55" s="145"/>
      <c r="V55" s="176"/>
      <c r="W55" s="176"/>
      <c r="X55" s="176"/>
      <c r="Y55" s="176"/>
      <c r="Z55" s="176"/>
      <c r="AA55" s="176"/>
      <c r="AB55" s="176"/>
      <c r="AC55" s="176"/>
      <c r="AD55" s="176"/>
      <c r="AE55" s="176"/>
      <c r="AF55" s="371">
        <f>IF(AND(V61&gt;55,'Traffic &amp; Accidents'!I30&lt;400),32,AG54)</f>
        <v>32</v>
      </c>
      <c r="AG55" s="371">
        <f>IF(AND(V61&gt;50,'Traffic &amp; Accidents'!I30&lt;1501),36,AH54)</f>
        <v>36</v>
      </c>
      <c r="AH55" s="371">
        <f>IF(AND(V61&gt;=50,'Traffic &amp; Accidents'!I30&lt;=2000),36,AI54)</f>
        <v>36</v>
      </c>
      <c r="AI55" s="176"/>
      <c r="AJ55" s="176"/>
      <c r="AK55" s="176"/>
      <c r="AL55" s="176"/>
      <c r="AM55" s="176"/>
      <c r="AN55" s="176"/>
      <c r="AO55" s="176"/>
      <c r="AP55" s="176"/>
      <c r="AQ55" s="176"/>
      <c r="AR55" s="176"/>
      <c r="AS55" s="176"/>
      <c r="AT55" s="176"/>
      <c r="AU55" s="176"/>
      <c r="AV55" s="176"/>
      <c r="AW55" s="176"/>
      <c r="AX55" s="176"/>
      <c r="AY55" s="176"/>
      <c r="AZ55" s="176"/>
    </row>
    <row r="56" spans="1:52" ht="15" customHeight="1" x14ac:dyDescent="0.2">
      <c r="A56" s="690"/>
      <c r="B56" s="393"/>
      <c r="C56" s="414">
        <f>IF(AND(V61&lt;=50,'Traffic &amp; Accidents'!I30&lt;400),20,C57)</f>
        <v>22</v>
      </c>
      <c r="D56" s="371">
        <f>IF(AND(V61&lt;=30,'Traffic &amp; Accidents'!I30&lt;1501),20,D57)</f>
        <v>22</v>
      </c>
      <c r="E56" s="371">
        <f>IF(AND(V61&lt;=50,'Traffic &amp; Accidents'!I30&lt;=2000),22,E57)</f>
        <v>24</v>
      </c>
      <c r="F56" s="371">
        <f>IF('Traffic &amp; Accidents'!I30&gt;2000,24,0)</f>
        <v>0</v>
      </c>
      <c r="G56" s="372"/>
      <c r="H56" s="328"/>
      <c r="I56" s="414">
        <f>IF(AND(V61&lt;=50,'Traffic &amp; Accidents'!I30&lt;400),24,I57)</f>
        <v>26</v>
      </c>
      <c r="J56" s="371">
        <f>IF(AND(V61&lt;=30,'Traffic &amp; Accidents'!I30&lt;1501),28,J57)</f>
        <v>30</v>
      </c>
      <c r="K56" s="371">
        <f>IF(AND(V61&lt;=50,'Traffic &amp; Accidents'!I30&lt;=2000),34,K57)</f>
        <v>36</v>
      </c>
      <c r="L56" s="371">
        <f>IF('Traffic &amp; Accidents'!I30&gt;2000,40,0)</f>
        <v>0</v>
      </c>
      <c r="M56" s="372"/>
      <c r="N56" s="372"/>
      <c r="O56" s="176"/>
      <c r="P56" s="176"/>
      <c r="Q56" s="176"/>
      <c r="R56" s="176"/>
      <c r="S56" s="176" t="s">
        <v>150</v>
      </c>
      <c r="T56" s="176"/>
      <c r="U56" s="176"/>
      <c r="V56" s="415" t="s">
        <v>151</v>
      </c>
      <c r="W56" s="415"/>
      <c r="X56" s="415"/>
      <c r="Y56" s="176"/>
      <c r="Z56" s="176"/>
      <c r="AA56" s="176"/>
      <c r="AB56" s="176"/>
      <c r="AC56" s="176"/>
      <c r="AD56" s="176"/>
      <c r="AE56" s="176"/>
      <c r="AF56" s="176"/>
      <c r="AG56" s="371"/>
      <c r="AH56" s="371"/>
      <c r="AI56" s="371"/>
      <c r="AJ56" s="176"/>
      <c r="AK56" s="176"/>
      <c r="AL56" s="176"/>
      <c r="AM56" s="176"/>
      <c r="AN56" s="145"/>
      <c r="AO56" s="402" t="s">
        <v>298</v>
      </c>
      <c r="AP56" s="145"/>
      <c r="AQ56" s="145"/>
      <c r="AR56" s="176"/>
      <c r="AS56" s="176"/>
      <c r="AT56" s="145"/>
      <c r="AU56" s="402" t="s">
        <v>298</v>
      </c>
      <c r="AV56" s="145"/>
      <c r="AW56" s="145"/>
      <c r="AX56" s="176"/>
      <c r="AY56" s="176"/>
      <c r="AZ56" s="176"/>
    </row>
    <row r="57" spans="1:52" ht="15" customHeight="1" x14ac:dyDescent="0.2">
      <c r="A57" s="690"/>
      <c r="B57" s="393"/>
      <c r="C57" s="371">
        <f>IF(AND(V61&gt;50,'Traffic &amp; Accidents'!I30&lt;400),22,D56)</f>
        <v>22</v>
      </c>
      <c r="D57" s="371">
        <f>IF(AND(V61&gt;=35,'Traffic &amp; Accidents'!I30&lt;1501),22,E56)</f>
        <v>22</v>
      </c>
      <c r="E57" s="371">
        <f>IF(AND(V61&gt;=55,'Traffic &amp; Accidents'!I30&lt;=2001),24,F56)</f>
        <v>24</v>
      </c>
      <c r="F57" s="310"/>
      <c r="G57" s="372"/>
      <c r="H57" s="372"/>
      <c r="I57" s="371">
        <f>IF(AND(V61&gt;50,'Traffic &amp; Accidents'!I30&lt;400),26,J56)</f>
        <v>26</v>
      </c>
      <c r="J57" s="371">
        <f>IF(AND(V61&gt;=35,'Traffic &amp; Accidents'!I30&lt;1501),30,K56)</f>
        <v>30</v>
      </c>
      <c r="K57" s="371">
        <f>IF(AND(V61&gt;=55,'Traffic &amp; Accidents'!I30&lt;=2000),36,L56)</f>
        <v>36</v>
      </c>
      <c r="L57" s="310"/>
      <c r="M57" s="372"/>
      <c r="N57" s="372"/>
      <c r="O57" s="176"/>
      <c r="P57" s="176"/>
      <c r="Q57" s="176"/>
      <c r="R57" s="176"/>
      <c r="S57" s="311">
        <f>Geometry!F6</f>
        <v>0</v>
      </c>
      <c r="T57" s="176" t="s">
        <v>154</v>
      </c>
      <c r="U57" s="176"/>
      <c r="V57" s="372">
        <f>IF(S57&lt;&gt;0,W57,V58)</f>
        <v>20</v>
      </c>
      <c r="W57" s="372">
        <f>IF('Traffic &amp; Accidents'!I30&lt;400,40,X57)</f>
        <v>40</v>
      </c>
      <c r="X57" s="372">
        <f>IF('Traffic &amp; Accidents'!I30&lt;2001,50,60)</f>
        <v>50</v>
      </c>
      <c r="Y57" s="176"/>
      <c r="Z57" s="176"/>
      <c r="AA57" s="176"/>
      <c r="AB57" s="176"/>
      <c r="AC57" s="176"/>
      <c r="AD57" s="176"/>
      <c r="AE57" s="176"/>
      <c r="AF57" s="176"/>
      <c r="AG57" s="176"/>
      <c r="AH57" s="176"/>
      <c r="AI57" s="176"/>
      <c r="AJ57" s="176"/>
      <c r="AK57" s="176"/>
      <c r="AL57" s="176"/>
      <c r="AM57" s="176"/>
      <c r="AN57" s="176"/>
      <c r="AO57" s="176"/>
      <c r="AP57" s="176"/>
      <c r="AQ57" s="176"/>
      <c r="AR57" s="176"/>
      <c r="AS57" s="176"/>
      <c r="AT57" s="176"/>
      <c r="AU57" s="176"/>
      <c r="AV57" s="176"/>
      <c r="AW57" s="176"/>
      <c r="AX57" s="176"/>
      <c r="AY57" s="176"/>
      <c r="AZ57" s="176"/>
    </row>
    <row r="58" spans="1:52" ht="15" customHeight="1" x14ac:dyDescent="0.2">
      <c r="A58" s="690"/>
      <c r="B58" s="393"/>
      <c r="C58" s="371"/>
      <c r="D58" s="371"/>
      <c r="E58" s="371"/>
      <c r="F58" s="310"/>
      <c r="G58" s="372"/>
      <c r="H58" s="372"/>
      <c r="I58" s="371"/>
      <c r="J58" s="371"/>
      <c r="K58" s="371"/>
      <c r="L58" s="310"/>
      <c r="M58" s="372"/>
      <c r="N58" s="176"/>
      <c r="O58" s="176"/>
      <c r="P58" s="176"/>
      <c r="Q58" s="176"/>
      <c r="R58" s="176"/>
      <c r="S58" s="311">
        <f>Geometry!F7</f>
        <v>0</v>
      </c>
      <c r="T58" s="176" t="s">
        <v>157</v>
      </c>
      <c r="U58" s="176"/>
      <c r="V58" s="372">
        <f>IF(S58&lt;&gt;0,W58,V59)</f>
        <v>20</v>
      </c>
      <c r="W58" s="372">
        <f>IF('Traffic &amp; Accidents'!I30&lt;400,30,X58)</f>
        <v>30</v>
      </c>
      <c r="X58" s="372">
        <f>IF('Traffic &amp; Accidents'!I30&lt;2001,40,50)</f>
        <v>40</v>
      </c>
      <c r="Y58" s="176"/>
      <c r="Z58" s="176"/>
      <c r="AA58" s="176"/>
      <c r="AB58" s="176"/>
      <c r="AC58" s="176"/>
      <c r="AD58" s="176"/>
      <c r="AE58" s="176"/>
      <c r="AF58" s="176"/>
      <c r="AG58" s="176"/>
      <c r="AH58" s="176"/>
      <c r="AI58" s="176"/>
      <c r="AJ58" s="176"/>
      <c r="AK58" s="176"/>
      <c r="AL58" s="176"/>
      <c r="AM58" s="178" t="s">
        <v>287</v>
      </c>
      <c r="AN58" s="176"/>
      <c r="AO58" s="145" t="s">
        <v>288</v>
      </c>
      <c r="AP58" s="393"/>
      <c r="AQ58" s="393"/>
      <c r="AR58" s="176"/>
      <c r="AS58" s="178" t="s">
        <v>287</v>
      </c>
      <c r="AT58" s="176"/>
      <c r="AU58" s="145" t="s">
        <v>289</v>
      </c>
      <c r="AV58" s="393"/>
      <c r="AW58" s="393"/>
      <c r="AX58" s="176"/>
      <c r="AY58" s="176"/>
      <c r="AZ58" s="176"/>
    </row>
    <row r="59" spans="1:52" ht="15" customHeight="1" x14ac:dyDescent="0.2">
      <c r="A59" s="690"/>
      <c r="B59" s="393"/>
      <c r="C59" s="176"/>
      <c r="D59" s="176"/>
      <c r="E59" s="176"/>
      <c r="F59" s="176"/>
      <c r="G59" s="176"/>
      <c r="H59" s="371"/>
      <c r="I59" s="176"/>
      <c r="J59" s="176"/>
      <c r="K59" s="176"/>
      <c r="L59" s="176"/>
      <c r="M59" s="176"/>
      <c r="N59" s="176"/>
      <c r="O59" s="176"/>
      <c r="P59" s="176"/>
      <c r="Q59" s="176"/>
      <c r="R59" s="176"/>
      <c r="S59" s="311">
        <f>Geometry!F8</f>
        <v>0</v>
      </c>
      <c r="T59" s="176" t="s">
        <v>160</v>
      </c>
      <c r="U59" s="176"/>
      <c r="V59" s="372">
        <f>W59</f>
        <v>20</v>
      </c>
      <c r="W59" s="372">
        <f>IF('Traffic &amp; Accidents'!I30&lt;400,20,X59)</f>
        <v>20</v>
      </c>
      <c r="X59" s="372">
        <f>IF('Traffic &amp; Accidents'!I30&lt;2001,30,40)</f>
        <v>30</v>
      </c>
      <c r="Y59" s="176"/>
      <c r="Z59" s="176"/>
      <c r="AA59" s="176"/>
      <c r="AB59" s="176"/>
      <c r="AC59" s="176"/>
      <c r="AD59" s="176"/>
      <c r="AE59" s="176"/>
      <c r="AF59" s="176"/>
      <c r="AG59" s="176"/>
      <c r="AH59" s="176"/>
      <c r="AI59" s="176"/>
      <c r="AJ59" s="176"/>
      <c r="AK59" s="176"/>
      <c r="AL59" s="176"/>
      <c r="AM59" s="178" t="s">
        <v>290</v>
      </c>
      <c r="AN59" s="405" t="s">
        <v>291</v>
      </c>
      <c r="AO59" s="405" t="s">
        <v>292</v>
      </c>
      <c r="AP59" s="405" t="s">
        <v>293</v>
      </c>
      <c r="AQ59" s="405" t="s">
        <v>133</v>
      </c>
      <c r="AR59" s="176"/>
      <c r="AS59" s="178" t="s">
        <v>290</v>
      </c>
      <c r="AT59" s="405" t="s">
        <v>291</v>
      </c>
      <c r="AU59" s="405" t="s">
        <v>292</v>
      </c>
      <c r="AV59" s="405" t="s">
        <v>293</v>
      </c>
      <c r="AW59" s="405" t="s">
        <v>133</v>
      </c>
      <c r="AX59" s="176"/>
      <c r="AY59" s="176"/>
      <c r="AZ59" s="176"/>
    </row>
    <row r="60" spans="1:52" ht="15" customHeight="1" x14ac:dyDescent="0.2">
      <c r="A60" s="690"/>
      <c r="B60" s="393"/>
      <c r="C60" s="693" t="s">
        <v>421</v>
      </c>
      <c r="D60" s="693"/>
      <c r="E60" s="416" t="s">
        <v>422</v>
      </c>
      <c r="F60" s="416" t="s">
        <v>423</v>
      </c>
      <c r="G60" s="176"/>
      <c r="H60" s="371"/>
      <c r="I60" s="693" t="s">
        <v>421</v>
      </c>
      <c r="J60" s="693"/>
      <c r="K60" s="416" t="s">
        <v>422</v>
      </c>
      <c r="L60" s="416" t="s">
        <v>423</v>
      </c>
      <c r="M60" s="176"/>
      <c r="N60" s="176"/>
      <c r="O60" s="176"/>
      <c r="P60" s="176"/>
      <c r="Q60" s="176"/>
      <c r="R60" s="176"/>
      <c r="S60" s="145"/>
      <c r="T60" s="176"/>
      <c r="U60" s="176"/>
      <c r="V60" s="176"/>
      <c r="W60" s="176"/>
      <c r="X60" s="176"/>
      <c r="Y60" s="176"/>
      <c r="Z60" s="176"/>
      <c r="AA60" s="176"/>
      <c r="AB60" s="176"/>
      <c r="AC60" s="176"/>
      <c r="AD60" s="176"/>
      <c r="AE60" s="176"/>
      <c r="AF60" s="176"/>
      <c r="AG60" s="176"/>
      <c r="AH60" s="176"/>
      <c r="AI60" s="176"/>
      <c r="AJ60" s="176"/>
      <c r="AK60" s="176"/>
      <c r="AL60" s="176"/>
      <c r="AM60" s="176"/>
      <c r="AN60" s="176"/>
      <c r="AO60" s="176"/>
      <c r="AP60" s="176"/>
      <c r="AQ60" s="176"/>
      <c r="AR60" s="176"/>
      <c r="AS60" s="176"/>
      <c r="AT60" s="176"/>
      <c r="AU60" s="176"/>
      <c r="AV60" s="176"/>
      <c r="AW60" s="176"/>
      <c r="AX60" s="176"/>
      <c r="AY60" s="176"/>
      <c r="AZ60" s="176"/>
    </row>
    <row r="61" spans="1:52" ht="15" customHeight="1" x14ac:dyDescent="0.2">
      <c r="A61" s="690"/>
      <c r="B61" s="393"/>
      <c r="C61" s="176"/>
      <c r="D61" s="176">
        <v>0</v>
      </c>
      <c r="E61" s="145">
        <v>0</v>
      </c>
      <c r="F61" s="417">
        <f>IF(OR(C46-C44&lt;=D61,C44&gt;=C50),E61,F62)</f>
        <v>0</v>
      </c>
      <c r="G61" s="176"/>
      <c r="H61" s="372"/>
      <c r="I61" s="176"/>
      <c r="J61" s="176">
        <v>0</v>
      </c>
      <c r="K61" s="145">
        <v>0</v>
      </c>
      <c r="L61" s="417">
        <f>IF(OR(I46-I44&lt;=J61,I44&gt;=I50),K61,L62)</f>
        <v>0</v>
      </c>
      <c r="M61" s="176"/>
      <c r="N61" s="176"/>
      <c r="O61" s="176"/>
      <c r="P61" s="372"/>
      <c r="Q61" s="372"/>
      <c r="R61" s="372"/>
      <c r="S61" s="145"/>
      <c r="T61" s="176"/>
      <c r="U61" s="178" t="s">
        <v>161</v>
      </c>
      <c r="V61" s="311" t="str">
        <f>IF(AND(S57=0,S58=0,S59=0),"",V57)</f>
        <v/>
      </c>
      <c r="W61" s="176"/>
      <c r="X61" s="176"/>
      <c r="Y61" s="176"/>
      <c r="Z61" s="176"/>
      <c r="AA61" s="176"/>
      <c r="AB61" s="176"/>
      <c r="AC61" s="176"/>
      <c r="AD61" s="176"/>
      <c r="AE61" s="176"/>
      <c r="AF61" s="176"/>
      <c r="AG61" s="176"/>
      <c r="AH61" s="176"/>
      <c r="AI61" s="176"/>
      <c r="AJ61" s="176"/>
      <c r="AK61" s="176"/>
      <c r="AL61" s="176"/>
      <c r="AM61" s="145">
        <v>40</v>
      </c>
      <c r="AN61" s="145">
        <v>22</v>
      </c>
      <c r="AO61" s="145">
        <v>22</v>
      </c>
      <c r="AP61" s="145">
        <v>22</v>
      </c>
      <c r="AQ61" s="145">
        <v>24</v>
      </c>
      <c r="AR61" s="176"/>
      <c r="AS61" s="178" t="s">
        <v>295</v>
      </c>
      <c r="AT61" s="145">
        <v>4</v>
      </c>
      <c r="AU61" s="145">
        <v>6</v>
      </c>
      <c r="AV61" s="145">
        <v>6</v>
      </c>
      <c r="AW61" s="145">
        <v>8</v>
      </c>
      <c r="AX61" s="176"/>
      <c r="AY61" s="176"/>
      <c r="AZ61" s="176"/>
    </row>
    <row r="62" spans="1:52" ht="15" customHeight="1" x14ac:dyDescent="0.2">
      <c r="A62" s="690"/>
      <c r="B62" s="393"/>
      <c r="C62" s="176"/>
      <c r="D62" s="418">
        <v>1</v>
      </c>
      <c r="E62" s="145">
        <v>2</v>
      </c>
      <c r="F62" s="308" t="e">
        <f>IF(C50-C44&lt;=D62,E62,F63)</f>
        <v>#VALUE!</v>
      </c>
      <c r="G62" s="176"/>
      <c r="H62" s="301"/>
      <c r="I62" s="176"/>
      <c r="J62" s="418">
        <v>2</v>
      </c>
      <c r="K62" s="145">
        <v>2</v>
      </c>
      <c r="L62" s="308" t="e">
        <f>IF(I50-I44&lt;=J62,K62,L63)</f>
        <v>#VALUE!</v>
      </c>
      <c r="M62" s="176"/>
      <c r="N62" s="176"/>
      <c r="AI62" s="176"/>
      <c r="AJ62" s="176"/>
      <c r="AK62" s="176"/>
      <c r="AL62" s="176"/>
      <c r="AM62" s="145">
        <v>45</v>
      </c>
      <c r="AN62" s="145">
        <v>22</v>
      </c>
      <c r="AO62" s="145">
        <v>22</v>
      </c>
      <c r="AP62" s="145">
        <v>22</v>
      </c>
      <c r="AQ62" s="145">
        <v>24</v>
      </c>
      <c r="AR62" s="176"/>
      <c r="AS62" s="145"/>
      <c r="AT62" s="145"/>
      <c r="AU62" s="145"/>
      <c r="AV62" s="145"/>
      <c r="AW62" s="145"/>
      <c r="AX62" s="176"/>
      <c r="AY62" s="176"/>
      <c r="AZ62" s="176"/>
    </row>
    <row r="63" spans="1:52" ht="15" customHeight="1" x14ac:dyDescent="0.2">
      <c r="A63" s="690"/>
      <c r="B63" s="393"/>
      <c r="C63" s="176"/>
      <c r="D63" s="418">
        <v>2</v>
      </c>
      <c r="E63" s="145">
        <v>5</v>
      </c>
      <c r="F63" s="145" t="e">
        <f>IF(C50-C44&lt;=D63,E63,F64)</f>
        <v>#VALUE!</v>
      </c>
      <c r="G63" s="176"/>
      <c r="H63" s="372"/>
      <c r="I63" s="176"/>
      <c r="J63" s="418">
        <v>4</v>
      </c>
      <c r="K63" s="145">
        <v>5</v>
      </c>
      <c r="L63" s="145" t="e">
        <f>IF(I50-I44&lt;=J63,K63,L64)</f>
        <v>#VALUE!</v>
      </c>
      <c r="M63" s="176"/>
      <c r="N63" s="176"/>
      <c r="AI63" s="176"/>
      <c r="AJ63" s="176"/>
      <c r="AK63" s="176"/>
      <c r="AL63" s="176"/>
      <c r="AM63" s="145">
        <v>50</v>
      </c>
      <c r="AN63" s="145">
        <v>22</v>
      </c>
      <c r="AO63" s="145">
        <v>22</v>
      </c>
      <c r="AP63" s="145">
        <v>24</v>
      </c>
      <c r="AQ63" s="145">
        <v>24</v>
      </c>
      <c r="AR63" s="176"/>
      <c r="AS63" s="145"/>
      <c r="AT63" s="145"/>
      <c r="AU63" s="145"/>
      <c r="AV63" s="145"/>
      <c r="AW63" s="145"/>
      <c r="AX63" s="176"/>
      <c r="AY63" s="176"/>
      <c r="AZ63" s="176"/>
    </row>
    <row r="64" spans="1:52" ht="15" customHeight="1" x14ac:dyDescent="0.2">
      <c r="A64" s="690"/>
      <c r="B64" s="393"/>
      <c r="C64" s="176"/>
      <c r="D64" s="418">
        <v>3</v>
      </c>
      <c r="E64" s="145">
        <v>7</v>
      </c>
      <c r="F64" s="145" t="e">
        <f>IF(C50-C44&lt;=D64,E64,F65)</f>
        <v>#VALUE!</v>
      </c>
      <c r="G64" s="176"/>
      <c r="H64" s="372"/>
      <c r="I64" s="176"/>
      <c r="J64" s="418">
        <v>6</v>
      </c>
      <c r="K64" s="145">
        <v>7</v>
      </c>
      <c r="L64" s="145" t="e">
        <f>IF(I50-I44&lt;=J64,K64,L65)</f>
        <v>#VALUE!</v>
      </c>
      <c r="M64" s="176"/>
      <c r="N64" s="176"/>
      <c r="AI64" s="176"/>
      <c r="AJ64" s="176"/>
      <c r="AK64" s="176"/>
      <c r="AL64" s="176"/>
      <c r="AM64" s="145">
        <v>55</v>
      </c>
      <c r="AN64" s="145">
        <v>22</v>
      </c>
      <c r="AO64" s="145">
        <v>22</v>
      </c>
      <c r="AP64" s="145">
        <v>24</v>
      </c>
      <c r="AQ64" s="145">
        <v>24</v>
      </c>
      <c r="AR64" s="176"/>
      <c r="AS64" s="145"/>
      <c r="AT64" s="145"/>
      <c r="AU64" s="145"/>
      <c r="AV64" s="145"/>
      <c r="AW64" s="145"/>
      <c r="AX64" s="176"/>
      <c r="AY64" s="176"/>
      <c r="AZ64" s="176"/>
    </row>
    <row r="65" spans="1:57" ht="15" customHeight="1" x14ac:dyDescent="0.2">
      <c r="A65" s="690"/>
      <c r="B65" s="393"/>
      <c r="C65" s="176"/>
      <c r="D65" s="418">
        <v>4</v>
      </c>
      <c r="E65" s="145">
        <v>8</v>
      </c>
      <c r="F65" s="145" t="e">
        <f>IF(C50-C44&lt;=D65,E65,F66)</f>
        <v>#VALUE!</v>
      </c>
      <c r="G65" s="176"/>
      <c r="H65" s="372"/>
      <c r="I65" s="176"/>
      <c r="J65" s="418">
        <v>8</v>
      </c>
      <c r="K65" s="145">
        <v>8</v>
      </c>
      <c r="L65" s="145" t="e">
        <f>IF(I50-I44&lt;=J65,K65,L66)</f>
        <v>#VALUE!</v>
      </c>
      <c r="M65" s="176"/>
      <c r="N65" s="372"/>
      <c r="AI65" s="176"/>
      <c r="AJ65" s="176"/>
      <c r="AK65" s="176"/>
      <c r="AL65" s="176"/>
      <c r="AM65" s="145">
        <v>60</v>
      </c>
      <c r="AN65" s="145">
        <v>24</v>
      </c>
      <c r="AO65" s="145">
        <v>24</v>
      </c>
      <c r="AP65" s="145">
        <v>24</v>
      </c>
      <c r="AQ65" s="145">
        <v>24</v>
      </c>
      <c r="AR65" s="176"/>
      <c r="AS65" s="145"/>
      <c r="AT65" s="145"/>
      <c r="AU65" s="145"/>
      <c r="AV65" s="145"/>
      <c r="AW65" s="145"/>
      <c r="AX65" s="176"/>
      <c r="AY65" s="176"/>
      <c r="AZ65" s="176"/>
    </row>
    <row r="66" spans="1:57" ht="15" customHeight="1" x14ac:dyDescent="0.2">
      <c r="A66" s="690"/>
      <c r="B66" s="393"/>
      <c r="C66" s="176"/>
      <c r="D66" s="418">
        <v>5</v>
      </c>
      <c r="E66" s="145">
        <v>9</v>
      </c>
      <c r="F66" s="145" t="e">
        <f>IF(C50-C44&lt;=D66,E66,F67)</f>
        <v>#VALUE!</v>
      </c>
      <c r="G66" s="176"/>
      <c r="H66" s="301"/>
      <c r="I66" s="176"/>
      <c r="J66" s="418">
        <v>9</v>
      </c>
      <c r="K66" s="145">
        <v>9</v>
      </c>
      <c r="L66" s="145" t="e">
        <f>IF(I50-I44&lt;=J66,K66,L67)</f>
        <v>#VALUE!</v>
      </c>
      <c r="M66" s="176"/>
      <c r="N66" s="372"/>
      <c r="AI66" s="176"/>
      <c r="AJ66" s="176"/>
      <c r="AK66" s="176"/>
      <c r="AL66" s="176"/>
      <c r="AM66" s="145">
        <v>65</v>
      </c>
      <c r="AN66" s="145">
        <v>24</v>
      </c>
      <c r="AO66" s="145">
        <v>24</v>
      </c>
      <c r="AP66" s="145">
        <v>24</v>
      </c>
      <c r="AQ66" s="145">
        <v>24</v>
      </c>
      <c r="AR66" s="176"/>
      <c r="AS66" s="145"/>
      <c r="AT66" s="145"/>
      <c r="AU66" s="145"/>
      <c r="AV66" s="145"/>
      <c r="AW66" s="145"/>
      <c r="AX66" s="176"/>
      <c r="AY66" s="176"/>
      <c r="AZ66" s="176"/>
    </row>
    <row r="67" spans="1:57" ht="15" customHeight="1" x14ac:dyDescent="0.2">
      <c r="A67" s="690"/>
      <c r="B67" s="393"/>
      <c r="C67" s="176"/>
      <c r="D67" s="418">
        <v>6</v>
      </c>
      <c r="E67" s="145">
        <v>10</v>
      </c>
      <c r="F67" s="145" t="e">
        <f>IF(OR(C50-C44&lt;=D67,C50-C44&gt;D67),E67,#REF!)</f>
        <v>#VALUE!</v>
      </c>
      <c r="G67" s="176"/>
      <c r="H67" s="176"/>
      <c r="I67" s="176"/>
      <c r="J67" s="418">
        <v>10</v>
      </c>
      <c r="K67" s="145">
        <v>10</v>
      </c>
      <c r="L67" s="145" t="e">
        <f>IF(OR(I50-I44&lt;=J67,I50-I44&gt;J67),K67,0)</f>
        <v>#VALUE!</v>
      </c>
      <c r="M67" s="176"/>
      <c r="N67" s="372"/>
      <c r="AI67" s="176"/>
      <c r="AJ67" s="176"/>
      <c r="AK67" s="176"/>
      <c r="AL67" s="176"/>
      <c r="AM67" s="145">
        <v>70</v>
      </c>
      <c r="AN67" s="145">
        <v>24</v>
      </c>
      <c r="AO67" s="145">
        <v>24</v>
      </c>
      <c r="AP67" s="145">
        <v>24</v>
      </c>
      <c r="AQ67" s="145">
        <v>24</v>
      </c>
      <c r="AR67" s="176"/>
      <c r="AS67" s="145"/>
      <c r="AT67" s="145"/>
      <c r="AU67" s="145"/>
      <c r="AV67" s="145"/>
      <c r="AW67" s="145"/>
      <c r="AX67" s="176"/>
      <c r="AY67" s="176"/>
      <c r="AZ67" s="176"/>
    </row>
    <row r="68" spans="1:57" ht="15" customHeight="1" x14ac:dyDescent="0.2">
      <c r="A68" s="690"/>
      <c r="B68" s="393"/>
      <c r="C68" s="176"/>
      <c r="D68" s="176"/>
      <c r="E68" s="176"/>
      <c r="F68" s="176"/>
      <c r="G68" s="176"/>
      <c r="H68" s="176"/>
      <c r="I68" s="176"/>
      <c r="J68" s="176"/>
      <c r="K68" s="176"/>
      <c r="L68" s="176"/>
      <c r="M68" s="176"/>
      <c r="N68" s="372"/>
      <c r="AI68" s="176"/>
      <c r="AJ68" s="176"/>
      <c r="AK68" s="176"/>
      <c r="AL68" s="176"/>
      <c r="AM68" s="145">
        <v>75</v>
      </c>
      <c r="AN68" s="145">
        <v>24</v>
      </c>
      <c r="AO68" s="145">
        <v>24</v>
      </c>
      <c r="AP68" s="145">
        <v>24</v>
      </c>
      <c r="AQ68" s="145">
        <v>24</v>
      </c>
      <c r="AR68" s="176"/>
      <c r="AS68" s="145"/>
      <c r="AT68" s="145"/>
      <c r="AU68" s="145"/>
      <c r="AV68" s="145"/>
      <c r="AW68" s="145"/>
      <c r="AX68" s="176"/>
      <c r="AY68" s="176"/>
      <c r="AZ68" s="176"/>
    </row>
    <row r="69" spans="1:57" ht="15" customHeight="1" x14ac:dyDescent="0.2">
      <c r="A69" s="690"/>
      <c r="B69" s="393"/>
      <c r="C69" s="176"/>
      <c r="D69" s="176"/>
      <c r="E69" s="176"/>
      <c r="F69" s="176"/>
      <c r="G69" s="176"/>
      <c r="H69" s="176"/>
      <c r="I69" s="176"/>
      <c r="J69" s="176"/>
      <c r="K69" s="176"/>
      <c r="L69" s="176"/>
      <c r="M69" s="176"/>
      <c r="N69" s="372"/>
      <c r="AI69" s="176"/>
      <c r="AJ69" s="176"/>
      <c r="AK69" s="176"/>
      <c r="AL69" s="176"/>
      <c r="AM69" s="176"/>
      <c r="AN69" s="176"/>
      <c r="AO69" s="176"/>
      <c r="AP69" s="176"/>
      <c r="AQ69" s="176"/>
      <c r="AR69" s="176"/>
      <c r="AS69" s="176"/>
      <c r="AT69" s="176"/>
      <c r="AU69" s="176"/>
      <c r="AV69" s="176"/>
      <c r="AW69" s="176"/>
      <c r="AX69" s="176"/>
      <c r="AY69" s="176"/>
      <c r="AZ69" s="176"/>
    </row>
    <row r="70" spans="1:57" ht="15" customHeight="1" x14ac:dyDescent="0.2">
      <c r="A70" s="690"/>
      <c r="B70" s="393"/>
      <c r="C70" s="176"/>
      <c r="D70" s="176"/>
      <c r="E70" s="176"/>
      <c r="F70" s="176"/>
      <c r="G70" s="176"/>
      <c r="H70" s="176"/>
      <c r="I70" s="176"/>
      <c r="J70" s="176"/>
      <c r="K70" s="176"/>
      <c r="L70" s="176"/>
      <c r="M70" s="176"/>
      <c r="N70" s="372"/>
      <c r="AI70" s="176"/>
      <c r="AJ70" s="176"/>
      <c r="AK70" s="176"/>
      <c r="AL70" s="176"/>
      <c r="AM70" s="176"/>
      <c r="AN70" s="176"/>
      <c r="AO70" s="176"/>
      <c r="AP70" s="176"/>
      <c r="AQ70" s="176"/>
      <c r="AR70" s="176"/>
      <c r="AS70" s="176"/>
      <c r="AT70" s="176"/>
      <c r="AU70" s="176"/>
      <c r="AV70" s="176"/>
      <c r="AW70" s="176"/>
      <c r="AX70" s="176"/>
      <c r="AY70" s="176"/>
      <c r="AZ70" s="176"/>
    </row>
    <row r="71" spans="1:57" ht="15" customHeight="1" x14ac:dyDescent="0.2">
      <c r="B71" s="393"/>
      <c r="C71" s="176"/>
      <c r="D71" s="419" t="s">
        <v>148</v>
      </c>
      <c r="E71" s="420"/>
      <c r="F71" s="420"/>
      <c r="G71" s="420"/>
      <c r="H71" s="176"/>
      <c r="I71" s="176"/>
      <c r="J71" s="176"/>
      <c r="K71" s="176"/>
      <c r="L71" s="176"/>
      <c r="M71" s="176"/>
      <c r="N71" s="372"/>
      <c r="AI71" s="176"/>
      <c r="AJ71" s="176"/>
      <c r="AK71" s="176"/>
      <c r="AL71" s="176"/>
      <c r="AM71" s="176"/>
      <c r="AN71" s="176"/>
      <c r="AO71" s="176"/>
      <c r="AP71" s="176"/>
      <c r="AQ71" s="176"/>
      <c r="AR71" s="176"/>
      <c r="AS71" s="176"/>
      <c r="AT71" s="176"/>
      <c r="AU71" s="176"/>
      <c r="AV71" s="176"/>
      <c r="AW71" s="176"/>
      <c r="AX71" s="176"/>
      <c r="AY71" s="176"/>
      <c r="AZ71" s="176"/>
    </row>
    <row r="72" spans="1:57" ht="15" customHeight="1" x14ac:dyDescent="0.2">
      <c r="B72" s="393"/>
      <c r="C72" s="421" t="s">
        <v>149</v>
      </c>
      <c r="D72" s="421"/>
      <c r="E72" s="421"/>
      <c r="F72" s="421"/>
      <c r="G72" s="421"/>
      <c r="H72" s="176"/>
      <c r="I72" s="176"/>
      <c r="J72" s="176"/>
      <c r="K72" s="176"/>
      <c r="L72" s="176"/>
      <c r="M72" s="176"/>
      <c r="N72" s="372"/>
      <c r="O72" s="372" t="s">
        <v>188</v>
      </c>
      <c r="P72" s="372"/>
      <c r="Q72" s="372"/>
      <c r="R72" s="372"/>
      <c r="S72" s="372"/>
      <c r="T72" s="145"/>
      <c r="U72" s="145"/>
      <c r="V72" s="176"/>
      <c r="W72" s="176"/>
      <c r="X72" s="176"/>
      <c r="Y72" s="176"/>
      <c r="Z72" s="176"/>
      <c r="AA72" s="176"/>
      <c r="AB72" s="176"/>
      <c r="AC72" s="176"/>
      <c r="AD72" s="176"/>
      <c r="AE72" s="176"/>
      <c r="AF72" s="176"/>
      <c r="AG72" s="176"/>
      <c r="AH72" s="176"/>
      <c r="AI72" s="176"/>
      <c r="AJ72" s="176"/>
      <c r="AK72" s="176"/>
      <c r="AL72" s="176"/>
      <c r="AM72" s="176"/>
      <c r="AN72" s="176"/>
      <c r="AO72" s="176"/>
      <c r="AP72" s="176"/>
      <c r="AQ72" s="176"/>
      <c r="AR72" s="176"/>
      <c r="AS72" s="176"/>
      <c r="AT72" s="176"/>
      <c r="AU72" s="176"/>
      <c r="AV72" s="176"/>
      <c r="AW72" s="176"/>
      <c r="AX72" s="176"/>
      <c r="AY72" s="176"/>
      <c r="AZ72" s="176"/>
    </row>
    <row r="73" spans="1:57" ht="15" customHeight="1" x14ac:dyDescent="0.2">
      <c r="B73" s="393"/>
      <c r="C73" s="176"/>
      <c r="D73" s="176"/>
      <c r="E73" s="176"/>
      <c r="F73" s="176"/>
      <c r="G73" s="176"/>
      <c r="H73" s="176"/>
      <c r="I73" s="176"/>
      <c r="J73" s="176"/>
      <c r="K73" s="178" t="s">
        <v>153</v>
      </c>
      <c r="L73" s="422">
        <f>T93</f>
        <v>0</v>
      </c>
      <c r="M73" s="145"/>
      <c r="N73" s="372"/>
      <c r="O73" s="372" t="s">
        <v>189</v>
      </c>
      <c r="P73" s="372" t="s">
        <v>190</v>
      </c>
      <c r="Q73" s="372"/>
      <c r="R73" s="372"/>
      <c r="S73" s="372"/>
      <c r="T73" s="145"/>
      <c r="U73" s="145"/>
      <c r="V73" s="176"/>
      <c r="W73" s="176"/>
      <c r="X73" s="176"/>
      <c r="Y73" s="176"/>
      <c r="Z73" s="176"/>
      <c r="AA73" s="176"/>
      <c r="AB73" s="176"/>
      <c r="AC73" s="176"/>
      <c r="AD73" s="176"/>
      <c r="AE73" s="176"/>
      <c r="AF73" s="176"/>
      <c r="AG73" s="176"/>
      <c r="AH73" s="176"/>
      <c r="AI73" s="176"/>
      <c r="AJ73" s="176"/>
      <c r="AK73" s="176"/>
      <c r="AL73" s="176"/>
      <c r="AM73" s="176"/>
      <c r="AN73" s="176"/>
      <c r="AO73" s="176"/>
      <c r="AP73" s="176"/>
      <c r="AQ73" s="176"/>
      <c r="AR73" s="176"/>
      <c r="AS73" s="176"/>
      <c r="AT73" s="176"/>
      <c r="AU73" s="176"/>
      <c r="AV73" s="176"/>
      <c r="AW73" s="176"/>
      <c r="AX73" s="176"/>
      <c r="AY73" s="176"/>
      <c r="AZ73" s="176"/>
    </row>
    <row r="74" spans="1:57" ht="15" customHeight="1" x14ac:dyDescent="0.2">
      <c r="B74" s="176"/>
      <c r="C74" s="176"/>
      <c r="D74" s="176"/>
      <c r="E74" s="176"/>
      <c r="F74" s="176"/>
      <c r="G74" s="176"/>
      <c r="H74" s="176"/>
      <c r="I74" s="176"/>
      <c r="J74" s="176"/>
      <c r="K74" s="178" t="s">
        <v>156</v>
      </c>
      <c r="L74" s="423">
        <f>'Traffic &amp; Accidents'!G14</f>
        <v>0</v>
      </c>
      <c r="M74" s="145"/>
      <c r="N74" s="372"/>
      <c r="O74" s="424"/>
      <c r="P74" s="425"/>
      <c r="Q74" s="372"/>
      <c r="R74" s="371"/>
      <c r="S74" s="372"/>
      <c r="T74" s="372"/>
      <c r="U74" s="372"/>
      <c r="V74" s="372"/>
      <c r="W74" s="372"/>
      <c r="X74" s="372"/>
      <c r="Y74" s="176"/>
      <c r="Z74" s="176"/>
      <c r="AA74" s="176"/>
      <c r="AB74" s="176"/>
      <c r="AC74" s="176"/>
      <c r="AD74" s="176"/>
      <c r="AE74" s="176"/>
      <c r="AF74" s="176"/>
      <c r="AG74" s="176"/>
      <c r="AH74" s="176"/>
      <c r="AI74" s="176"/>
      <c r="AJ74" s="176"/>
      <c r="AK74" s="176"/>
      <c r="AL74" s="176"/>
      <c r="AM74" s="176"/>
      <c r="AN74" s="176"/>
      <c r="AO74" s="176"/>
      <c r="AP74" s="176"/>
      <c r="AQ74" s="176"/>
      <c r="AR74" s="176"/>
      <c r="AS74" s="176"/>
      <c r="AT74" s="176"/>
      <c r="AU74" s="176"/>
      <c r="AV74" s="176"/>
      <c r="AW74" s="176"/>
      <c r="AX74" s="176"/>
      <c r="AY74" s="176"/>
      <c r="AZ74" s="176"/>
    </row>
    <row r="75" spans="1:57" ht="15" customHeight="1" x14ac:dyDescent="0.2">
      <c r="B75" s="690"/>
      <c r="C75" s="176"/>
      <c r="D75" s="176"/>
      <c r="E75" s="176"/>
      <c r="F75" s="176"/>
      <c r="G75" s="176"/>
      <c r="H75" s="176"/>
      <c r="I75" s="176"/>
      <c r="J75" s="176"/>
      <c r="K75" s="426" t="s">
        <v>158</v>
      </c>
      <c r="L75" s="427">
        <f>IF(L74=0,0,(L73/L74)*100)</f>
        <v>0</v>
      </c>
      <c r="M75" s="176" t="s">
        <v>159</v>
      </c>
      <c r="N75" s="372"/>
      <c r="O75" s="428"/>
      <c r="P75" s="371"/>
      <c r="Q75" s="371" t="s">
        <v>182</v>
      </c>
      <c r="R75" s="371" t="s">
        <v>191</v>
      </c>
      <c r="S75" s="371" t="s">
        <v>140</v>
      </c>
      <c r="T75" s="371"/>
      <c r="U75" s="371" t="s">
        <v>198</v>
      </c>
      <c r="V75" s="372"/>
      <c r="W75" s="372"/>
      <c r="X75" s="372"/>
      <c r="Y75" s="176"/>
      <c r="Z75" s="176"/>
      <c r="AA75" s="176"/>
      <c r="AB75" s="176"/>
      <c r="AC75" s="176"/>
      <c r="AD75" s="176"/>
      <c r="AE75" s="176"/>
      <c r="AF75" s="176"/>
      <c r="AG75" s="176"/>
      <c r="AH75" s="176"/>
      <c r="AI75" s="176"/>
      <c r="AJ75" s="176"/>
      <c r="AK75" s="176"/>
      <c r="AL75" s="176"/>
      <c r="AM75" s="176"/>
      <c r="AN75" s="176"/>
      <c r="AO75" s="176"/>
      <c r="AP75" s="176"/>
      <c r="AQ75" s="176"/>
      <c r="AR75" s="176"/>
      <c r="AS75" s="176"/>
      <c r="AT75" s="176"/>
      <c r="AU75" s="176"/>
      <c r="AV75" s="176"/>
      <c r="AW75" s="176"/>
      <c r="AX75" s="176"/>
      <c r="AY75" s="176"/>
      <c r="AZ75" s="176"/>
    </row>
    <row r="76" spans="1:57" ht="15" customHeight="1" x14ac:dyDescent="0.2">
      <c r="B76" s="690"/>
      <c r="C76" s="429" t="s">
        <v>159</v>
      </c>
      <c r="D76" s="430">
        <v>0</v>
      </c>
      <c r="E76" s="430">
        <v>2</v>
      </c>
      <c r="F76" s="430">
        <v>4</v>
      </c>
      <c r="G76" s="430">
        <v>6</v>
      </c>
      <c r="H76" s="430">
        <v>8</v>
      </c>
      <c r="I76" s="431">
        <v>10</v>
      </c>
      <c r="J76" s="176"/>
      <c r="K76" s="176"/>
      <c r="L76" s="176"/>
      <c r="M76" s="176"/>
      <c r="N76" s="372"/>
      <c r="O76" s="176"/>
      <c r="P76" s="372"/>
      <c r="Q76" s="371" t="s">
        <v>184</v>
      </c>
      <c r="R76" s="371" t="s">
        <v>162</v>
      </c>
      <c r="S76" s="371" t="s">
        <v>162</v>
      </c>
      <c r="T76" s="371" t="s">
        <v>197</v>
      </c>
      <c r="U76" s="371" t="s">
        <v>199</v>
      </c>
      <c r="V76" s="372"/>
      <c r="W76" s="372"/>
      <c r="X76" s="372"/>
      <c r="Y76" s="176"/>
      <c r="Z76" s="176"/>
      <c r="AA76" s="176"/>
      <c r="AB76" s="176"/>
      <c r="AC76" s="176"/>
      <c r="AD76" s="176"/>
      <c r="AE76" s="176"/>
      <c r="AF76" s="176"/>
      <c r="AG76" s="176"/>
      <c r="AH76" s="176"/>
      <c r="AI76" s="176"/>
      <c r="AJ76" s="176"/>
      <c r="AK76" s="176"/>
      <c r="AL76" s="176"/>
      <c r="AM76" s="176"/>
      <c r="AN76" s="176"/>
      <c r="AO76" s="176"/>
      <c r="AP76" s="176"/>
      <c r="AQ76" s="176"/>
      <c r="AR76" s="176"/>
      <c r="AS76" s="176"/>
      <c r="AT76" s="176"/>
      <c r="AU76" s="176"/>
      <c r="AV76" s="176"/>
      <c r="AW76" s="176"/>
      <c r="AX76" s="176"/>
      <c r="AY76" s="176"/>
      <c r="AZ76" s="176"/>
    </row>
    <row r="77" spans="1:57" ht="15" customHeight="1" x14ac:dyDescent="0.2">
      <c r="B77" s="690"/>
      <c r="C77" s="432" t="s">
        <v>35</v>
      </c>
      <c r="D77" s="433">
        <v>0</v>
      </c>
      <c r="E77" s="433">
        <v>1</v>
      </c>
      <c r="F77" s="433">
        <v>2</v>
      </c>
      <c r="G77" s="433">
        <v>3</v>
      </c>
      <c r="H77" s="433">
        <v>4</v>
      </c>
      <c r="I77" s="434">
        <v>5</v>
      </c>
      <c r="J77" s="176"/>
      <c r="K77" s="176"/>
      <c r="L77" s="176"/>
      <c r="M77" s="176"/>
      <c r="N77" s="372"/>
      <c r="O77" s="176"/>
      <c r="P77" s="435" t="s">
        <v>183</v>
      </c>
      <c r="Q77" s="436" t="s">
        <v>185</v>
      </c>
      <c r="R77" s="436" t="s">
        <v>192</v>
      </c>
      <c r="S77" s="436" t="s">
        <v>193</v>
      </c>
      <c r="T77" s="436" t="s">
        <v>196</v>
      </c>
      <c r="U77" s="436" t="s">
        <v>200</v>
      </c>
      <c r="V77" s="372"/>
      <c r="W77" s="415" t="s">
        <v>195</v>
      </c>
      <c r="X77" s="415"/>
      <c r="Y77" s="435"/>
      <c r="Z77" s="435"/>
      <c r="AA77" s="372"/>
      <c r="AB77" s="372"/>
      <c r="AC77" s="372"/>
      <c r="AD77" s="372"/>
      <c r="AE77" s="372"/>
      <c r="AF77" s="372"/>
      <c r="AG77" s="372"/>
      <c r="AH77" s="176"/>
      <c r="AI77" s="176"/>
      <c r="AJ77" s="176"/>
      <c r="AK77" s="394"/>
      <c r="AL77" s="394"/>
      <c r="AM77" s="394"/>
      <c r="AN77" s="394"/>
      <c r="AO77" s="394"/>
      <c r="AP77" s="176"/>
      <c r="AQ77" s="176"/>
      <c r="AR77" s="176"/>
      <c r="AS77" s="176"/>
      <c r="AT77" s="176"/>
      <c r="AU77" s="176"/>
      <c r="AV77" s="176"/>
      <c r="AW77" s="176"/>
      <c r="AX77" s="176"/>
      <c r="AY77" s="176"/>
      <c r="AZ77" s="176"/>
      <c r="BA77" s="176"/>
      <c r="BB77" s="176"/>
      <c r="BC77" s="176"/>
      <c r="BD77" s="176"/>
      <c r="BE77" s="176"/>
    </row>
    <row r="78" spans="1:57" ht="15" customHeight="1" thickBot="1" x14ac:dyDescent="0.25">
      <c r="B78" s="690"/>
      <c r="C78" s="176"/>
      <c r="D78" s="176"/>
      <c r="E78" s="176"/>
      <c r="F78" s="176"/>
      <c r="G78" s="176"/>
      <c r="H78" s="176"/>
      <c r="I78" s="176"/>
      <c r="J78" s="176"/>
      <c r="K78" s="176"/>
      <c r="L78" s="176"/>
      <c r="M78" s="176"/>
      <c r="N78" s="372"/>
      <c r="O78" s="176"/>
      <c r="P78" s="371">
        <v>1</v>
      </c>
      <c r="Q78" s="311">
        <f>Geometry!E17</f>
        <v>0</v>
      </c>
      <c r="R78" s="437" t="str">
        <f t="shared" ref="R78:R84" si="3">IF(Q78&gt;0,ROUND(W78,0),"")</f>
        <v/>
      </c>
      <c r="S78" s="371" t="str">
        <f>V61</f>
        <v/>
      </c>
      <c r="T78" s="311">
        <f>Geometry!F17</f>
        <v>0</v>
      </c>
      <c r="U78" s="438">
        <f>IF(S78&gt;R78,(T78/5280)/R94,0)</f>
        <v>0</v>
      </c>
      <c r="V78" s="372"/>
      <c r="W78" s="439">
        <f t="shared" ref="W78:W91" si="4">IF(AND(Q78&gt;=0,Q78&lt;=80),10+((Q78-0)/80)*5,X78)</f>
        <v>10</v>
      </c>
      <c r="X78" s="145">
        <f t="shared" ref="X78:X91" si="5">IF(AND(Q78&gt;80,Q78&lt;=115),15+((Q78-80)/35)*5,Y78)</f>
        <v>0</v>
      </c>
      <c r="Y78" s="371">
        <f t="shared" ref="Y78:Y91" si="6">IF(AND(Q78&gt;115,Q78&lt;=155),20+((Q78-115)/40)*5,Z78)</f>
        <v>0</v>
      </c>
      <c r="Z78" s="371">
        <f t="shared" ref="Z78:Z91" si="7">IF(AND(Q78&gt;155,Q78&lt;=200),25+((Q78-155)/45)*5,AA78)</f>
        <v>0</v>
      </c>
      <c r="AA78" s="371">
        <f t="shared" ref="AA78:AA91" si="8">IF(AND(Q78&gt;200,Q78&lt;=250),30+((Q78-200)/50)*5,AB78)</f>
        <v>0</v>
      </c>
      <c r="AB78" s="371">
        <f t="shared" ref="AB78:AB91" si="9">IF(AND(Q78&gt;250,Q78&lt;=305),35+((Q78-250)/55)*5,AC78)</f>
        <v>0</v>
      </c>
      <c r="AC78" s="371">
        <f t="shared" ref="AC78:AC91" si="10">IF(AND(Q78&gt;305,Q78&lt;=360),40+((Q78-305)/55)*5,AD78)</f>
        <v>0</v>
      </c>
      <c r="AD78" s="371">
        <f t="shared" ref="AD78:AD91" si="11">IF(AND(Q78&gt;360,Q78&lt;=425),45+((Q78-360)/65)*5,AE78)</f>
        <v>0</v>
      </c>
      <c r="AE78" s="371">
        <f t="shared" ref="AE78:AE91" si="12">IF(AND(Q78&gt;425,Q78&lt;=495),50+((Q78-425)/70)*5,AF78)</f>
        <v>0</v>
      </c>
      <c r="AF78" s="371">
        <f t="shared" ref="AF78:AF91" si="13">IF(AND(Q78&gt;495,Q78&lt;=570),55+((Q78-495)/75)*5,AG78)</f>
        <v>0</v>
      </c>
      <c r="AG78" s="371">
        <f t="shared" ref="AG78:AG91" si="14">IF(Q78&gt;570,60,0)</f>
        <v>0</v>
      </c>
      <c r="AH78" s="176"/>
      <c r="AI78" s="176"/>
      <c r="AJ78" s="176"/>
      <c r="AK78" s="691" t="s">
        <v>298</v>
      </c>
      <c r="AL78" s="691"/>
      <c r="AM78" s="691"/>
      <c r="AN78" s="440"/>
      <c r="AO78" s="176"/>
      <c r="AP78" s="176"/>
      <c r="AQ78" s="176"/>
      <c r="AR78" s="176"/>
      <c r="AS78" s="176"/>
      <c r="AT78" s="176"/>
      <c r="AU78" s="176"/>
      <c r="AV78" s="176"/>
      <c r="AW78" s="176"/>
      <c r="AX78" s="176"/>
      <c r="AY78" s="176"/>
      <c r="AZ78" s="176"/>
      <c r="BA78" s="176"/>
      <c r="BB78" s="176"/>
      <c r="BC78" s="176"/>
      <c r="BD78" s="176"/>
      <c r="BE78" s="176"/>
    </row>
    <row r="79" spans="1:57" ht="15" customHeight="1" thickBot="1" x14ac:dyDescent="0.25">
      <c r="B79" s="690"/>
      <c r="C79" s="176"/>
      <c r="D79" s="441"/>
      <c r="E79" s="145"/>
      <c r="F79" s="145"/>
      <c r="G79" s="145"/>
      <c r="H79" s="393"/>
      <c r="I79" s="145"/>
      <c r="J79" s="145"/>
      <c r="K79" s="442" t="s">
        <v>431</v>
      </c>
      <c r="L79" s="443">
        <f>S97</f>
        <v>0</v>
      </c>
      <c r="M79" s="176"/>
      <c r="N79" s="372"/>
      <c r="O79" s="176"/>
      <c r="P79" s="371">
        <v>2</v>
      </c>
      <c r="Q79" s="311">
        <f>Geometry!E18</f>
        <v>0</v>
      </c>
      <c r="R79" s="444" t="str">
        <f t="shared" si="3"/>
        <v/>
      </c>
      <c r="S79" s="371" t="str">
        <f>V61</f>
        <v/>
      </c>
      <c r="T79" s="311">
        <f>Geometry!F18</f>
        <v>0</v>
      </c>
      <c r="U79" s="438">
        <f>IF(S79&gt;R79,(T79/5280)/R94,0)</f>
        <v>0</v>
      </c>
      <c r="V79" s="372"/>
      <c r="W79" s="145">
        <f t="shared" si="4"/>
        <v>10</v>
      </c>
      <c r="X79" s="145">
        <f t="shared" si="5"/>
        <v>0</v>
      </c>
      <c r="Y79" s="371">
        <f t="shared" si="6"/>
        <v>0</v>
      </c>
      <c r="Z79" s="371">
        <f t="shared" si="7"/>
        <v>0</v>
      </c>
      <c r="AA79" s="371">
        <f t="shared" si="8"/>
        <v>0</v>
      </c>
      <c r="AB79" s="371">
        <f t="shared" si="9"/>
        <v>0</v>
      </c>
      <c r="AC79" s="371">
        <f t="shared" si="10"/>
        <v>0</v>
      </c>
      <c r="AD79" s="371">
        <f t="shared" si="11"/>
        <v>0</v>
      </c>
      <c r="AE79" s="371">
        <f t="shared" si="12"/>
        <v>0</v>
      </c>
      <c r="AF79" s="371">
        <f t="shared" si="13"/>
        <v>0</v>
      </c>
      <c r="AG79" s="371">
        <f t="shared" si="14"/>
        <v>0</v>
      </c>
      <c r="AH79" s="176"/>
      <c r="AI79" s="176"/>
      <c r="AJ79" s="176"/>
      <c r="AK79" s="176"/>
      <c r="AL79" s="372"/>
      <c r="AM79" s="372"/>
      <c r="AN79" s="372"/>
      <c r="AO79" s="176"/>
      <c r="AP79" s="176"/>
      <c r="AQ79" s="176"/>
      <c r="AR79" s="176"/>
      <c r="AS79" s="176"/>
      <c r="AT79" s="176"/>
      <c r="AU79" s="176"/>
      <c r="AV79" s="176"/>
      <c r="AW79" s="176"/>
      <c r="AX79" s="176"/>
      <c r="AY79" s="176"/>
      <c r="AZ79" s="176"/>
      <c r="BA79" s="176"/>
      <c r="BB79" s="176"/>
      <c r="BC79" s="176"/>
      <c r="BD79" s="176"/>
      <c r="BE79" s="176"/>
    </row>
    <row r="80" spans="1:57" ht="15" customHeight="1" x14ac:dyDescent="0.2">
      <c r="B80" s="690"/>
      <c r="C80" s="176"/>
      <c r="D80" s="176"/>
      <c r="E80" s="176"/>
      <c r="F80" s="176"/>
      <c r="G80" s="176"/>
      <c r="H80" s="176"/>
      <c r="I80" s="176"/>
      <c r="J80" s="176"/>
      <c r="K80" s="176"/>
      <c r="L80" s="176"/>
      <c r="M80" s="176"/>
      <c r="N80" s="372"/>
      <c r="O80" s="176"/>
      <c r="P80" s="371">
        <v>3</v>
      </c>
      <c r="Q80" s="311">
        <f>Geometry!E19</f>
        <v>0</v>
      </c>
      <c r="R80" s="444" t="str">
        <f t="shared" si="3"/>
        <v/>
      </c>
      <c r="S80" s="371" t="str">
        <f>V61</f>
        <v/>
      </c>
      <c r="T80" s="311">
        <f>Geometry!F19</f>
        <v>0</v>
      </c>
      <c r="U80" s="438">
        <f>IF(S80&gt;R80,(T80/5280)/R94,0)</f>
        <v>0</v>
      </c>
      <c r="V80" s="372"/>
      <c r="W80" s="145">
        <f t="shared" si="4"/>
        <v>10</v>
      </c>
      <c r="X80" s="145">
        <f t="shared" si="5"/>
        <v>0</v>
      </c>
      <c r="Y80" s="371">
        <f t="shared" si="6"/>
        <v>0</v>
      </c>
      <c r="Z80" s="371">
        <f t="shared" si="7"/>
        <v>0</v>
      </c>
      <c r="AA80" s="371">
        <f t="shared" si="8"/>
        <v>0</v>
      </c>
      <c r="AB80" s="371">
        <f t="shared" si="9"/>
        <v>0</v>
      </c>
      <c r="AC80" s="371">
        <f t="shared" si="10"/>
        <v>0</v>
      </c>
      <c r="AD80" s="371">
        <f t="shared" si="11"/>
        <v>0</v>
      </c>
      <c r="AE80" s="371">
        <f t="shared" si="12"/>
        <v>0</v>
      </c>
      <c r="AF80" s="371">
        <f t="shared" si="13"/>
        <v>0</v>
      </c>
      <c r="AG80" s="371">
        <f t="shared" si="14"/>
        <v>0</v>
      </c>
      <c r="AH80" s="176"/>
      <c r="AI80" s="176"/>
      <c r="AJ80" s="176"/>
      <c r="AK80" s="405" t="s">
        <v>300</v>
      </c>
      <c r="AL80" s="405" t="s">
        <v>299</v>
      </c>
      <c r="AM80" s="405" t="s">
        <v>133</v>
      </c>
      <c r="AN80" s="176"/>
      <c r="AO80" s="176"/>
      <c r="AP80" s="176"/>
      <c r="AQ80" s="176"/>
      <c r="AR80" s="176"/>
      <c r="AS80" s="176"/>
      <c r="AT80" s="176"/>
      <c r="AU80" s="176"/>
      <c r="AV80" s="176"/>
      <c r="AW80" s="176"/>
      <c r="AX80" s="176"/>
      <c r="AY80" s="176"/>
      <c r="AZ80" s="176"/>
      <c r="BA80" s="176"/>
      <c r="BB80" s="176"/>
      <c r="BC80" s="176"/>
      <c r="BD80" s="176"/>
      <c r="BE80" s="176"/>
    </row>
    <row r="81" spans="2:57" ht="15" customHeight="1" thickBot="1" x14ac:dyDescent="0.25">
      <c r="B81" s="690"/>
      <c r="C81" s="176"/>
      <c r="D81" s="176"/>
      <c r="E81" s="176"/>
      <c r="F81" s="176"/>
      <c r="G81" s="176"/>
      <c r="H81" s="176"/>
      <c r="I81" s="176"/>
      <c r="J81" s="176"/>
      <c r="K81" s="176"/>
      <c r="L81" s="176"/>
      <c r="M81" s="176"/>
      <c r="N81" s="372"/>
      <c r="O81" s="176"/>
      <c r="P81" s="371">
        <v>4</v>
      </c>
      <c r="Q81" s="311">
        <f>Geometry!E20</f>
        <v>0</v>
      </c>
      <c r="R81" s="434" t="str">
        <f t="shared" si="3"/>
        <v/>
      </c>
      <c r="S81" s="371" t="str">
        <f>V61</f>
        <v/>
      </c>
      <c r="T81" s="311">
        <f>Geometry!F20</f>
        <v>0</v>
      </c>
      <c r="U81" s="438">
        <f>IF(S81&gt;R81,(T81/5280)/R94,0)</f>
        <v>0</v>
      </c>
      <c r="V81" s="372"/>
      <c r="W81" s="145">
        <f t="shared" si="4"/>
        <v>10</v>
      </c>
      <c r="X81" s="145">
        <f t="shared" si="5"/>
        <v>0</v>
      </c>
      <c r="Y81" s="371">
        <f t="shared" si="6"/>
        <v>0</v>
      </c>
      <c r="Z81" s="371">
        <f t="shared" si="7"/>
        <v>0</v>
      </c>
      <c r="AA81" s="371">
        <f t="shared" si="8"/>
        <v>0</v>
      </c>
      <c r="AB81" s="371">
        <f t="shared" si="9"/>
        <v>0</v>
      </c>
      <c r="AC81" s="371">
        <f t="shared" si="10"/>
        <v>0</v>
      </c>
      <c r="AD81" s="371">
        <f t="shared" si="11"/>
        <v>0</v>
      </c>
      <c r="AE81" s="371">
        <f t="shared" si="12"/>
        <v>0</v>
      </c>
      <c r="AF81" s="371">
        <f t="shared" si="13"/>
        <v>0</v>
      </c>
      <c r="AG81" s="371">
        <f t="shared" si="14"/>
        <v>0</v>
      </c>
      <c r="AH81" s="372"/>
      <c r="AI81" s="176"/>
      <c r="AJ81" s="176"/>
      <c r="AK81" s="414">
        <f>IF(AND(V61&lt;60,'Traffic &amp; Accidents'!I30&lt;1501),22,AK82)</f>
        <v>24</v>
      </c>
      <c r="AL81" s="371">
        <f>IF(AND(V61&lt;50,'Traffic &amp; Accidents'!I30&lt;2001),22,AL82)</f>
        <v>24</v>
      </c>
      <c r="AM81" s="371">
        <f>IF('Traffic &amp; Accidents'!I30&gt;2000,24,0)</f>
        <v>0</v>
      </c>
      <c r="AN81" s="176"/>
      <c r="AO81" s="176"/>
      <c r="AP81" s="176"/>
      <c r="AQ81" s="176"/>
      <c r="AR81" s="176"/>
      <c r="AS81" s="176"/>
      <c r="AT81" s="176"/>
      <c r="AU81" s="176"/>
      <c r="AV81" s="176"/>
      <c r="AW81" s="176"/>
      <c r="AX81" s="176"/>
      <c r="AY81" s="176"/>
      <c r="AZ81" s="176"/>
      <c r="BA81" s="176"/>
      <c r="BB81" s="176"/>
      <c r="BC81" s="176"/>
      <c r="BD81" s="176"/>
      <c r="BE81" s="176"/>
    </row>
    <row r="82" spans="2:57" ht="15" customHeight="1" thickTop="1" x14ac:dyDescent="0.2">
      <c r="B82" s="690"/>
      <c r="C82" s="445"/>
      <c r="D82" s="176"/>
      <c r="E82" s="176"/>
      <c r="F82" s="176"/>
      <c r="G82" s="176"/>
      <c r="H82" s="176"/>
      <c r="I82" s="176"/>
      <c r="J82" s="176"/>
      <c r="K82" s="176"/>
      <c r="L82" s="176"/>
      <c r="M82" s="176"/>
      <c r="N82" s="372"/>
      <c r="O82" s="176"/>
      <c r="P82" s="371">
        <v>5</v>
      </c>
      <c r="Q82" s="311">
        <f>Geometry!E21</f>
        <v>0</v>
      </c>
      <c r="R82" s="444" t="str">
        <f t="shared" si="3"/>
        <v/>
      </c>
      <c r="S82" s="371" t="str">
        <f>V61</f>
        <v/>
      </c>
      <c r="T82" s="311">
        <f>Geometry!F21</f>
        <v>0</v>
      </c>
      <c r="U82" s="438">
        <f>IF(S82&gt;R82,(T82/5280)/R94,0)</f>
        <v>0</v>
      </c>
      <c r="V82" s="372"/>
      <c r="W82" s="145">
        <f t="shared" si="4"/>
        <v>10</v>
      </c>
      <c r="X82" s="145">
        <f t="shared" si="5"/>
        <v>0</v>
      </c>
      <c r="Y82" s="371">
        <f t="shared" si="6"/>
        <v>0</v>
      </c>
      <c r="Z82" s="371">
        <f t="shared" si="7"/>
        <v>0</v>
      </c>
      <c r="AA82" s="371">
        <f t="shared" si="8"/>
        <v>0</v>
      </c>
      <c r="AB82" s="371">
        <f t="shared" si="9"/>
        <v>0</v>
      </c>
      <c r="AC82" s="371">
        <f t="shared" si="10"/>
        <v>0</v>
      </c>
      <c r="AD82" s="371">
        <f t="shared" si="11"/>
        <v>0</v>
      </c>
      <c r="AE82" s="371">
        <f t="shared" si="12"/>
        <v>0</v>
      </c>
      <c r="AF82" s="371">
        <f t="shared" si="13"/>
        <v>0</v>
      </c>
      <c r="AG82" s="371">
        <f t="shared" si="14"/>
        <v>0</v>
      </c>
      <c r="AH82" s="372"/>
      <c r="AI82" s="176"/>
      <c r="AJ82" s="176"/>
      <c r="AK82" s="371">
        <f>IF(AND(V61&gt;55,'Traffic &amp; Accidents'!I30&lt;1501),24,AL81)</f>
        <v>24</v>
      </c>
      <c r="AL82" s="371">
        <f>IF(AND(V61&gt;=50,'Traffic &amp; Accidents'!I30&lt;=2001),24,AM81)</f>
        <v>24</v>
      </c>
      <c r="AM82" s="371"/>
      <c r="AN82" s="176"/>
      <c r="AO82" s="176"/>
      <c r="AP82" s="176"/>
      <c r="AQ82" s="176"/>
      <c r="AR82" s="176"/>
      <c r="AS82" s="176"/>
      <c r="AT82" s="176"/>
      <c r="AU82" s="176"/>
      <c r="AV82" s="176"/>
      <c r="AW82" s="176"/>
      <c r="AX82" s="176"/>
      <c r="AY82" s="176"/>
      <c r="AZ82" s="176"/>
      <c r="BA82" s="176"/>
      <c r="BB82" s="176"/>
      <c r="BC82" s="176"/>
      <c r="BD82" s="176"/>
      <c r="BE82" s="176"/>
    </row>
    <row r="83" spans="2:57" ht="15" customHeight="1" x14ac:dyDescent="0.2">
      <c r="B83" s="690"/>
      <c r="C83" s="372"/>
      <c r="D83" s="176"/>
      <c r="E83" s="176"/>
      <c r="F83" s="176"/>
      <c r="G83" s="176"/>
      <c r="H83" s="176"/>
      <c r="I83" s="176"/>
      <c r="J83" s="176"/>
      <c r="K83" s="176"/>
      <c r="L83" s="176"/>
      <c r="M83" s="176"/>
      <c r="N83" s="372"/>
      <c r="O83" s="176"/>
      <c r="P83" s="371">
        <v>6</v>
      </c>
      <c r="Q83" s="311">
        <f>Geometry!E22</f>
        <v>0</v>
      </c>
      <c r="R83" s="444" t="str">
        <f t="shared" si="3"/>
        <v/>
      </c>
      <c r="S83" s="371" t="str">
        <f>V61</f>
        <v/>
      </c>
      <c r="T83" s="311">
        <f>Geometry!F22</f>
        <v>0</v>
      </c>
      <c r="U83" s="438">
        <f>IF(S83&gt;R83,(T83/5280)/R94,0)</f>
        <v>0</v>
      </c>
      <c r="V83" s="372"/>
      <c r="W83" s="145">
        <f t="shared" si="4"/>
        <v>10</v>
      </c>
      <c r="X83" s="145">
        <f t="shared" si="5"/>
        <v>0</v>
      </c>
      <c r="Y83" s="371">
        <f t="shared" si="6"/>
        <v>0</v>
      </c>
      <c r="Z83" s="371">
        <f t="shared" si="7"/>
        <v>0</v>
      </c>
      <c r="AA83" s="371">
        <f t="shared" si="8"/>
        <v>0</v>
      </c>
      <c r="AB83" s="371">
        <f t="shared" si="9"/>
        <v>0</v>
      </c>
      <c r="AC83" s="371">
        <f t="shared" si="10"/>
        <v>0</v>
      </c>
      <c r="AD83" s="371">
        <f t="shared" si="11"/>
        <v>0</v>
      </c>
      <c r="AE83" s="371">
        <f t="shared" si="12"/>
        <v>0</v>
      </c>
      <c r="AF83" s="371">
        <f t="shared" si="13"/>
        <v>0</v>
      </c>
      <c r="AG83" s="371">
        <f t="shared" si="14"/>
        <v>0</v>
      </c>
      <c r="AH83" s="372"/>
      <c r="AI83" s="176"/>
      <c r="AJ83" s="176"/>
      <c r="AK83" s="176"/>
      <c r="AL83" s="371"/>
      <c r="AM83" s="371"/>
      <c r="AN83" s="371"/>
      <c r="AO83" s="176"/>
      <c r="AP83" s="176"/>
      <c r="AQ83" s="176"/>
      <c r="AR83" s="176"/>
      <c r="AS83" s="176"/>
      <c r="AT83" s="176"/>
      <c r="AU83" s="176"/>
      <c r="AV83" s="176"/>
      <c r="AW83" s="176"/>
      <c r="AX83" s="176"/>
      <c r="AY83" s="176"/>
      <c r="AZ83" s="176"/>
      <c r="BA83" s="176"/>
      <c r="BB83" s="176"/>
      <c r="BC83" s="176"/>
      <c r="BD83" s="176"/>
      <c r="BE83" s="176"/>
    </row>
    <row r="84" spans="2:57" ht="15" customHeight="1" x14ac:dyDescent="0.2">
      <c r="B84" s="690"/>
      <c r="C84" s="176"/>
      <c r="D84" s="176"/>
      <c r="E84" s="176"/>
      <c r="F84" s="176"/>
      <c r="G84" s="176"/>
      <c r="H84" s="176"/>
      <c r="I84" s="176"/>
      <c r="J84" s="176"/>
      <c r="K84" s="176"/>
      <c r="L84" s="176"/>
      <c r="M84" s="176"/>
      <c r="N84" s="372"/>
      <c r="O84" s="176"/>
      <c r="P84" s="371">
        <v>7</v>
      </c>
      <c r="Q84" s="311">
        <f>Geometry!E23</f>
        <v>0</v>
      </c>
      <c r="R84" s="434" t="str">
        <f t="shared" si="3"/>
        <v/>
      </c>
      <c r="S84" s="371" t="str">
        <f>V61</f>
        <v/>
      </c>
      <c r="T84" s="311">
        <f>Geometry!F23</f>
        <v>0</v>
      </c>
      <c r="U84" s="438">
        <f>IF(S84&gt;R84,(T84/5280)/R94,0)</f>
        <v>0</v>
      </c>
      <c r="V84" s="372"/>
      <c r="W84" s="145">
        <f t="shared" si="4"/>
        <v>10</v>
      </c>
      <c r="X84" s="145">
        <f t="shared" si="5"/>
        <v>0</v>
      </c>
      <c r="Y84" s="371">
        <f t="shared" si="6"/>
        <v>0</v>
      </c>
      <c r="Z84" s="371">
        <f t="shared" si="7"/>
        <v>0</v>
      </c>
      <c r="AA84" s="371">
        <f t="shared" si="8"/>
        <v>0</v>
      </c>
      <c r="AB84" s="371">
        <f t="shared" si="9"/>
        <v>0</v>
      </c>
      <c r="AC84" s="371">
        <f t="shared" si="10"/>
        <v>0</v>
      </c>
      <c r="AD84" s="371">
        <f t="shared" si="11"/>
        <v>0</v>
      </c>
      <c r="AE84" s="371">
        <f t="shared" si="12"/>
        <v>0</v>
      </c>
      <c r="AF84" s="371">
        <f t="shared" si="13"/>
        <v>0</v>
      </c>
      <c r="AG84" s="371">
        <f t="shared" si="14"/>
        <v>0</v>
      </c>
      <c r="AH84" s="372"/>
      <c r="AI84" s="176"/>
      <c r="AJ84" s="176"/>
      <c r="AK84" s="176"/>
      <c r="AL84" s="176"/>
      <c r="AM84" s="176"/>
      <c r="AN84" s="176"/>
      <c r="AO84" s="176"/>
      <c r="AP84" s="176"/>
      <c r="AQ84" s="176"/>
      <c r="AR84" s="176"/>
      <c r="AS84" s="176"/>
      <c r="AT84" s="176"/>
      <c r="AU84" s="176"/>
      <c r="AV84" s="176"/>
      <c r="AW84" s="176"/>
      <c r="AX84" s="176"/>
      <c r="AY84" s="176"/>
      <c r="AZ84" s="176"/>
      <c r="BA84" s="176"/>
      <c r="BB84" s="176"/>
      <c r="BC84" s="176"/>
      <c r="BD84" s="176"/>
      <c r="BE84" s="176"/>
    </row>
    <row r="85" spans="2:57" ht="15" customHeight="1" x14ac:dyDescent="0.2">
      <c r="B85" s="690"/>
      <c r="C85" s="176" t="s">
        <v>166</v>
      </c>
      <c r="D85" s="176"/>
      <c r="E85" s="176"/>
      <c r="F85" s="176"/>
      <c r="G85" s="176"/>
      <c r="H85" s="176"/>
      <c r="I85" s="176"/>
      <c r="J85" s="176"/>
      <c r="K85" s="176"/>
      <c r="L85" s="176"/>
      <c r="M85" s="176"/>
      <c r="N85" s="372"/>
      <c r="O85" s="176"/>
      <c r="P85" s="371">
        <v>8</v>
      </c>
      <c r="Q85" s="311">
        <f>Geometry!E24</f>
        <v>0</v>
      </c>
      <c r="R85" s="444" t="str">
        <f>IF(Q85&gt;0,ROUND(Geometry!W85,0),"")</f>
        <v/>
      </c>
      <c r="S85" s="371" t="str">
        <f>V61</f>
        <v/>
      </c>
      <c r="T85" s="311">
        <f>Geometry!F24</f>
        <v>0</v>
      </c>
      <c r="U85" s="438">
        <f>IF(S85&gt;R85,(T85/5280)/R94,0)</f>
        <v>0</v>
      </c>
      <c r="V85" s="372"/>
      <c r="W85" s="145">
        <f t="shared" si="4"/>
        <v>10</v>
      </c>
      <c r="X85" s="145">
        <f t="shared" si="5"/>
        <v>0</v>
      </c>
      <c r="Y85" s="371">
        <f t="shared" si="6"/>
        <v>0</v>
      </c>
      <c r="Z85" s="371">
        <f t="shared" si="7"/>
        <v>0</v>
      </c>
      <c r="AA85" s="371">
        <f t="shared" si="8"/>
        <v>0</v>
      </c>
      <c r="AB85" s="371">
        <f t="shared" si="9"/>
        <v>0</v>
      </c>
      <c r="AC85" s="371">
        <f t="shared" si="10"/>
        <v>0</v>
      </c>
      <c r="AD85" s="371">
        <f t="shared" si="11"/>
        <v>0</v>
      </c>
      <c r="AE85" s="371">
        <f t="shared" si="12"/>
        <v>0</v>
      </c>
      <c r="AF85" s="371">
        <f t="shared" si="13"/>
        <v>0</v>
      </c>
      <c r="AG85" s="371">
        <f t="shared" si="14"/>
        <v>0</v>
      </c>
      <c r="AH85" s="372"/>
      <c r="AI85" s="176"/>
      <c r="AJ85" s="176"/>
      <c r="AK85" s="176"/>
      <c r="AL85" s="176"/>
      <c r="AM85" s="176"/>
      <c r="AN85" s="176"/>
      <c r="AO85" s="176"/>
      <c r="AP85" s="176"/>
      <c r="AQ85" s="176"/>
      <c r="AR85" s="176"/>
      <c r="AS85" s="176"/>
      <c r="AT85" s="176"/>
      <c r="AU85" s="176"/>
      <c r="AV85" s="176"/>
      <c r="AW85" s="176"/>
      <c r="AX85" s="176"/>
      <c r="AY85" s="176"/>
      <c r="AZ85" s="176"/>
    </row>
    <row r="86" spans="2:57" ht="15" customHeight="1" x14ac:dyDescent="0.2">
      <c r="B86" s="690"/>
      <c r="C86" s="176"/>
      <c r="D86" s="176"/>
      <c r="E86" s="176"/>
      <c r="F86" s="176"/>
      <c r="G86" s="176"/>
      <c r="H86" s="176"/>
      <c r="I86" s="176"/>
      <c r="J86" s="176"/>
      <c r="K86" s="176"/>
      <c r="L86" s="176"/>
      <c r="M86" s="176"/>
      <c r="N86" s="372"/>
      <c r="O86" s="176"/>
      <c r="P86" s="371">
        <v>9</v>
      </c>
      <c r="Q86" s="311">
        <f>Geometry!E25</f>
        <v>0</v>
      </c>
      <c r="R86" s="444" t="str">
        <f>IF(Q86&gt;0,ROUND(Geometry!W86,0),"")</f>
        <v/>
      </c>
      <c r="S86" s="371" t="str">
        <f>V61</f>
        <v/>
      </c>
      <c r="T86" s="311">
        <f>Geometry!F25</f>
        <v>0</v>
      </c>
      <c r="U86" s="438">
        <f>IF(S86&gt;R86,(T86/5280)/R94,0)</f>
        <v>0</v>
      </c>
      <c r="V86" s="372"/>
      <c r="W86" s="145">
        <f t="shared" si="4"/>
        <v>10</v>
      </c>
      <c r="X86" s="145">
        <f t="shared" si="5"/>
        <v>0</v>
      </c>
      <c r="Y86" s="371">
        <f t="shared" si="6"/>
        <v>0</v>
      </c>
      <c r="Z86" s="371">
        <f t="shared" si="7"/>
        <v>0</v>
      </c>
      <c r="AA86" s="371">
        <f t="shared" si="8"/>
        <v>0</v>
      </c>
      <c r="AB86" s="371">
        <f t="shared" si="9"/>
        <v>0</v>
      </c>
      <c r="AC86" s="371">
        <f t="shared" si="10"/>
        <v>0</v>
      </c>
      <c r="AD86" s="371">
        <f t="shared" si="11"/>
        <v>0</v>
      </c>
      <c r="AE86" s="371">
        <f t="shared" si="12"/>
        <v>0</v>
      </c>
      <c r="AF86" s="371">
        <f t="shared" si="13"/>
        <v>0</v>
      </c>
      <c r="AG86" s="371">
        <f t="shared" si="14"/>
        <v>0</v>
      </c>
      <c r="AH86" s="372"/>
      <c r="AI86" s="176"/>
      <c r="AJ86" s="176"/>
      <c r="AK86" s="176"/>
      <c r="AL86" s="176"/>
      <c r="AM86" s="176"/>
      <c r="AN86" s="176"/>
      <c r="AO86" s="176"/>
      <c r="AP86" s="176"/>
      <c r="AQ86" s="176"/>
      <c r="AR86" s="176"/>
      <c r="AS86" s="176"/>
      <c r="AT86" s="176"/>
      <c r="AU86" s="176"/>
      <c r="AV86" s="176"/>
      <c r="AW86" s="176"/>
      <c r="AX86" s="176"/>
      <c r="AY86" s="176"/>
      <c r="AZ86" s="176"/>
    </row>
    <row r="87" spans="2:57" ht="15" customHeight="1" x14ac:dyDescent="0.2">
      <c r="B87" s="690"/>
      <c r="C87" s="393"/>
      <c r="D87" s="176"/>
      <c r="E87" s="176"/>
      <c r="F87" s="176"/>
      <c r="G87" s="176"/>
      <c r="H87" s="176"/>
      <c r="I87" s="176"/>
      <c r="J87" s="176"/>
      <c r="K87" s="176"/>
      <c r="L87" s="176"/>
      <c r="M87" s="176"/>
      <c r="N87" s="372"/>
      <c r="O87" s="176"/>
      <c r="P87" s="371">
        <v>10</v>
      </c>
      <c r="Q87" s="311">
        <f>Geometry!E26</f>
        <v>0</v>
      </c>
      <c r="R87" s="434" t="str">
        <f>IF(Q87&gt;0,ROUND(Geometry!W87,0),"")</f>
        <v/>
      </c>
      <c r="S87" s="371" t="str">
        <f>V61</f>
        <v/>
      </c>
      <c r="T87" s="311">
        <f>Geometry!F26</f>
        <v>0</v>
      </c>
      <c r="U87" s="438">
        <f>IF(S87&gt;R87,(T87/5280)/R94,0)</f>
        <v>0</v>
      </c>
      <c r="V87" s="372"/>
      <c r="W87" s="145">
        <f t="shared" si="4"/>
        <v>10</v>
      </c>
      <c r="X87" s="145">
        <f t="shared" si="5"/>
        <v>0</v>
      </c>
      <c r="Y87" s="371">
        <f t="shared" si="6"/>
        <v>0</v>
      </c>
      <c r="Z87" s="371">
        <f t="shared" si="7"/>
        <v>0</v>
      </c>
      <c r="AA87" s="371">
        <f t="shared" si="8"/>
        <v>0</v>
      </c>
      <c r="AB87" s="371">
        <f t="shared" si="9"/>
        <v>0</v>
      </c>
      <c r="AC87" s="371">
        <f t="shared" si="10"/>
        <v>0</v>
      </c>
      <c r="AD87" s="371">
        <f t="shared" si="11"/>
        <v>0</v>
      </c>
      <c r="AE87" s="371">
        <f t="shared" si="12"/>
        <v>0</v>
      </c>
      <c r="AF87" s="371">
        <f t="shared" si="13"/>
        <v>0</v>
      </c>
      <c r="AG87" s="371">
        <f t="shared" si="14"/>
        <v>0</v>
      </c>
      <c r="AH87" s="176"/>
      <c r="AI87" s="176"/>
      <c r="AJ87" s="176"/>
      <c r="AK87" s="176"/>
      <c r="AL87" s="176"/>
      <c r="AM87" s="176"/>
      <c r="AN87" s="176"/>
      <c r="AO87" s="176"/>
      <c r="AP87" s="176"/>
      <c r="AQ87" s="176"/>
      <c r="AR87" s="176"/>
      <c r="AS87" s="176"/>
      <c r="AT87" s="176"/>
      <c r="AU87" s="176"/>
      <c r="AV87" s="176"/>
      <c r="AW87" s="176"/>
      <c r="AX87" s="176"/>
      <c r="AY87" s="176"/>
      <c r="AZ87" s="176"/>
    </row>
    <row r="88" spans="2:57" ht="15" customHeight="1" x14ac:dyDescent="0.2">
      <c r="B88" s="690"/>
      <c r="C88" s="393"/>
      <c r="D88" s="176"/>
      <c r="E88" s="176"/>
      <c r="F88" s="176"/>
      <c r="G88" s="176"/>
      <c r="H88" s="176"/>
      <c r="I88" s="176"/>
      <c r="J88" s="176"/>
      <c r="K88" s="176"/>
      <c r="L88" s="176"/>
      <c r="M88" s="176"/>
      <c r="N88" s="372"/>
      <c r="O88" s="176"/>
      <c r="P88" s="371">
        <v>11</v>
      </c>
      <c r="Q88" s="311">
        <f>Geometry!E27</f>
        <v>0</v>
      </c>
      <c r="R88" s="444" t="str">
        <f>IF(Q88&gt;0,ROUND(Geometry!W88,0),"")</f>
        <v/>
      </c>
      <c r="S88" s="371" t="str">
        <f>V61</f>
        <v/>
      </c>
      <c r="T88" s="311">
        <f>Geometry!F27</f>
        <v>0</v>
      </c>
      <c r="U88" s="438">
        <f>IF(S88&gt;R88,(T88/5280)/R94,0)</f>
        <v>0</v>
      </c>
      <c r="V88" s="372"/>
      <c r="W88" s="145">
        <f t="shared" si="4"/>
        <v>10</v>
      </c>
      <c r="X88" s="145">
        <f t="shared" si="5"/>
        <v>0</v>
      </c>
      <c r="Y88" s="371">
        <f t="shared" si="6"/>
        <v>0</v>
      </c>
      <c r="Z88" s="371">
        <f t="shared" si="7"/>
        <v>0</v>
      </c>
      <c r="AA88" s="371">
        <f t="shared" si="8"/>
        <v>0</v>
      </c>
      <c r="AB88" s="371">
        <f t="shared" si="9"/>
        <v>0</v>
      </c>
      <c r="AC88" s="371">
        <f t="shared" si="10"/>
        <v>0</v>
      </c>
      <c r="AD88" s="371">
        <f t="shared" si="11"/>
        <v>0</v>
      </c>
      <c r="AE88" s="371">
        <f t="shared" si="12"/>
        <v>0</v>
      </c>
      <c r="AF88" s="371">
        <f t="shared" si="13"/>
        <v>0</v>
      </c>
      <c r="AG88" s="371">
        <f t="shared" si="14"/>
        <v>0</v>
      </c>
      <c r="AH88" s="176"/>
      <c r="AI88" s="176"/>
      <c r="AJ88" s="176"/>
      <c r="AK88" s="176"/>
      <c r="AL88" s="176"/>
      <c r="AM88" s="176"/>
      <c r="AN88" s="176"/>
      <c r="AO88" s="176"/>
      <c r="AP88" s="176"/>
      <c r="AQ88" s="176"/>
      <c r="AR88" s="176"/>
      <c r="AS88" s="176"/>
      <c r="AT88" s="176"/>
      <c r="AU88" s="176"/>
      <c r="AV88" s="176"/>
      <c r="AW88" s="176"/>
      <c r="AX88" s="176"/>
      <c r="AY88" s="176"/>
      <c r="AZ88" s="176"/>
    </row>
    <row r="89" spans="2:57" ht="15" customHeight="1" x14ac:dyDescent="0.2">
      <c r="B89" s="690"/>
      <c r="C89" s="176"/>
      <c r="D89" s="176"/>
      <c r="E89" s="176"/>
      <c r="F89" s="176"/>
      <c r="G89" s="176"/>
      <c r="H89" s="176"/>
      <c r="I89" s="176"/>
      <c r="J89" s="176"/>
      <c r="K89" s="176"/>
      <c r="L89" s="176"/>
      <c r="M89" s="176"/>
      <c r="N89" s="372"/>
      <c r="O89" s="176"/>
      <c r="P89" s="371">
        <v>12</v>
      </c>
      <c r="Q89" s="311">
        <f>Geometry!E28</f>
        <v>0</v>
      </c>
      <c r="R89" s="444" t="str">
        <f>IF(Q89&gt;0,ROUND(Geometry!W89,0),"")</f>
        <v/>
      </c>
      <c r="S89" s="371" t="str">
        <f>V61</f>
        <v/>
      </c>
      <c r="T89" s="311">
        <f>Geometry!F28</f>
        <v>0</v>
      </c>
      <c r="U89" s="438">
        <f>IF(S89&gt;R89,(T89/5280)/R94,0)</f>
        <v>0</v>
      </c>
      <c r="V89" s="372"/>
      <c r="W89" s="145">
        <f t="shared" si="4"/>
        <v>10</v>
      </c>
      <c r="X89" s="145">
        <f t="shared" si="5"/>
        <v>0</v>
      </c>
      <c r="Y89" s="371">
        <f t="shared" si="6"/>
        <v>0</v>
      </c>
      <c r="Z89" s="371">
        <f t="shared" si="7"/>
        <v>0</v>
      </c>
      <c r="AA89" s="371">
        <f t="shared" si="8"/>
        <v>0</v>
      </c>
      <c r="AB89" s="371">
        <f t="shared" si="9"/>
        <v>0</v>
      </c>
      <c r="AC89" s="371">
        <f t="shared" si="10"/>
        <v>0</v>
      </c>
      <c r="AD89" s="371">
        <f t="shared" si="11"/>
        <v>0</v>
      </c>
      <c r="AE89" s="371">
        <f t="shared" si="12"/>
        <v>0</v>
      </c>
      <c r="AF89" s="371">
        <f t="shared" si="13"/>
        <v>0</v>
      </c>
      <c r="AG89" s="371">
        <f t="shared" si="14"/>
        <v>0</v>
      </c>
      <c r="AH89" s="176"/>
      <c r="AI89" s="176"/>
      <c r="AJ89" s="176"/>
      <c r="AK89" s="176"/>
      <c r="AL89" s="176"/>
      <c r="AM89" s="176"/>
      <c r="AN89" s="176"/>
      <c r="AO89" s="176"/>
      <c r="AP89" s="176"/>
      <c r="AQ89" s="176"/>
      <c r="AR89" s="176"/>
      <c r="AS89" s="176"/>
      <c r="AT89" s="176"/>
      <c r="AU89" s="176"/>
      <c r="AV89" s="176"/>
      <c r="AW89" s="176"/>
      <c r="AX89" s="176"/>
      <c r="AY89" s="176"/>
      <c r="AZ89" s="176"/>
    </row>
    <row r="90" spans="2:57" ht="15" customHeight="1" x14ac:dyDescent="0.2">
      <c r="B90" s="690"/>
      <c r="C90" s="176"/>
      <c r="D90" s="176"/>
      <c r="E90" s="176"/>
      <c r="F90" s="176"/>
      <c r="G90" s="176"/>
      <c r="H90" s="176"/>
      <c r="I90" s="176"/>
      <c r="J90" s="176"/>
      <c r="K90" s="176"/>
      <c r="L90" s="176"/>
      <c r="M90" s="176"/>
      <c r="N90" s="372"/>
      <c r="O90" s="176"/>
      <c r="P90" s="371">
        <v>13</v>
      </c>
      <c r="Q90" s="311">
        <f>Geometry!E29</f>
        <v>0</v>
      </c>
      <c r="R90" s="434" t="str">
        <f>IF(Q90&gt;0,ROUND(Geometry!W90,0),"")</f>
        <v/>
      </c>
      <c r="S90" s="371" t="str">
        <f>V61</f>
        <v/>
      </c>
      <c r="T90" s="311">
        <f>Geometry!F29</f>
        <v>0</v>
      </c>
      <c r="U90" s="438">
        <f>IF(S90&gt;R90,(T90/5280)/R94,0)</f>
        <v>0</v>
      </c>
      <c r="V90" s="372"/>
      <c r="W90" s="145">
        <f t="shared" si="4"/>
        <v>10</v>
      </c>
      <c r="X90" s="145">
        <f t="shared" si="5"/>
        <v>0</v>
      </c>
      <c r="Y90" s="371">
        <f t="shared" si="6"/>
        <v>0</v>
      </c>
      <c r="Z90" s="371">
        <f t="shared" si="7"/>
        <v>0</v>
      </c>
      <c r="AA90" s="371">
        <f t="shared" si="8"/>
        <v>0</v>
      </c>
      <c r="AB90" s="371">
        <f t="shared" si="9"/>
        <v>0</v>
      </c>
      <c r="AC90" s="371">
        <f t="shared" si="10"/>
        <v>0</v>
      </c>
      <c r="AD90" s="371">
        <f t="shared" si="11"/>
        <v>0</v>
      </c>
      <c r="AE90" s="371">
        <f t="shared" si="12"/>
        <v>0</v>
      </c>
      <c r="AF90" s="371">
        <f t="shared" si="13"/>
        <v>0</v>
      </c>
      <c r="AG90" s="371">
        <f t="shared" si="14"/>
        <v>0</v>
      </c>
      <c r="AH90" s="176"/>
      <c r="AI90" s="176"/>
      <c r="AJ90" s="176"/>
      <c r="AK90" s="176"/>
      <c r="AL90" s="176"/>
      <c r="AM90" s="176"/>
      <c r="AN90" s="176"/>
      <c r="AO90" s="176"/>
      <c r="AP90" s="176"/>
      <c r="AQ90" s="176"/>
      <c r="AR90" s="176"/>
      <c r="AS90" s="176"/>
      <c r="AT90" s="176"/>
      <c r="AU90" s="176"/>
      <c r="AV90" s="176"/>
      <c r="AW90" s="176"/>
      <c r="AX90" s="176"/>
      <c r="AY90" s="176"/>
      <c r="AZ90" s="176"/>
    </row>
    <row r="91" spans="2:57" ht="15" customHeight="1" x14ac:dyDescent="0.2">
      <c r="B91" s="690"/>
      <c r="C91" s="176"/>
      <c r="D91" s="176"/>
      <c r="E91" s="176"/>
      <c r="F91" s="176"/>
      <c r="G91" s="176"/>
      <c r="H91" s="176"/>
      <c r="I91" s="176"/>
      <c r="J91" s="176"/>
      <c r="K91" s="176"/>
      <c r="L91" s="176"/>
      <c r="M91" s="176"/>
      <c r="N91" s="372"/>
      <c r="O91" s="176"/>
      <c r="P91" s="371">
        <v>14</v>
      </c>
      <c r="Q91" s="311">
        <f>Geometry!E30</f>
        <v>0</v>
      </c>
      <c r="R91" s="444" t="str">
        <f>IF(Q91&gt;0,ROUND(Geometry!W91,0),"")</f>
        <v/>
      </c>
      <c r="S91" s="371" t="str">
        <f>V61</f>
        <v/>
      </c>
      <c r="T91" s="311">
        <f>Geometry!F30</f>
        <v>0</v>
      </c>
      <c r="U91" s="438">
        <f>IF(S91&gt;R91,(T91/5280)/R94,0)</f>
        <v>0</v>
      </c>
      <c r="V91" s="372"/>
      <c r="W91" s="145">
        <f t="shared" si="4"/>
        <v>10</v>
      </c>
      <c r="X91" s="145">
        <f t="shared" si="5"/>
        <v>0</v>
      </c>
      <c r="Y91" s="371">
        <f t="shared" si="6"/>
        <v>0</v>
      </c>
      <c r="Z91" s="371">
        <f t="shared" si="7"/>
        <v>0</v>
      </c>
      <c r="AA91" s="371">
        <f t="shared" si="8"/>
        <v>0</v>
      </c>
      <c r="AB91" s="371">
        <f t="shared" si="9"/>
        <v>0</v>
      </c>
      <c r="AC91" s="371">
        <f t="shared" si="10"/>
        <v>0</v>
      </c>
      <c r="AD91" s="371">
        <f t="shared" si="11"/>
        <v>0</v>
      </c>
      <c r="AE91" s="371">
        <f t="shared" si="12"/>
        <v>0</v>
      </c>
      <c r="AF91" s="371">
        <f t="shared" si="13"/>
        <v>0</v>
      </c>
      <c r="AG91" s="371">
        <f t="shared" si="14"/>
        <v>0</v>
      </c>
      <c r="AH91" s="176"/>
      <c r="AI91" s="176"/>
      <c r="AJ91" s="176"/>
      <c r="AK91" s="176"/>
      <c r="AL91" s="176"/>
      <c r="AM91" s="176"/>
      <c r="AN91" s="176"/>
      <c r="AO91" s="176"/>
      <c r="AP91" s="176"/>
      <c r="AQ91" s="176"/>
      <c r="AR91" s="176"/>
      <c r="AS91" s="176"/>
      <c r="AT91" s="176"/>
      <c r="AU91" s="176"/>
      <c r="AV91" s="176"/>
      <c r="AW91" s="176"/>
      <c r="AX91" s="176"/>
      <c r="AY91" s="176"/>
      <c r="AZ91" s="176"/>
    </row>
    <row r="92" spans="2:57" ht="15" customHeight="1" x14ac:dyDescent="0.2">
      <c r="B92" s="690"/>
      <c r="C92" s="176"/>
      <c r="D92" s="176"/>
      <c r="E92" s="176"/>
      <c r="F92" s="176"/>
      <c r="G92" s="176"/>
      <c r="H92" s="176"/>
      <c r="I92" s="176"/>
      <c r="J92" s="176"/>
      <c r="K92" s="176"/>
      <c r="L92" s="176"/>
      <c r="M92" s="176"/>
      <c r="N92" s="372"/>
      <c r="O92" s="176"/>
      <c r="P92" s="372"/>
      <c r="Q92" s="372"/>
      <c r="R92" s="372"/>
      <c r="S92" s="310" t="s">
        <v>204</v>
      </c>
      <c r="T92" s="446">
        <f>SUM(T78:T91)</f>
        <v>0</v>
      </c>
      <c r="U92" s="438">
        <f>SUM(U78:U91)</f>
        <v>0</v>
      </c>
      <c r="V92" s="372" t="s">
        <v>82</v>
      </c>
      <c r="W92" s="371"/>
      <c r="X92" s="371"/>
      <c r="Y92" s="176"/>
      <c r="Z92" s="176"/>
      <c r="AA92" s="176"/>
      <c r="AB92" s="176"/>
      <c r="AC92" s="176"/>
      <c r="AD92" s="176"/>
      <c r="AE92" s="176"/>
      <c r="AF92" s="176"/>
      <c r="AG92" s="176"/>
      <c r="AH92" s="176"/>
      <c r="AI92" s="176"/>
      <c r="AJ92" s="176"/>
      <c r="AK92" s="176"/>
      <c r="AL92" s="176"/>
      <c r="AM92" s="176"/>
      <c r="AN92" s="176"/>
      <c r="AO92" s="176"/>
      <c r="AP92" s="176"/>
      <c r="AQ92" s="176"/>
      <c r="AR92" s="176"/>
      <c r="AS92" s="176"/>
      <c r="AT92" s="176"/>
      <c r="AU92" s="176"/>
      <c r="AV92" s="176"/>
      <c r="AW92" s="176"/>
      <c r="AX92" s="176"/>
      <c r="AY92" s="176"/>
      <c r="AZ92" s="176"/>
    </row>
    <row r="93" spans="2:57" ht="15" customHeight="1" x14ac:dyDescent="0.2">
      <c r="B93" s="690"/>
      <c r="C93" s="447"/>
      <c r="D93" s="176"/>
      <c r="E93" s="176"/>
      <c r="F93" s="176"/>
      <c r="G93" s="176"/>
      <c r="H93" s="176"/>
      <c r="I93" s="176"/>
      <c r="J93" s="176"/>
      <c r="K93" s="176"/>
      <c r="L93" s="176"/>
      <c r="M93" s="176"/>
      <c r="N93" s="372"/>
      <c r="O93" s="176"/>
      <c r="P93" s="372"/>
      <c r="Q93" s="372"/>
      <c r="R93" s="371"/>
      <c r="S93" s="310" t="s">
        <v>203</v>
      </c>
      <c r="T93" s="385">
        <f>T92/5280</f>
        <v>0</v>
      </c>
      <c r="U93" s="372"/>
      <c r="V93" s="372"/>
      <c r="W93" s="371"/>
      <c r="X93" s="371"/>
      <c r="Y93" s="176"/>
      <c r="Z93" s="176"/>
      <c r="AA93" s="176"/>
      <c r="AB93" s="176"/>
      <c r="AC93" s="176"/>
      <c r="AD93" s="176"/>
      <c r="AE93" s="176"/>
      <c r="AF93" s="176"/>
      <c r="AG93" s="176"/>
      <c r="AH93" s="176"/>
      <c r="AI93" s="176"/>
      <c r="AJ93" s="176"/>
      <c r="AK93" s="176"/>
      <c r="AL93" s="176"/>
      <c r="AM93" s="176"/>
      <c r="AN93" s="176"/>
      <c r="AO93" s="176"/>
      <c r="AP93" s="176"/>
      <c r="AQ93" s="176"/>
      <c r="AR93" s="176"/>
      <c r="AS93" s="176"/>
      <c r="AT93" s="176"/>
      <c r="AU93" s="176"/>
      <c r="AV93" s="176"/>
      <c r="AW93" s="176"/>
      <c r="AX93" s="176"/>
      <c r="AY93" s="176"/>
      <c r="AZ93" s="176"/>
    </row>
    <row r="94" spans="2:57" ht="15" customHeight="1" x14ac:dyDescent="0.2">
      <c r="B94" s="690"/>
      <c r="C94" s="176"/>
      <c r="D94" s="176"/>
      <c r="E94" s="176"/>
      <c r="F94" s="176"/>
      <c r="G94" s="176"/>
      <c r="H94" s="176"/>
      <c r="I94" s="176"/>
      <c r="J94" s="176"/>
      <c r="K94" s="176"/>
      <c r="L94" s="176"/>
      <c r="M94" s="176"/>
      <c r="N94" s="372"/>
      <c r="O94" s="176"/>
      <c r="P94" s="372"/>
      <c r="Q94" s="310" t="s">
        <v>194</v>
      </c>
      <c r="R94" s="385">
        <f>'Traffic &amp; Accidents'!G14</f>
        <v>0</v>
      </c>
      <c r="S94" s="372"/>
      <c r="T94" s="372"/>
      <c r="U94" s="372"/>
      <c r="V94" s="372"/>
      <c r="W94" s="371"/>
      <c r="X94" s="371"/>
      <c r="Y94" s="176"/>
      <c r="Z94" s="176"/>
      <c r="AA94" s="145"/>
      <c r="AB94" s="145"/>
      <c r="AC94" s="176"/>
      <c r="AD94" s="176"/>
      <c r="AE94" s="176"/>
      <c r="AF94" s="176"/>
      <c r="AG94" s="176"/>
      <c r="AH94" s="176"/>
      <c r="AI94" s="176"/>
      <c r="AJ94" s="176"/>
      <c r="AK94" s="176"/>
      <c r="AL94" s="176"/>
      <c r="AM94" s="176"/>
      <c r="AN94" s="176"/>
      <c r="AO94" s="176"/>
      <c r="AP94" s="176"/>
      <c r="AQ94" s="176"/>
      <c r="AR94" s="176"/>
      <c r="AS94" s="176"/>
      <c r="AT94" s="176"/>
      <c r="AU94" s="176"/>
      <c r="AV94" s="176"/>
      <c r="AW94" s="176"/>
      <c r="AX94" s="176"/>
      <c r="AY94" s="176"/>
      <c r="AZ94" s="176"/>
    </row>
    <row r="95" spans="2:57" ht="15" customHeight="1" x14ac:dyDescent="0.2">
      <c r="B95" s="690"/>
      <c r="C95" s="176"/>
      <c r="D95" s="176"/>
      <c r="E95" s="176"/>
      <c r="F95" s="176"/>
      <c r="G95" s="176"/>
      <c r="H95" s="176"/>
      <c r="I95" s="176"/>
      <c r="J95" s="176"/>
      <c r="K95" s="176"/>
      <c r="L95" s="176"/>
      <c r="M95" s="176"/>
      <c r="N95" s="372"/>
      <c r="O95" s="176"/>
      <c r="P95" s="372"/>
      <c r="Q95" s="372"/>
      <c r="R95" s="371"/>
      <c r="S95" s="372"/>
      <c r="T95" s="372"/>
      <c r="U95" s="372"/>
      <c r="V95" s="372"/>
      <c r="W95" s="372"/>
      <c r="X95" s="372"/>
      <c r="Y95" s="176"/>
      <c r="Z95" s="176"/>
      <c r="AA95" s="176"/>
      <c r="AB95" s="176"/>
      <c r="AC95" s="176"/>
      <c r="AD95" s="176"/>
      <c r="AE95" s="176"/>
      <c r="AF95" s="176"/>
      <c r="AG95" s="176"/>
      <c r="AH95" s="176"/>
      <c r="AI95" s="176"/>
      <c r="AJ95" s="176"/>
      <c r="AK95" s="176"/>
      <c r="AL95" s="176"/>
      <c r="AM95" s="176"/>
      <c r="AN95" s="176"/>
      <c r="AO95" s="176"/>
      <c r="AP95" s="176"/>
      <c r="AQ95" s="176"/>
      <c r="AR95" s="176"/>
      <c r="AS95" s="176"/>
      <c r="AT95" s="176"/>
      <c r="AU95" s="176"/>
      <c r="AV95" s="176"/>
      <c r="AW95" s="176"/>
      <c r="AX95" s="176"/>
      <c r="AY95" s="176"/>
      <c r="AZ95" s="176"/>
    </row>
    <row r="96" spans="2:57" ht="15" customHeight="1" x14ac:dyDescent="0.25">
      <c r="B96" s="690"/>
      <c r="C96" s="448" t="s">
        <v>5</v>
      </c>
      <c r="D96" s="176"/>
      <c r="E96" s="176"/>
      <c r="F96" s="176"/>
      <c r="G96" s="176"/>
      <c r="H96" s="176"/>
      <c r="I96" s="176"/>
      <c r="J96" s="176"/>
      <c r="K96" s="176"/>
      <c r="L96" s="176"/>
      <c r="M96" s="176"/>
      <c r="N96" s="372"/>
      <c r="O96" s="176"/>
      <c r="P96" s="372"/>
      <c r="Q96" s="372"/>
      <c r="R96" s="371"/>
      <c r="S96" s="372" t="s">
        <v>201</v>
      </c>
      <c r="T96" s="372"/>
      <c r="U96" s="449" t="s">
        <v>471</v>
      </c>
      <c r="V96" s="372"/>
      <c r="W96" s="372"/>
      <c r="X96" s="372"/>
      <c r="Y96" s="176"/>
      <c r="Z96" s="176"/>
      <c r="AA96" s="176"/>
      <c r="AB96" s="176"/>
      <c r="AC96" s="176"/>
      <c r="AD96" s="176"/>
      <c r="AE96" s="176"/>
      <c r="AF96" s="176"/>
      <c r="AG96" s="176"/>
      <c r="AH96" s="176"/>
      <c r="AI96" s="176"/>
      <c r="AJ96" s="176"/>
      <c r="AK96" s="176"/>
      <c r="AL96" s="176"/>
      <c r="AM96" s="176"/>
      <c r="AN96" s="176"/>
      <c r="AO96" s="176"/>
      <c r="AP96" s="176"/>
      <c r="AQ96" s="176"/>
      <c r="AR96" s="176"/>
      <c r="AS96" s="176"/>
      <c r="AT96" s="176"/>
      <c r="AU96" s="176"/>
      <c r="AV96" s="176"/>
      <c r="AW96" s="176"/>
      <c r="AX96" s="176"/>
      <c r="AY96" s="176"/>
      <c r="AZ96" s="176"/>
    </row>
    <row r="97" spans="1:44" ht="15" customHeight="1" x14ac:dyDescent="0.2">
      <c r="D97" s="176"/>
      <c r="E97" s="176"/>
      <c r="F97" s="176"/>
      <c r="G97" s="176"/>
      <c r="H97" s="176"/>
      <c r="I97" s="176"/>
      <c r="J97" s="176"/>
      <c r="K97" s="176"/>
      <c r="L97" s="176"/>
      <c r="M97" s="176"/>
      <c r="N97" s="372"/>
      <c r="O97" s="176"/>
      <c r="P97" s="372"/>
      <c r="Q97" s="372"/>
      <c r="R97" s="371"/>
      <c r="S97" s="423">
        <f>IF((U92/2)*100&gt;5,5,(U92/2)*100)</f>
        <v>0</v>
      </c>
      <c r="T97" s="372"/>
      <c r="U97" s="372" t="s">
        <v>202</v>
      </c>
      <c r="V97" s="372"/>
      <c r="W97" s="372"/>
      <c r="X97" s="372"/>
      <c r="Y97" s="176"/>
      <c r="Z97" s="176"/>
      <c r="AA97" s="176"/>
      <c r="AB97" s="176"/>
      <c r="AC97" s="176"/>
      <c r="AD97" s="176"/>
      <c r="AE97" s="176"/>
      <c r="AF97" s="176"/>
      <c r="AG97" s="176"/>
      <c r="AH97" s="176"/>
    </row>
    <row r="98" spans="1:44" ht="15" customHeight="1" x14ac:dyDescent="0.2">
      <c r="D98" s="176"/>
      <c r="E98" s="176"/>
      <c r="F98" s="176"/>
      <c r="G98" s="176"/>
      <c r="H98" s="176"/>
      <c r="I98" s="176"/>
      <c r="J98" s="176"/>
      <c r="K98" s="176"/>
      <c r="L98" s="176"/>
      <c r="M98" s="176"/>
      <c r="N98" s="372"/>
      <c r="O98" s="176"/>
      <c r="P98" s="372"/>
      <c r="Q98" s="372"/>
      <c r="R98" s="371"/>
      <c r="S98" s="372"/>
      <c r="T98" s="372"/>
      <c r="U98" s="372"/>
      <c r="V98" s="372"/>
      <c r="W98" s="372"/>
      <c r="X98" s="372"/>
      <c r="Y98" s="176"/>
      <c r="Z98" s="176"/>
      <c r="AA98" s="176"/>
      <c r="AB98" s="176"/>
      <c r="AC98" s="176"/>
      <c r="AD98" s="176"/>
      <c r="AE98" s="176"/>
      <c r="AF98" s="176"/>
      <c r="AG98" s="176"/>
      <c r="AH98" s="176"/>
    </row>
    <row r="99" spans="1:44" ht="15" customHeight="1" x14ac:dyDescent="0.2">
      <c r="D99" s="176"/>
      <c r="E99" s="176"/>
      <c r="F99" s="176"/>
      <c r="G99" s="176"/>
      <c r="H99" s="176"/>
      <c r="I99" s="176"/>
      <c r="J99" s="176"/>
      <c r="K99" s="176"/>
      <c r="L99" s="176"/>
      <c r="M99" s="176"/>
      <c r="N99" s="372"/>
    </row>
    <row r="100" spans="1:44" ht="15" customHeight="1" x14ac:dyDescent="0.2">
      <c r="D100" s="176"/>
      <c r="E100" s="176"/>
      <c r="F100" s="176"/>
      <c r="G100" s="176"/>
      <c r="H100" s="176"/>
      <c r="I100" s="176"/>
      <c r="J100" s="176"/>
      <c r="K100" s="176"/>
      <c r="L100" s="176"/>
      <c r="M100" s="176"/>
      <c r="N100" s="372"/>
    </row>
    <row r="101" spans="1:44" ht="15" customHeight="1" x14ac:dyDescent="0.2">
      <c r="D101" s="176"/>
      <c r="E101" s="176"/>
      <c r="F101" s="176"/>
      <c r="G101" s="176"/>
      <c r="H101" s="176"/>
      <c r="I101" s="176"/>
      <c r="J101" s="176"/>
      <c r="K101" s="176"/>
      <c r="L101" s="176"/>
      <c r="M101" s="176"/>
      <c r="N101" s="372"/>
    </row>
    <row r="102" spans="1:44" ht="15" customHeight="1" x14ac:dyDescent="0.2">
      <c r="D102" s="176"/>
      <c r="E102" s="176"/>
      <c r="F102" s="176"/>
      <c r="G102" s="176"/>
      <c r="H102" s="176"/>
      <c r="I102" s="176"/>
      <c r="J102" s="176"/>
      <c r="K102" s="176"/>
      <c r="L102" s="176"/>
      <c r="M102" s="176"/>
      <c r="N102" s="372"/>
    </row>
    <row r="103" spans="1:44" ht="15" customHeight="1" x14ac:dyDescent="0.2">
      <c r="D103" s="176"/>
      <c r="E103" s="176"/>
      <c r="F103" s="176"/>
      <c r="G103" s="176"/>
      <c r="H103" s="176"/>
      <c r="I103" s="176"/>
      <c r="J103" s="176"/>
      <c r="K103" s="176"/>
      <c r="L103" s="176"/>
      <c r="M103" s="176"/>
      <c r="N103" s="372"/>
    </row>
    <row r="104" spans="1:44" ht="15" customHeight="1" x14ac:dyDescent="0.2">
      <c r="D104" s="176"/>
      <c r="E104" s="176"/>
      <c r="F104" s="176"/>
      <c r="G104" s="176"/>
      <c r="H104" s="176"/>
      <c r="I104" s="176"/>
      <c r="J104" s="176"/>
      <c r="K104" s="176"/>
      <c r="L104" s="176"/>
      <c r="M104" s="176"/>
      <c r="N104" s="372"/>
    </row>
    <row r="105" spans="1:44" ht="15" customHeight="1" x14ac:dyDescent="0.2">
      <c r="D105" s="176"/>
      <c r="E105" s="176"/>
      <c r="F105" s="176"/>
      <c r="G105" s="176"/>
      <c r="H105" s="176"/>
      <c r="I105" s="176"/>
      <c r="J105" s="176"/>
      <c r="K105" s="176"/>
      <c r="L105" s="176"/>
      <c r="M105" s="176"/>
      <c r="N105" s="372"/>
      <c r="O105" s="176"/>
      <c r="P105" s="176"/>
      <c r="Q105" s="176"/>
      <c r="R105" s="176"/>
      <c r="S105" s="176"/>
      <c r="T105" s="145"/>
      <c r="U105" s="145"/>
      <c r="V105" s="145"/>
      <c r="W105" s="176"/>
      <c r="X105" s="176"/>
      <c r="Y105" s="176"/>
      <c r="Z105" s="176"/>
      <c r="AA105" s="176"/>
      <c r="AB105" s="176"/>
      <c r="AC105" s="176"/>
    </row>
    <row r="106" spans="1:44" ht="15" customHeight="1" x14ac:dyDescent="0.2">
      <c r="D106" s="176"/>
      <c r="E106" s="176"/>
      <c r="F106" s="176"/>
      <c r="G106" s="176"/>
      <c r="H106" s="176"/>
      <c r="I106" s="176"/>
      <c r="J106" s="176"/>
      <c r="K106" s="176"/>
      <c r="L106" s="176"/>
      <c r="M106" s="176"/>
      <c r="N106" s="372"/>
      <c r="O106" s="176"/>
      <c r="P106" s="176"/>
      <c r="Q106" s="176"/>
      <c r="R106" s="176"/>
      <c r="S106" s="176"/>
      <c r="T106" s="145"/>
      <c r="U106" s="145"/>
      <c r="V106" s="145"/>
      <c r="W106" s="176"/>
      <c r="X106" s="176"/>
      <c r="Y106" s="176"/>
      <c r="Z106" s="176"/>
      <c r="AA106" s="176"/>
      <c r="AB106" s="176"/>
      <c r="AC106" s="176"/>
    </row>
    <row r="107" spans="1:44" ht="15" customHeight="1" x14ac:dyDescent="0.2">
      <c r="A107" s="690"/>
      <c r="D107" s="176"/>
      <c r="E107" s="176"/>
      <c r="F107" s="176"/>
      <c r="G107" s="176"/>
      <c r="H107" s="176"/>
      <c r="I107" s="176"/>
      <c r="J107" s="176"/>
      <c r="K107" s="176"/>
      <c r="L107" s="176"/>
      <c r="M107" s="176"/>
      <c r="N107" s="372"/>
      <c r="O107" s="176"/>
      <c r="P107" s="176"/>
      <c r="Q107" s="176"/>
      <c r="R107" s="176"/>
      <c r="S107" s="176"/>
      <c r="T107" s="450"/>
      <c r="U107" s="451" t="s">
        <v>134</v>
      </c>
      <c r="V107" s="452"/>
      <c r="W107" s="452"/>
      <c r="X107" s="404" t="s">
        <v>225</v>
      </c>
      <c r="Y107" s="176"/>
      <c r="Z107" s="176"/>
      <c r="AA107" s="176"/>
      <c r="AB107" s="176"/>
      <c r="AC107" s="176"/>
    </row>
    <row r="108" spans="1:44" ht="15" customHeight="1" thickBot="1" x14ac:dyDescent="0.25">
      <c r="A108" s="690"/>
      <c r="D108" s="176"/>
      <c r="E108" s="176"/>
      <c r="F108" s="176"/>
      <c r="G108" s="176"/>
      <c r="H108" s="176"/>
      <c r="I108" s="176"/>
      <c r="J108" s="176"/>
      <c r="K108" s="176"/>
      <c r="L108" s="176"/>
      <c r="M108" s="176"/>
      <c r="N108" s="372"/>
      <c r="O108" s="176"/>
      <c r="P108" s="176"/>
      <c r="Q108" s="453"/>
      <c r="R108" s="416" t="s">
        <v>135</v>
      </c>
      <c r="S108" s="176"/>
      <c r="T108" s="453"/>
      <c r="U108" s="454"/>
      <c r="V108" s="145"/>
      <c r="W108" s="453"/>
      <c r="X108" s="453"/>
      <c r="Y108" s="176"/>
      <c r="Z108" s="176"/>
      <c r="AA108" s="176"/>
      <c r="AB108" s="145"/>
      <c r="AC108" s="176"/>
    </row>
    <row r="109" spans="1:44" ht="15" customHeight="1" thickTop="1" x14ac:dyDescent="0.25">
      <c r="A109" s="690"/>
      <c r="D109" s="445"/>
      <c r="E109" s="445"/>
      <c r="F109" s="445"/>
      <c r="G109" s="445"/>
      <c r="H109" s="445"/>
      <c r="I109" s="445"/>
      <c r="J109" s="445"/>
      <c r="K109" s="445"/>
      <c r="L109" s="445"/>
      <c r="M109" s="445"/>
      <c r="N109" s="372"/>
      <c r="O109" s="176"/>
      <c r="P109" s="176"/>
      <c r="Q109" s="455"/>
      <c r="R109" s="145" t="s">
        <v>136</v>
      </c>
      <c r="S109" s="176"/>
      <c r="T109" s="176"/>
      <c r="U109" s="454"/>
      <c r="V109" s="453"/>
      <c r="W109" s="176"/>
      <c r="X109" s="176"/>
      <c r="Y109" s="176"/>
      <c r="Z109" s="176"/>
      <c r="AA109" s="176"/>
      <c r="AB109" s="145"/>
      <c r="AC109" s="176"/>
      <c r="AE109" s="456"/>
      <c r="AF109" s="457"/>
      <c r="AG109" s="457"/>
      <c r="AH109" s="457"/>
      <c r="AI109" s="457"/>
      <c r="AJ109" s="430"/>
      <c r="AK109" s="430"/>
      <c r="AL109" s="430"/>
      <c r="AM109" s="457"/>
      <c r="AN109" s="457"/>
      <c r="AO109" s="457"/>
      <c r="AP109" s="457"/>
      <c r="AQ109" s="457"/>
      <c r="AR109" s="458"/>
    </row>
    <row r="110" spans="1:44" ht="15" customHeight="1" x14ac:dyDescent="0.25">
      <c r="A110" s="690"/>
      <c r="D110" s="372"/>
      <c r="E110" s="372"/>
      <c r="F110" s="372"/>
      <c r="G110" s="372"/>
      <c r="H110" s="372"/>
      <c r="I110" s="372"/>
      <c r="J110" s="372"/>
      <c r="K110" s="372"/>
      <c r="L110" s="372"/>
      <c r="M110" s="372"/>
      <c r="N110" s="372"/>
      <c r="O110" s="176"/>
      <c r="P110" s="176"/>
      <c r="Q110" s="455"/>
      <c r="R110" s="455"/>
      <c r="S110" s="176"/>
      <c r="T110" s="176"/>
      <c r="U110" s="311">
        <f>Geometry!L74</f>
        <v>0</v>
      </c>
      <c r="V110" s="176" t="s">
        <v>137</v>
      </c>
      <c r="W110" s="176"/>
      <c r="X110" s="176"/>
      <c r="Y110" s="176"/>
      <c r="Z110" s="176"/>
      <c r="AA110" s="176"/>
      <c r="AB110" s="145"/>
      <c r="AC110" s="176"/>
      <c r="AE110" s="459"/>
      <c r="AF110" s="372"/>
      <c r="AG110" s="372"/>
      <c r="AH110" s="372"/>
      <c r="AI110" s="460"/>
      <c r="AJ110" s="371"/>
      <c r="AK110" s="461" t="s">
        <v>419</v>
      </c>
      <c r="AL110" s="371"/>
      <c r="AM110" s="372"/>
      <c r="AN110" s="372"/>
      <c r="AO110" s="372"/>
      <c r="AP110" s="372"/>
      <c r="AQ110" s="460"/>
      <c r="AR110" s="462"/>
    </row>
    <row r="111" spans="1:44" ht="15" customHeight="1" x14ac:dyDescent="0.25">
      <c r="A111" s="690"/>
      <c r="D111" s="419" t="s">
        <v>164</v>
      </c>
      <c r="E111" s="420"/>
      <c r="F111" s="420"/>
      <c r="G111" s="420"/>
      <c r="H111" s="420"/>
      <c r="I111" s="176" t="s">
        <v>165</v>
      </c>
      <c r="J111" s="176"/>
      <c r="K111" s="176"/>
      <c r="L111" s="176"/>
      <c r="M111" s="176"/>
      <c r="N111" s="372"/>
      <c r="O111" s="176"/>
      <c r="P111" s="415"/>
      <c r="Q111" s="418" t="s">
        <v>138</v>
      </c>
      <c r="R111" s="418" t="s">
        <v>139</v>
      </c>
      <c r="S111" s="418" t="s">
        <v>140</v>
      </c>
      <c r="T111" s="415"/>
      <c r="U111" s="415"/>
      <c r="V111" s="415"/>
      <c r="W111" s="415"/>
      <c r="X111" s="463"/>
      <c r="Y111" s="176"/>
      <c r="Z111" s="176"/>
      <c r="AA111" s="176"/>
      <c r="AB111" s="176"/>
      <c r="AC111" s="176"/>
      <c r="AE111" s="464"/>
      <c r="AF111" s="460"/>
      <c r="AG111" s="460"/>
      <c r="AH111" s="460"/>
      <c r="AI111" s="460"/>
      <c r="AJ111" s="460"/>
      <c r="AK111" s="460"/>
      <c r="AL111" s="460"/>
      <c r="AM111" s="460"/>
      <c r="AN111" s="460"/>
      <c r="AO111" s="460"/>
      <c r="AP111" s="460"/>
      <c r="AQ111" s="460"/>
      <c r="AR111" s="462"/>
    </row>
    <row r="112" spans="1:44" ht="15" customHeight="1" x14ac:dyDescent="0.25">
      <c r="A112" s="690"/>
      <c r="D112" s="176"/>
      <c r="E112" s="176"/>
      <c r="F112" s="465">
        <v>1</v>
      </c>
      <c r="G112" s="176"/>
      <c r="H112" s="176"/>
      <c r="I112" s="176" t="s">
        <v>167</v>
      </c>
      <c r="J112" s="176"/>
      <c r="K112" s="176"/>
      <c r="L112" s="176"/>
      <c r="M112" s="176"/>
      <c r="N112" s="372"/>
      <c r="O112" s="176"/>
      <c r="P112" s="176"/>
      <c r="Q112" s="176" t="s">
        <v>141</v>
      </c>
      <c r="R112" s="145" t="s">
        <v>142</v>
      </c>
      <c r="S112" s="176" t="s">
        <v>141</v>
      </c>
      <c r="T112" s="176"/>
      <c r="U112" s="176"/>
      <c r="V112" s="176"/>
      <c r="W112" s="176"/>
      <c r="X112" s="466"/>
      <c r="Y112" s="176"/>
      <c r="Z112" s="176"/>
      <c r="AA112" s="176"/>
      <c r="AB112" s="176"/>
      <c r="AC112" s="176"/>
      <c r="AE112" s="464"/>
      <c r="AF112" s="460"/>
      <c r="AG112" s="460"/>
      <c r="AH112" s="460"/>
      <c r="AI112" s="460"/>
      <c r="AJ112" s="460"/>
      <c r="AK112" s="460"/>
      <c r="AL112" s="460"/>
      <c r="AM112" s="460"/>
      <c r="AN112" s="460"/>
      <c r="AO112" s="460"/>
      <c r="AP112" s="460"/>
      <c r="AQ112" s="460"/>
      <c r="AR112" s="462"/>
    </row>
    <row r="113" spans="1:44" ht="15" customHeight="1" x14ac:dyDescent="0.25">
      <c r="A113" s="690"/>
      <c r="D113" s="176"/>
      <c r="E113" s="705" t="s">
        <v>168</v>
      </c>
      <c r="F113" s="176"/>
      <c r="G113" s="706" t="s">
        <v>169</v>
      </c>
      <c r="H113" s="176"/>
      <c r="I113" s="176" t="s">
        <v>170</v>
      </c>
      <c r="J113" s="176"/>
      <c r="K113" s="176"/>
      <c r="L113" s="176"/>
      <c r="M113" s="176"/>
      <c r="N113" s="372"/>
      <c r="O113" s="176"/>
      <c r="P113" s="467" t="s">
        <v>143</v>
      </c>
      <c r="Q113" s="402" t="s">
        <v>144</v>
      </c>
      <c r="R113" s="415" t="s">
        <v>145</v>
      </c>
      <c r="S113" s="402" t="s">
        <v>146</v>
      </c>
      <c r="T113" s="415"/>
      <c r="U113" s="415"/>
      <c r="V113" s="415"/>
      <c r="W113" s="415"/>
      <c r="X113" s="402"/>
      <c r="Y113" s="467" t="s">
        <v>147</v>
      </c>
      <c r="Z113" s="176"/>
      <c r="AA113" s="145"/>
      <c r="AB113" s="176"/>
      <c r="AC113" s="176"/>
      <c r="AE113" s="464"/>
      <c r="AF113" s="372"/>
      <c r="AG113" s="372"/>
      <c r="AH113" s="372"/>
      <c r="AI113" s="372"/>
      <c r="AJ113" s="372"/>
      <c r="AK113" s="371"/>
      <c r="AL113" s="371"/>
      <c r="AM113" s="371"/>
      <c r="AN113" s="372"/>
      <c r="AO113" s="372"/>
      <c r="AP113" s="372"/>
      <c r="AQ113" s="372"/>
      <c r="AR113" s="462"/>
    </row>
    <row r="114" spans="1:44" ht="15" customHeight="1" x14ac:dyDescent="0.25">
      <c r="A114" s="690"/>
      <c r="D114" s="393"/>
      <c r="E114" s="705"/>
      <c r="F114" s="468"/>
      <c r="G114" s="706"/>
      <c r="H114" s="469" t="s">
        <v>171</v>
      </c>
      <c r="I114" s="176"/>
      <c r="J114" s="176"/>
      <c r="K114" s="176"/>
      <c r="L114" s="176"/>
      <c r="M114" s="176"/>
      <c r="N114" s="372"/>
      <c r="O114" s="176"/>
      <c r="P114" s="145">
        <v>1</v>
      </c>
      <c r="Q114" s="311">
        <f>Geometry!N17</f>
        <v>0</v>
      </c>
      <c r="R114" s="311">
        <f>Geometry!M17</f>
        <v>0</v>
      </c>
      <c r="S114" s="434" t="str">
        <f>IF(R114=4,P135,T114)</f>
        <v/>
      </c>
      <c r="T114" s="145" t="str">
        <f>IF(R114=6,Q135,U114)</f>
        <v/>
      </c>
      <c r="U114" s="145" t="str">
        <f>IF(R114=8,R135,V114)</f>
        <v/>
      </c>
      <c r="V114" s="145" t="str">
        <f>IF(R114=10,S135,W114)</f>
        <v/>
      </c>
      <c r="W114" s="145" t="str">
        <f>IF(R114=12,T135,"")</f>
        <v/>
      </c>
      <c r="X114" s="145"/>
      <c r="Y114" s="145">
        <f t="shared" ref="Y114:Y127" si="15">IF(AND(Q114&lt;&gt;"",Q114&gt;S114),Q114-S114,0)</f>
        <v>0</v>
      </c>
      <c r="Z114" s="145"/>
      <c r="AA114" s="145"/>
      <c r="AB114" s="176"/>
      <c r="AC114" s="176"/>
      <c r="AE114" s="464"/>
      <c r="AF114" s="372"/>
      <c r="AG114" s="372"/>
      <c r="AH114" s="372"/>
      <c r="AI114" s="372"/>
      <c r="AJ114" s="372"/>
      <c r="AK114" s="470" t="s">
        <v>134</v>
      </c>
      <c r="AL114" s="371"/>
      <c r="AM114" s="371"/>
      <c r="AN114" s="471" t="s">
        <v>224</v>
      </c>
      <c r="AO114" s="372"/>
      <c r="AP114" s="372"/>
      <c r="AQ114" s="372"/>
      <c r="AR114" s="462"/>
    </row>
    <row r="115" spans="1:44" ht="15" customHeight="1" x14ac:dyDescent="0.25">
      <c r="A115" s="690"/>
      <c r="D115" s="393"/>
      <c r="E115" s="176"/>
      <c r="F115" s="465" t="s">
        <v>172</v>
      </c>
      <c r="G115" s="145"/>
      <c r="H115" s="176"/>
      <c r="I115" s="176"/>
      <c r="J115" s="176"/>
      <c r="K115" s="176"/>
      <c r="L115" s="176"/>
      <c r="M115" s="176"/>
      <c r="N115" s="372"/>
      <c r="O115" s="176"/>
      <c r="P115" s="145">
        <v>2</v>
      </c>
      <c r="Q115" s="311">
        <f>Geometry!N18</f>
        <v>0</v>
      </c>
      <c r="R115" s="311">
        <f>Geometry!M18</f>
        <v>0</v>
      </c>
      <c r="S115" s="444" t="str">
        <f>IF(R115=4,P135,T115)</f>
        <v/>
      </c>
      <c r="T115" s="145" t="str">
        <f>IF(R115=6,Q135,U115)</f>
        <v/>
      </c>
      <c r="U115" s="145" t="str">
        <f>IF(R115=8,R135,V115)</f>
        <v/>
      </c>
      <c r="V115" s="145" t="str">
        <f>IF(R115=10,S135,W115)</f>
        <v/>
      </c>
      <c r="W115" s="145" t="str">
        <f>IF(R115=12,T135,"")</f>
        <v/>
      </c>
      <c r="X115" s="145"/>
      <c r="Y115" s="145">
        <f t="shared" si="15"/>
        <v>0</v>
      </c>
      <c r="Z115" s="145"/>
      <c r="AA115" s="176"/>
      <c r="AB115" s="176"/>
      <c r="AC115" s="176"/>
      <c r="AE115" s="464"/>
      <c r="AF115" s="372"/>
      <c r="AG115" s="366"/>
      <c r="AH115" s="308" t="s">
        <v>135</v>
      </c>
      <c r="AI115" s="372"/>
      <c r="AJ115" s="366"/>
      <c r="AK115" s="300"/>
      <c r="AL115" s="371"/>
      <c r="AM115" s="366"/>
      <c r="AN115" s="366"/>
      <c r="AO115" s="372"/>
      <c r="AP115" s="372"/>
      <c r="AQ115" s="372"/>
      <c r="AR115" s="462"/>
    </row>
    <row r="116" spans="1:44" ht="15" customHeight="1" x14ac:dyDescent="0.25">
      <c r="A116" s="690"/>
      <c r="D116" s="176"/>
      <c r="E116" s="176" t="s">
        <v>173</v>
      </c>
      <c r="F116" s="418" t="s">
        <v>174</v>
      </c>
      <c r="G116" s="418"/>
      <c r="H116" s="418"/>
      <c r="I116" s="418"/>
      <c r="J116" s="176"/>
      <c r="K116" s="176"/>
      <c r="L116" s="176"/>
      <c r="M116" s="176"/>
      <c r="N116" s="372"/>
      <c r="O116" s="176"/>
      <c r="P116" s="145">
        <v>3</v>
      </c>
      <c r="Q116" s="311">
        <f>Geometry!N19</f>
        <v>0</v>
      </c>
      <c r="R116" s="311">
        <f>Geometry!M19</f>
        <v>0</v>
      </c>
      <c r="S116" s="444" t="str">
        <f>IF(R116=4,P135,T116)</f>
        <v/>
      </c>
      <c r="T116" s="145" t="str">
        <f>IF(R116=6,Q135,U116)</f>
        <v/>
      </c>
      <c r="U116" s="145" t="str">
        <f>IF(R116=8,R135,V116)</f>
        <v/>
      </c>
      <c r="V116" s="145" t="str">
        <f>IF(R116=10,S135,W116)</f>
        <v/>
      </c>
      <c r="W116" s="145" t="str">
        <f>IF(R116=12,T135,"")</f>
        <v/>
      </c>
      <c r="X116" s="145"/>
      <c r="Y116" s="145">
        <f t="shared" si="15"/>
        <v>0</v>
      </c>
      <c r="Z116" s="145"/>
      <c r="AA116" s="176"/>
      <c r="AB116" s="176"/>
      <c r="AC116" s="176"/>
      <c r="AE116" s="464"/>
      <c r="AF116" s="372"/>
      <c r="AG116" s="472"/>
      <c r="AH116" s="371" t="s">
        <v>136</v>
      </c>
      <c r="AI116" s="372"/>
      <c r="AJ116" s="372"/>
      <c r="AK116" s="300"/>
      <c r="AL116" s="366"/>
      <c r="AM116" s="372"/>
      <c r="AN116" s="372"/>
      <c r="AO116" s="372"/>
      <c r="AP116" s="372"/>
      <c r="AQ116" s="372"/>
      <c r="AR116" s="462"/>
    </row>
    <row r="117" spans="1:44" ht="15" customHeight="1" x14ac:dyDescent="0.25">
      <c r="A117" s="690"/>
      <c r="D117" s="176"/>
      <c r="E117" s="176"/>
      <c r="F117" s="418" t="s">
        <v>175</v>
      </c>
      <c r="G117" s="418"/>
      <c r="H117" s="418"/>
      <c r="I117" s="418"/>
      <c r="J117" s="424"/>
      <c r="K117" s="176"/>
      <c r="L117" s="176"/>
      <c r="M117" s="176"/>
      <c r="N117" s="372"/>
      <c r="O117" s="176"/>
      <c r="P117" s="145">
        <v>4</v>
      </c>
      <c r="Q117" s="311">
        <f>Geometry!N20</f>
        <v>0</v>
      </c>
      <c r="R117" s="311">
        <f>Geometry!M20</f>
        <v>0</v>
      </c>
      <c r="S117" s="444" t="str">
        <f>IF(R117=4,P135,T117)</f>
        <v/>
      </c>
      <c r="T117" s="145" t="str">
        <f>IF(R117=6,Q135,U117)</f>
        <v/>
      </c>
      <c r="U117" s="145" t="str">
        <f>IF(R117=8,R135,V117)</f>
        <v/>
      </c>
      <c r="V117" s="145" t="str">
        <f>IF(R117=10,S135,W117)</f>
        <v/>
      </c>
      <c r="W117" s="145" t="str">
        <f>IF(R117=12,T135,"")</f>
        <v/>
      </c>
      <c r="X117" s="145"/>
      <c r="Y117" s="145">
        <f t="shared" si="15"/>
        <v>0</v>
      </c>
      <c r="Z117" s="145"/>
      <c r="AA117" s="176"/>
      <c r="AB117" s="176"/>
      <c r="AC117" s="176"/>
      <c r="AE117" s="464"/>
      <c r="AF117" s="372"/>
      <c r="AG117" s="472"/>
      <c r="AH117" s="472"/>
      <c r="AI117" s="372"/>
      <c r="AJ117" s="372"/>
      <c r="AK117" s="473">
        <f>Geometry!L74</f>
        <v>0</v>
      </c>
      <c r="AL117" s="372" t="s">
        <v>137</v>
      </c>
      <c r="AM117" s="372"/>
      <c r="AN117" s="372"/>
      <c r="AO117" s="372"/>
      <c r="AP117" s="372"/>
      <c r="AQ117" s="372"/>
      <c r="AR117" s="462"/>
    </row>
    <row r="118" spans="1:44" ht="15" customHeight="1" thickBot="1" x14ac:dyDescent="0.3">
      <c r="A118" s="690"/>
      <c r="D118" s="176"/>
      <c r="E118" s="176"/>
      <c r="F118" s="176" t="s">
        <v>176</v>
      </c>
      <c r="G118" s="176"/>
      <c r="H118" s="176"/>
      <c r="I118" s="176"/>
      <c r="J118" s="176"/>
      <c r="K118" s="393"/>
      <c r="L118" s="393"/>
      <c r="M118" s="176"/>
      <c r="N118" s="176"/>
      <c r="O118" s="176"/>
      <c r="P118" s="145">
        <v>5</v>
      </c>
      <c r="Q118" s="311">
        <f>Geometry!N21</f>
        <v>0</v>
      </c>
      <c r="R118" s="311">
        <f>Geometry!M21</f>
        <v>0</v>
      </c>
      <c r="S118" s="444" t="str">
        <f>IF(R118=4,P135,T118)</f>
        <v/>
      </c>
      <c r="T118" s="145" t="str">
        <f>IF(R118=6,Q135,U118)</f>
        <v/>
      </c>
      <c r="U118" s="145" t="str">
        <f>IF(R118=8,R135,V118)</f>
        <v/>
      </c>
      <c r="V118" s="145" t="str">
        <f>IF(R118=10,S135,W118)</f>
        <v/>
      </c>
      <c r="W118" s="145" t="str">
        <f>IF(R118=12,T135,"")</f>
        <v/>
      </c>
      <c r="X118" s="145"/>
      <c r="Y118" s="145">
        <f t="shared" si="15"/>
        <v>0</v>
      </c>
      <c r="Z118" s="145"/>
      <c r="AA118" s="176"/>
      <c r="AB118" s="176"/>
      <c r="AC118" s="176"/>
      <c r="AE118" s="464"/>
      <c r="AF118" s="435"/>
      <c r="AG118" s="474" t="s">
        <v>138</v>
      </c>
      <c r="AH118" s="474" t="s">
        <v>139</v>
      </c>
      <c r="AI118" s="474" t="s">
        <v>140</v>
      </c>
      <c r="AJ118" s="435"/>
      <c r="AK118" s="435"/>
      <c r="AL118" s="435"/>
      <c r="AM118" s="435"/>
      <c r="AN118" s="436"/>
      <c r="AO118" s="372"/>
      <c r="AP118" s="372"/>
      <c r="AQ118" s="372"/>
      <c r="AR118" s="462"/>
    </row>
    <row r="119" spans="1:44" ht="15" customHeight="1" thickBot="1" x14ac:dyDescent="0.3">
      <c r="A119" s="690"/>
      <c r="D119" s="176"/>
      <c r="E119" s="176"/>
      <c r="F119" s="176"/>
      <c r="G119" s="176"/>
      <c r="H119" s="393"/>
      <c r="I119" s="176"/>
      <c r="J119" s="176"/>
      <c r="K119" s="442" t="s">
        <v>432</v>
      </c>
      <c r="L119" s="443">
        <f>IF(Geometry!U110=0,0,Geometry!Y131)</f>
        <v>0</v>
      </c>
      <c r="M119" s="176"/>
      <c r="N119" s="176"/>
      <c r="O119" s="176"/>
      <c r="P119" s="145">
        <v>6</v>
      </c>
      <c r="Q119" s="311">
        <f>Geometry!N22</f>
        <v>0</v>
      </c>
      <c r="R119" s="311">
        <f>Geometry!M22</f>
        <v>0</v>
      </c>
      <c r="S119" s="444" t="str">
        <f>IF(R119=4,P135,T119)</f>
        <v/>
      </c>
      <c r="T119" s="145" t="str">
        <f>IF(R119=6,Q135,U119)</f>
        <v/>
      </c>
      <c r="U119" s="145" t="str">
        <f>IF(R119=8,R135,V119)</f>
        <v/>
      </c>
      <c r="V119" s="145" t="str">
        <f>IF(R119=10,S135,W119)</f>
        <v/>
      </c>
      <c r="W119" s="145" t="str">
        <f>IF(R119=12,T135,"")</f>
        <v/>
      </c>
      <c r="X119" s="145"/>
      <c r="Y119" s="145">
        <f t="shared" si="15"/>
        <v>0</v>
      </c>
      <c r="Z119" s="145"/>
      <c r="AA119" s="176"/>
      <c r="AB119" s="176"/>
      <c r="AC119" s="176"/>
      <c r="AE119" s="464"/>
      <c r="AF119" s="372"/>
      <c r="AG119" s="372" t="s">
        <v>218</v>
      </c>
      <c r="AH119" s="371" t="s">
        <v>142</v>
      </c>
      <c r="AI119" s="372" t="s">
        <v>218</v>
      </c>
      <c r="AJ119" s="372"/>
      <c r="AK119" s="372"/>
      <c r="AL119" s="372"/>
      <c r="AM119" s="372"/>
      <c r="AN119" s="475"/>
      <c r="AO119" s="372"/>
      <c r="AP119" s="372"/>
      <c r="AQ119" s="372"/>
      <c r="AR119" s="462"/>
    </row>
    <row r="120" spans="1:44" ht="15" customHeight="1" x14ac:dyDescent="0.25">
      <c r="A120" s="690"/>
      <c r="D120" s="447"/>
      <c r="E120" s="447"/>
      <c r="F120" s="447"/>
      <c r="G120" s="447"/>
      <c r="H120" s="447"/>
      <c r="I120" s="447"/>
      <c r="J120" s="447"/>
      <c r="K120" s="447"/>
      <c r="L120" s="447"/>
      <c r="M120" s="447"/>
      <c r="N120" s="176"/>
      <c r="O120" s="176"/>
      <c r="P120" s="145">
        <v>7</v>
      </c>
      <c r="Q120" s="311">
        <f>Geometry!N23</f>
        <v>0</v>
      </c>
      <c r="R120" s="311">
        <f>Geometry!M23</f>
        <v>0</v>
      </c>
      <c r="S120" s="444" t="str">
        <f>IF(R120=4,P135,T120)</f>
        <v/>
      </c>
      <c r="T120" s="145" t="str">
        <f>IF(R120=6,Q135,U120)</f>
        <v/>
      </c>
      <c r="U120" s="145" t="str">
        <f>IF(R120=8,R135,V120)</f>
        <v/>
      </c>
      <c r="V120" s="145" t="str">
        <f>IF(R120=10,S135,W120)</f>
        <v/>
      </c>
      <c r="W120" s="145" t="str">
        <f>IF(R120=12,T135,"")</f>
        <v/>
      </c>
      <c r="X120" s="145"/>
      <c r="Y120" s="145">
        <f t="shared" si="15"/>
        <v>0</v>
      </c>
      <c r="Z120" s="145"/>
      <c r="AA120" s="176"/>
      <c r="AB120" s="176"/>
      <c r="AC120" s="176"/>
      <c r="AE120" s="464"/>
      <c r="AF120" s="364" t="s">
        <v>143</v>
      </c>
      <c r="AG120" s="355" t="s">
        <v>219</v>
      </c>
      <c r="AH120" s="435" t="s">
        <v>145</v>
      </c>
      <c r="AI120" s="355" t="s">
        <v>222</v>
      </c>
      <c r="AJ120" s="435"/>
      <c r="AK120" s="435"/>
      <c r="AL120" s="435"/>
      <c r="AM120" s="435"/>
      <c r="AN120" s="355"/>
      <c r="AO120" s="364" t="s">
        <v>221</v>
      </c>
      <c r="AP120" s="372"/>
      <c r="AQ120" s="372"/>
      <c r="AR120" s="462"/>
    </row>
    <row r="121" spans="1:44" ht="15" customHeight="1" thickBot="1" x14ac:dyDescent="0.3">
      <c r="A121" s="690"/>
      <c r="D121" s="176"/>
      <c r="E121" s="176"/>
      <c r="F121" s="176"/>
      <c r="G121" s="176"/>
      <c r="H121" s="176"/>
      <c r="I121" s="176"/>
      <c r="J121" s="176"/>
      <c r="K121" s="176"/>
      <c r="L121" s="447"/>
      <c r="M121" s="176"/>
      <c r="N121" s="176"/>
      <c r="O121" s="176"/>
      <c r="P121" s="145">
        <v>8</v>
      </c>
      <c r="Q121" s="311">
        <f>Geometry!N24</f>
        <v>0</v>
      </c>
      <c r="R121" s="311">
        <f>Geometry!M24</f>
        <v>0</v>
      </c>
      <c r="S121" s="444" t="str">
        <f>IF(R121=4,P135,T121)</f>
        <v/>
      </c>
      <c r="T121" s="145" t="str">
        <f>IF(R121=6,Q135,U121)</f>
        <v/>
      </c>
      <c r="U121" s="145" t="str">
        <f>IF(R121=8,R135,V121)</f>
        <v/>
      </c>
      <c r="V121" s="145" t="str">
        <f>IF(R121=10,S135,W121)</f>
        <v/>
      </c>
      <c r="W121" s="145" t="str">
        <f>IF(R121=12,T135,"")</f>
        <v/>
      </c>
      <c r="X121" s="145"/>
      <c r="Y121" s="145">
        <f t="shared" si="15"/>
        <v>0</v>
      </c>
      <c r="Z121" s="145"/>
      <c r="AA121" s="176"/>
      <c r="AB121" s="176"/>
      <c r="AC121" s="176"/>
      <c r="AE121" s="464"/>
      <c r="AF121" s="371">
        <v>1</v>
      </c>
      <c r="AG121" s="476"/>
      <c r="AH121" s="476"/>
      <c r="AI121" s="477">
        <f>IF(AH121=4,AF138,AJ121)</f>
        <v>0</v>
      </c>
      <c r="AJ121" s="478">
        <f>IF(AH121=6,AG138,AK121)</f>
        <v>0</v>
      </c>
      <c r="AK121" s="478">
        <f>IF(AH121=8,AH138,AL121)</f>
        <v>0</v>
      </c>
      <c r="AL121" s="478">
        <f>IF(AH121=10,AI138,AM121)</f>
        <v>0</v>
      </c>
      <c r="AM121" s="478">
        <f>IF(AH121=12,AJ138,0)</f>
        <v>0</v>
      </c>
      <c r="AN121" s="478"/>
      <c r="AO121" s="479">
        <f t="shared" ref="AO121:AO130" si="16">IF(AND(AG121&lt;&gt;"",AG121&lt;AI121),AI121-AG121,0)</f>
        <v>0</v>
      </c>
      <c r="AP121" s="372"/>
      <c r="AQ121" s="371"/>
      <c r="AR121" s="462"/>
    </row>
    <row r="122" spans="1:44" ht="15" customHeight="1" thickBot="1" x14ac:dyDescent="0.3">
      <c r="A122" s="690"/>
      <c r="D122" s="393"/>
      <c r="E122" s="176"/>
      <c r="F122" s="176"/>
      <c r="G122" s="393"/>
      <c r="H122" s="393"/>
      <c r="I122" s="393"/>
      <c r="J122" s="176"/>
      <c r="K122" s="480" t="s">
        <v>430</v>
      </c>
      <c r="L122" s="443" t="e">
        <f>SUM(F62,L62,L79,L119)</f>
        <v>#VALUE!</v>
      </c>
      <c r="M122" s="176"/>
      <c r="N122" s="176"/>
      <c r="O122" s="176"/>
      <c r="P122" s="145">
        <v>9</v>
      </c>
      <c r="Q122" s="311">
        <f>Geometry!N25</f>
        <v>0</v>
      </c>
      <c r="R122" s="311">
        <f>Geometry!M25</f>
        <v>0</v>
      </c>
      <c r="S122" s="444" t="str">
        <f>IF(R122=4,P135,T122)</f>
        <v/>
      </c>
      <c r="T122" s="145" t="str">
        <f>IF(R122=6,Q135,U122)</f>
        <v/>
      </c>
      <c r="U122" s="145" t="str">
        <f>IF(R122=8,R135,V122)</f>
        <v/>
      </c>
      <c r="V122" s="145" t="str">
        <f>IF(R122=10,S135,W122)</f>
        <v/>
      </c>
      <c r="W122" s="145" t="str">
        <f>IF(R122=12,T135,"")</f>
        <v/>
      </c>
      <c r="X122" s="145"/>
      <c r="Y122" s="145">
        <f t="shared" si="15"/>
        <v>0</v>
      </c>
      <c r="Z122" s="145"/>
      <c r="AA122" s="176"/>
      <c r="AB122" s="176"/>
      <c r="AC122" s="176"/>
      <c r="AE122" s="464"/>
      <c r="AF122" s="371">
        <v>2</v>
      </c>
      <c r="AG122" s="476"/>
      <c r="AH122" s="476"/>
      <c r="AI122" s="481">
        <f>IF(AH122=4,AF138,AJ122)</f>
        <v>0</v>
      </c>
      <c r="AJ122" s="478">
        <f>IF(AH122=6,AG138,AK122)</f>
        <v>0</v>
      </c>
      <c r="AK122" s="478">
        <f>IF(AH122=8,AH138,AL122)</f>
        <v>0</v>
      </c>
      <c r="AL122" s="478">
        <f>IF(AH122=10,AI138,AM122)</f>
        <v>0</v>
      </c>
      <c r="AM122" s="478">
        <f>IF(AH122=12,AJ138,0)</f>
        <v>0</v>
      </c>
      <c r="AN122" s="478"/>
      <c r="AO122" s="479">
        <f t="shared" si="16"/>
        <v>0</v>
      </c>
      <c r="AP122" s="372"/>
      <c r="AQ122" s="371"/>
      <c r="AR122" s="462"/>
    </row>
    <row r="123" spans="1:44" ht="15" customHeight="1" x14ac:dyDescent="0.25">
      <c r="A123" s="690"/>
      <c r="D123" s="448"/>
      <c r="E123" s="448"/>
      <c r="F123" s="448"/>
      <c r="G123" s="448"/>
      <c r="H123" s="448"/>
      <c r="I123" s="482" t="s">
        <v>0</v>
      </c>
      <c r="J123" s="482"/>
      <c r="K123" s="482"/>
      <c r="L123" s="483"/>
      <c r="M123" s="176"/>
      <c r="N123" s="176"/>
      <c r="O123" s="176"/>
      <c r="P123" s="145">
        <v>10</v>
      </c>
      <c r="Q123" s="311">
        <f>Geometry!N26</f>
        <v>0</v>
      </c>
      <c r="R123" s="311">
        <f>Geometry!M26</f>
        <v>0</v>
      </c>
      <c r="S123" s="444" t="str">
        <f>IF(R123=4,P135,T123)</f>
        <v/>
      </c>
      <c r="T123" s="145" t="str">
        <f>IF(R123=6,Q135,U123)</f>
        <v/>
      </c>
      <c r="U123" s="145" t="str">
        <f>IF(R123=8,R135,V123)</f>
        <v/>
      </c>
      <c r="V123" s="145" t="str">
        <f>IF(R123=10,S135,W123)</f>
        <v/>
      </c>
      <c r="W123" s="145" t="str">
        <f>IF(R123=12,T135,"")</f>
        <v/>
      </c>
      <c r="X123" s="145"/>
      <c r="Y123" s="145">
        <f t="shared" si="15"/>
        <v>0</v>
      </c>
      <c r="Z123" s="145"/>
      <c r="AA123" s="176"/>
      <c r="AB123" s="176"/>
      <c r="AC123" s="176"/>
      <c r="AE123" s="464"/>
      <c r="AF123" s="371">
        <v>3</v>
      </c>
      <c r="AG123" s="476"/>
      <c r="AH123" s="476"/>
      <c r="AI123" s="481">
        <f>IF(AH123=4,AF138,AJ123)</f>
        <v>0</v>
      </c>
      <c r="AJ123" s="478">
        <f>IF(AH123=6,AG138,AK123)</f>
        <v>0</v>
      </c>
      <c r="AK123" s="478">
        <f>IF(AH123=8,AH138,AL123)</f>
        <v>0</v>
      </c>
      <c r="AL123" s="478">
        <f>IF(AH123=10,AI138,AM123)</f>
        <v>0</v>
      </c>
      <c r="AM123" s="478">
        <f>IF(AH123=12,AJ138,0)</f>
        <v>0</v>
      </c>
      <c r="AN123" s="478"/>
      <c r="AO123" s="479">
        <f t="shared" si="16"/>
        <v>0</v>
      </c>
      <c r="AP123" s="372"/>
      <c r="AQ123" s="371"/>
      <c r="AR123" s="462"/>
    </row>
    <row r="124" spans="1:44" ht="15" customHeight="1" x14ac:dyDescent="0.25">
      <c r="A124" s="690"/>
      <c r="O124" s="176"/>
      <c r="P124" s="145">
        <v>11</v>
      </c>
      <c r="Q124" s="311">
        <f>Geometry!N27</f>
        <v>0</v>
      </c>
      <c r="R124" s="311">
        <f>Geometry!M27</f>
        <v>0</v>
      </c>
      <c r="S124" s="444" t="str">
        <f>IF(R124=4,P135,T124)</f>
        <v/>
      </c>
      <c r="T124" s="145" t="str">
        <f>IF(R124=6,Q135,U124)</f>
        <v/>
      </c>
      <c r="U124" s="145" t="str">
        <f>IF(R124=8,R135,V124)</f>
        <v/>
      </c>
      <c r="V124" s="145" t="str">
        <f>IF(R124=10,S135,W124)</f>
        <v/>
      </c>
      <c r="W124" s="145" t="str">
        <f>IF(R124=12,T135,"")</f>
        <v/>
      </c>
      <c r="X124" s="145"/>
      <c r="Y124" s="145">
        <f t="shared" si="15"/>
        <v>0</v>
      </c>
      <c r="Z124" s="145"/>
      <c r="AA124" s="145"/>
      <c r="AB124" s="176"/>
      <c r="AC124" s="176"/>
      <c r="AE124" s="464"/>
      <c r="AF124" s="371">
        <v>4</v>
      </c>
      <c r="AG124" s="476"/>
      <c r="AH124" s="476"/>
      <c r="AI124" s="481">
        <f>IF(AH124=4,AF138,AJ124)</f>
        <v>0</v>
      </c>
      <c r="AJ124" s="478">
        <f>IF(AH124=6,AG138,AK124)</f>
        <v>0</v>
      </c>
      <c r="AK124" s="478">
        <f>IF(AH124=8,AH138,AL124)</f>
        <v>0</v>
      </c>
      <c r="AL124" s="478">
        <f>IF(AH124=10,AI138,AM124)</f>
        <v>0</v>
      </c>
      <c r="AM124" s="478">
        <f>IF(AH124=12,AJ138,0)</f>
        <v>0</v>
      </c>
      <c r="AN124" s="478"/>
      <c r="AO124" s="479">
        <f t="shared" si="16"/>
        <v>0</v>
      </c>
      <c r="AP124" s="372"/>
      <c r="AQ124" s="371"/>
      <c r="AR124" s="462"/>
    </row>
    <row r="125" spans="1:44" ht="15" customHeight="1" x14ac:dyDescent="0.25">
      <c r="O125" s="176"/>
      <c r="P125" s="145">
        <v>12</v>
      </c>
      <c r="Q125" s="311">
        <f>Geometry!N28</f>
        <v>0</v>
      </c>
      <c r="R125" s="311">
        <f>Geometry!M28</f>
        <v>0</v>
      </c>
      <c r="S125" s="444" t="str">
        <f>IF(R125=4,P135,T125)</f>
        <v/>
      </c>
      <c r="T125" s="145" t="str">
        <f>IF(R125=6,Q135,U125)</f>
        <v/>
      </c>
      <c r="U125" s="145" t="str">
        <f>IF(R125=8,R135,V125)</f>
        <v/>
      </c>
      <c r="V125" s="145" t="str">
        <f>IF(R125=10,S135,W125)</f>
        <v/>
      </c>
      <c r="W125" s="145" t="str">
        <f>IF(R125=12,T135,"")</f>
        <v/>
      </c>
      <c r="X125" s="145"/>
      <c r="Y125" s="145">
        <f t="shared" si="15"/>
        <v>0</v>
      </c>
      <c r="Z125" s="145"/>
      <c r="AA125" s="145"/>
      <c r="AB125" s="176"/>
      <c r="AC125" s="176"/>
      <c r="AE125" s="464"/>
      <c r="AF125" s="371">
        <v>5</v>
      </c>
      <c r="AG125" s="476"/>
      <c r="AH125" s="476"/>
      <c r="AI125" s="481">
        <f>IF(AH125=4,AF138,AJ125)</f>
        <v>0</v>
      </c>
      <c r="AJ125" s="478">
        <f>IF(AH125=6,AG138,AK125)</f>
        <v>0</v>
      </c>
      <c r="AK125" s="478">
        <f>IF(AH125=8,AH138,AL125)</f>
        <v>0</v>
      </c>
      <c r="AL125" s="478">
        <f>IF(AH125=10,AI138,AM125)</f>
        <v>0</v>
      </c>
      <c r="AM125" s="478">
        <f>IF(AH125=12,AJ138,0)</f>
        <v>0</v>
      </c>
      <c r="AN125" s="478"/>
      <c r="AO125" s="479">
        <f t="shared" si="16"/>
        <v>0</v>
      </c>
      <c r="AP125" s="372"/>
      <c r="AQ125" s="371"/>
      <c r="AR125" s="462"/>
    </row>
    <row r="126" spans="1:44" ht="15" customHeight="1" x14ac:dyDescent="0.25">
      <c r="O126" s="176"/>
      <c r="P126" s="145">
        <v>13</v>
      </c>
      <c r="Q126" s="311">
        <f>Geometry!N29</f>
        <v>0</v>
      </c>
      <c r="R126" s="311">
        <f>Geometry!M29</f>
        <v>0</v>
      </c>
      <c r="S126" s="444" t="str">
        <f>IF(R126=4,P135,T126)</f>
        <v/>
      </c>
      <c r="T126" s="145" t="str">
        <f>IF(R126=6,Q135,U126)</f>
        <v/>
      </c>
      <c r="U126" s="145" t="str">
        <f>IF(R126=8,R135,V126)</f>
        <v/>
      </c>
      <c r="V126" s="145" t="str">
        <f>IF(R126=10,S135,W126)</f>
        <v/>
      </c>
      <c r="W126" s="145" t="str">
        <f>IF(R126=12,T135,"")</f>
        <v/>
      </c>
      <c r="X126" s="145"/>
      <c r="Y126" s="145">
        <f t="shared" si="15"/>
        <v>0</v>
      </c>
      <c r="Z126" s="145"/>
      <c r="AA126" s="145"/>
      <c r="AB126" s="176"/>
      <c r="AC126" s="176"/>
      <c r="AE126" s="464"/>
      <c r="AF126" s="371">
        <v>6</v>
      </c>
      <c r="AG126" s="476"/>
      <c r="AH126" s="476"/>
      <c r="AI126" s="481">
        <f>IF(AH126=4,AF138,AJ126)</f>
        <v>0</v>
      </c>
      <c r="AJ126" s="478">
        <f>IF(AH126=6,AG138,AK126)</f>
        <v>0</v>
      </c>
      <c r="AK126" s="478">
        <f>IF(AH126=8,AH138,AL126)</f>
        <v>0</v>
      </c>
      <c r="AL126" s="478">
        <f>IF(AH126=10,AI138,AM126)</f>
        <v>0</v>
      </c>
      <c r="AM126" s="478">
        <f>IF(AH126=12,AJ138,0)</f>
        <v>0</v>
      </c>
      <c r="AN126" s="478"/>
      <c r="AO126" s="479">
        <f t="shared" si="16"/>
        <v>0</v>
      </c>
      <c r="AP126" s="372"/>
      <c r="AQ126" s="371"/>
      <c r="AR126" s="462"/>
    </row>
    <row r="127" spans="1:44" ht="15" customHeight="1" x14ac:dyDescent="0.25">
      <c r="O127" s="176"/>
      <c r="P127" s="145">
        <v>14</v>
      </c>
      <c r="Q127" s="311">
        <f>Geometry!N30</f>
        <v>0</v>
      </c>
      <c r="R127" s="311">
        <f>Geometry!M30</f>
        <v>0</v>
      </c>
      <c r="S127" s="444" t="str">
        <f>IF(R127=4,P135,T127)</f>
        <v/>
      </c>
      <c r="T127" s="145" t="str">
        <f>IF(R127=6,Q135,U127)</f>
        <v/>
      </c>
      <c r="U127" s="145" t="str">
        <f>IF(R127=8,R135,V127)</f>
        <v/>
      </c>
      <c r="V127" s="145" t="str">
        <f>IF(R127=10,S135,W127)</f>
        <v/>
      </c>
      <c r="W127" s="145" t="str">
        <f>IF(R127=12,T135,"")</f>
        <v/>
      </c>
      <c r="X127" s="145"/>
      <c r="Y127" s="145">
        <f t="shared" si="15"/>
        <v>0</v>
      </c>
      <c r="Z127" s="145"/>
      <c r="AA127" s="176"/>
      <c r="AB127" s="176"/>
      <c r="AC127" s="176"/>
      <c r="AE127" s="464"/>
      <c r="AF127" s="371">
        <v>7</v>
      </c>
      <c r="AG127" s="476"/>
      <c r="AH127" s="476"/>
      <c r="AI127" s="481">
        <f>IF(AH127=4,AF138,AJ127)</f>
        <v>0</v>
      </c>
      <c r="AJ127" s="478">
        <f>IF(AH127=6,AG138,AK127)</f>
        <v>0</v>
      </c>
      <c r="AK127" s="478">
        <f>IF(AH127=8,AH138,AL127)</f>
        <v>0</v>
      </c>
      <c r="AL127" s="478">
        <f>IF(AH127=10,AI138,AM127)</f>
        <v>0</v>
      </c>
      <c r="AM127" s="478">
        <f>IF(AH127=12,AJ138,0)</f>
        <v>0</v>
      </c>
      <c r="AN127" s="478"/>
      <c r="AO127" s="479">
        <f t="shared" si="16"/>
        <v>0</v>
      </c>
      <c r="AP127" s="372"/>
      <c r="AQ127" s="371"/>
      <c r="AR127" s="462"/>
    </row>
    <row r="128" spans="1:44" ht="15" customHeight="1" x14ac:dyDescent="0.25">
      <c r="O128" s="176"/>
      <c r="P128" s="176"/>
      <c r="Q128" s="176"/>
      <c r="R128" s="176"/>
      <c r="S128" s="176"/>
      <c r="T128" s="176"/>
      <c r="U128" s="176"/>
      <c r="V128" s="176"/>
      <c r="W128" s="176"/>
      <c r="X128" s="176"/>
      <c r="Y128" s="176"/>
      <c r="Z128" s="145"/>
      <c r="AA128" s="176"/>
      <c r="AB128" s="176"/>
      <c r="AC128" s="176"/>
      <c r="AE128" s="464"/>
      <c r="AF128" s="371">
        <v>8</v>
      </c>
      <c r="AG128" s="476"/>
      <c r="AH128" s="476"/>
      <c r="AI128" s="481">
        <f>IF(AH128=4,AF138,AJ128)</f>
        <v>0</v>
      </c>
      <c r="AJ128" s="478">
        <f>IF(AH128=6,AG138,AK128)</f>
        <v>0</v>
      </c>
      <c r="AK128" s="478">
        <f>IF(AH128=8,AH138,AL128)</f>
        <v>0</v>
      </c>
      <c r="AL128" s="478">
        <f>IF(AH128=10,AI138,AM128)</f>
        <v>0</v>
      </c>
      <c r="AM128" s="478">
        <f>IF(AH128=12,AJ138,0)</f>
        <v>0</v>
      </c>
      <c r="AN128" s="478"/>
      <c r="AO128" s="479">
        <f t="shared" si="16"/>
        <v>0</v>
      </c>
      <c r="AP128" s="372"/>
      <c r="AQ128" s="371"/>
      <c r="AR128" s="462"/>
    </row>
    <row r="129" spans="15:44" ht="15" customHeight="1" x14ac:dyDescent="0.25">
      <c r="O129" s="176"/>
      <c r="P129" s="176"/>
      <c r="Q129" s="176"/>
      <c r="R129" s="176"/>
      <c r="S129" s="176"/>
      <c r="T129" s="176"/>
      <c r="U129" s="145"/>
      <c r="V129" s="415"/>
      <c r="W129" s="176"/>
      <c r="X129" s="453" t="s">
        <v>152</v>
      </c>
      <c r="Y129" s="145">
        <f>SUM(Y114:Y127)</f>
        <v>0</v>
      </c>
      <c r="Z129" s="145"/>
      <c r="AA129" s="176"/>
      <c r="AB129" s="176"/>
      <c r="AC129" s="176"/>
      <c r="AE129" s="464"/>
      <c r="AF129" s="371">
        <v>9</v>
      </c>
      <c r="AG129" s="476"/>
      <c r="AH129" s="476"/>
      <c r="AI129" s="481">
        <f>IF(AH129=4,AF138,AJ129)</f>
        <v>0</v>
      </c>
      <c r="AJ129" s="478">
        <f>IF(AH129=6,AG138,AK129)</f>
        <v>0</v>
      </c>
      <c r="AK129" s="478">
        <f>IF(AH129=8,AH138,AL129)</f>
        <v>0</v>
      </c>
      <c r="AL129" s="478">
        <f>IF(AH129=10,AI138,AM129)</f>
        <v>0</v>
      </c>
      <c r="AM129" s="478">
        <f>IF(AH129=12,AJ138,0)</f>
        <v>0</v>
      </c>
      <c r="AN129" s="478"/>
      <c r="AO129" s="479">
        <f t="shared" si="16"/>
        <v>0</v>
      </c>
      <c r="AP129" s="372"/>
      <c r="AQ129" s="371"/>
      <c r="AR129" s="462"/>
    </row>
    <row r="130" spans="15:44" ht="15" customHeight="1" x14ac:dyDescent="0.25">
      <c r="O130" s="176"/>
      <c r="P130" s="176"/>
      <c r="Q130" s="176"/>
      <c r="R130" s="176"/>
      <c r="S130" s="176"/>
      <c r="T130" s="176"/>
      <c r="U130" s="145"/>
      <c r="V130" s="176"/>
      <c r="W130" s="176"/>
      <c r="X130" s="484" t="s">
        <v>155</v>
      </c>
      <c r="Y130" s="485" t="e">
        <f>IF(Y129/(U110*4)&gt;5,5,Y129/(U110*4))</f>
        <v>#DIV/0!</v>
      </c>
      <c r="Z130" s="145"/>
      <c r="AA130" s="176"/>
      <c r="AB130" s="176"/>
      <c r="AC130" s="176"/>
      <c r="AE130" s="464"/>
      <c r="AF130" s="371">
        <v>10</v>
      </c>
      <c r="AG130" s="476"/>
      <c r="AH130" s="476"/>
      <c r="AI130" s="481">
        <f>IF(AH130=4,AF138,AJ130)</f>
        <v>0</v>
      </c>
      <c r="AJ130" s="478">
        <f>IF(AH130=6,AG138,AK130)</f>
        <v>0</v>
      </c>
      <c r="AK130" s="478">
        <f>IF(AH130=8,AH138,AL130)</f>
        <v>0</v>
      </c>
      <c r="AL130" s="478">
        <f>IF(AH130=10,AI138,AM130)</f>
        <v>0</v>
      </c>
      <c r="AM130" s="478">
        <f>IF(AH130=12,AJ138,0)</f>
        <v>0</v>
      </c>
      <c r="AN130" s="478"/>
      <c r="AO130" s="479">
        <f t="shared" si="16"/>
        <v>0</v>
      </c>
      <c r="AP130" s="372"/>
      <c r="AQ130" s="371"/>
      <c r="AR130" s="462"/>
    </row>
    <row r="131" spans="15:44" ht="15" customHeight="1" x14ac:dyDescent="0.25">
      <c r="O131" s="176"/>
      <c r="P131" s="176"/>
      <c r="Q131" s="176"/>
      <c r="R131" s="176"/>
      <c r="S131" s="176"/>
      <c r="T131" s="176"/>
      <c r="U131" s="145"/>
      <c r="V131" s="176"/>
      <c r="W131" s="176"/>
      <c r="X131" s="178" t="s">
        <v>4</v>
      </c>
      <c r="Y131" s="486" t="e">
        <f>ROUNDUP(Y130,1)</f>
        <v>#DIV/0!</v>
      </c>
      <c r="Z131" s="145"/>
      <c r="AA131" s="176"/>
      <c r="AB131" s="176"/>
      <c r="AC131" s="176"/>
      <c r="AE131" s="464"/>
      <c r="AF131" s="372"/>
      <c r="AG131" s="696" t="s">
        <v>420</v>
      </c>
      <c r="AH131" s="696"/>
      <c r="AI131" s="696"/>
      <c r="AJ131" s="372"/>
      <c r="AK131" s="372"/>
      <c r="AL131" s="372"/>
      <c r="AM131" s="372"/>
      <c r="AN131" s="372"/>
      <c r="AO131" s="372"/>
      <c r="AP131" s="372"/>
      <c r="AQ131" s="371"/>
      <c r="AR131" s="462"/>
    </row>
    <row r="132" spans="15:44" ht="15" customHeight="1" x14ac:dyDescent="0.25">
      <c r="O132" s="176"/>
      <c r="P132" s="176"/>
      <c r="Q132" s="176"/>
      <c r="R132" s="176"/>
      <c r="S132" s="176"/>
      <c r="T132" s="145"/>
      <c r="U132" s="176"/>
      <c r="V132" s="176"/>
      <c r="W132" s="176"/>
      <c r="X132" s="176"/>
      <c r="Y132" s="176"/>
      <c r="Z132" s="145"/>
      <c r="AA132" s="176"/>
      <c r="AB132" s="176"/>
      <c r="AC132" s="176"/>
      <c r="AE132" s="464"/>
      <c r="AF132" s="372"/>
      <c r="AG132" s="697"/>
      <c r="AH132" s="697"/>
      <c r="AI132" s="697"/>
      <c r="AJ132" s="372"/>
      <c r="AK132" s="371"/>
      <c r="AL132" s="435"/>
      <c r="AM132" s="372"/>
      <c r="AN132" s="366" t="s">
        <v>220</v>
      </c>
      <c r="AO132" s="371">
        <f>SUM(AO121:AO130)</f>
        <v>0</v>
      </c>
      <c r="AP132" s="372"/>
      <c r="AQ132" s="371"/>
      <c r="AR132" s="462"/>
    </row>
    <row r="133" spans="15:44" ht="15" customHeight="1" x14ac:dyDescent="0.25">
      <c r="O133" s="176"/>
      <c r="P133" s="176"/>
      <c r="Q133" s="176"/>
      <c r="R133" s="176"/>
      <c r="S133" s="176"/>
      <c r="T133" s="176"/>
      <c r="U133" s="145"/>
      <c r="V133" s="145"/>
      <c r="W133" s="176"/>
      <c r="X133" s="176"/>
      <c r="Y133" s="176"/>
      <c r="Z133" s="176"/>
      <c r="AA133" s="145"/>
      <c r="AB133" s="176"/>
      <c r="AC133" s="176"/>
      <c r="AE133" s="464"/>
      <c r="AF133" s="372"/>
      <c r="AG133" s="697"/>
      <c r="AH133" s="697"/>
      <c r="AI133" s="697"/>
      <c r="AJ133" s="372"/>
      <c r="AK133" s="371"/>
      <c r="AL133" s="372"/>
      <c r="AM133" s="372"/>
      <c r="AN133" s="365" t="s">
        <v>155</v>
      </c>
      <c r="AO133" s="385" t="e">
        <f>IF(AO132/(AK117*4)&gt;5,5,AO132/(AK117*4))</f>
        <v>#DIV/0!</v>
      </c>
      <c r="AP133" s="372"/>
      <c r="AQ133" s="371"/>
      <c r="AR133" s="462"/>
    </row>
    <row r="134" spans="15:44" ht="15" customHeight="1" x14ac:dyDescent="0.25">
      <c r="O134" s="176"/>
      <c r="P134" s="487">
        <v>0.04</v>
      </c>
      <c r="Q134" s="487">
        <v>0.06</v>
      </c>
      <c r="R134" s="487">
        <v>0.08</v>
      </c>
      <c r="S134" s="487">
        <v>0.1</v>
      </c>
      <c r="T134" s="487">
        <v>0.12</v>
      </c>
      <c r="U134" s="488" t="s">
        <v>162</v>
      </c>
      <c r="V134" s="489">
        <v>0.04</v>
      </c>
      <c r="W134" s="489">
        <v>0.06</v>
      </c>
      <c r="X134" s="489">
        <v>0.08</v>
      </c>
      <c r="Y134" s="489">
        <v>0.1</v>
      </c>
      <c r="Z134" s="490">
        <v>0.12</v>
      </c>
      <c r="AA134" s="176" t="s">
        <v>163</v>
      </c>
      <c r="AB134" s="176"/>
      <c r="AC134" s="176"/>
      <c r="AE134" s="464"/>
      <c r="AF134" s="372"/>
      <c r="AG134" s="697"/>
      <c r="AH134" s="697"/>
      <c r="AI134" s="697"/>
      <c r="AJ134" s="372"/>
      <c r="AK134" s="371"/>
      <c r="AL134" s="372"/>
      <c r="AM134" s="372"/>
      <c r="AN134" s="310" t="s">
        <v>4</v>
      </c>
      <c r="AO134" s="311" t="e">
        <f>ROUNDUP(AO133,1)</f>
        <v>#DIV/0!</v>
      </c>
      <c r="AP134" s="372"/>
      <c r="AQ134" s="371"/>
      <c r="AR134" s="462"/>
    </row>
    <row r="135" spans="15:44" ht="15" customHeight="1" x14ac:dyDescent="0.25">
      <c r="O135" s="176"/>
      <c r="P135" s="145">
        <f>IF(Geometry!V61=20,V135,P136)</f>
        <v>0</v>
      </c>
      <c r="Q135" s="145">
        <f>IF(Geometry!V61=20,W135,Q136)</f>
        <v>0</v>
      </c>
      <c r="R135" s="145">
        <f>IF(Geometry!V61=20,X135,R136)</f>
        <v>0</v>
      </c>
      <c r="S135" s="145">
        <f>IF(Geometry!V61=20,Y135,S136)</f>
        <v>0</v>
      </c>
      <c r="T135" s="145">
        <f>IF(Geometry!V61=20,Z135,T136)</f>
        <v>0</v>
      </c>
      <c r="U135" s="491">
        <v>20</v>
      </c>
      <c r="V135" s="492">
        <v>45</v>
      </c>
      <c r="W135" s="492">
        <v>49.25</v>
      </c>
      <c r="X135" s="492">
        <v>53.5</v>
      </c>
      <c r="Y135" s="492">
        <v>58</v>
      </c>
      <c r="Z135" s="493">
        <v>62</v>
      </c>
      <c r="AA135" s="145"/>
      <c r="AB135" s="176"/>
      <c r="AC135" s="176"/>
      <c r="AE135" s="464"/>
      <c r="AF135" s="372"/>
      <c r="AG135" s="372"/>
      <c r="AH135" s="372"/>
      <c r="AI135" s="372"/>
      <c r="AJ135" s="372"/>
      <c r="AK135" s="371"/>
      <c r="AL135" s="372"/>
      <c r="AM135" s="372"/>
      <c r="AN135" s="372"/>
      <c r="AO135" s="372"/>
      <c r="AP135" s="372"/>
      <c r="AQ135" s="371"/>
      <c r="AR135" s="462"/>
    </row>
    <row r="136" spans="15:44" ht="15" customHeight="1" x14ac:dyDescent="0.25">
      <c r="O136" s="176"/>
      <c r="P136" s="145">
        <f>IF(Geometry!V61=25,V136,P137)</f>
        <v>0</v>
      </c>
      <c r="Q136" s="145">
        <f>IF(Geometry!V61=25,W136,Q137)</f>
        <v>0</v>
      </c>
      <c r="R136" s="145">
        <f>IF(Geometry!V61=25,X136,R137)</f>
        <v>0</v>
      </c>
      <c r="S136" s="145">
        <f>IF(Geometry!V61=25,Y136,S137)</f>
        <v>0</v>
      </c>
      <c r="T136" s="145">
        <f>IF(Geometry!V61=25,Z136,T137)</f>
        <v>0</v>
      </c>
      <c r="U136" s="491">
        <v>25</v>
      </c>
      <c r="V136" s="492">
        <v>28.096480000000003</v>
      </c>
      <c r="W136" s="492">
        <v>30.837599999999998</v>
      </c>
      <c r="X136" s="492">
        <v>33.578720000000004</v>
      </c>
      <c r="Y136" s="492">
        <v>36.319839999999999</v>
      </c>
      <c r="Z136" s="493">
        <v>39.060960000000001</v>
      </c>
      <c r="AA136" s="145"/>
      <c r="AB136" s="176"/>
      <c r="AC136" s="176"/>
      <c r="AE136" s="464"/>
      <c r="AF136" s="372"/>
      <c r="AG136" s="372"/>
      <c r="AH136" s="372"/>
      <c r="AI136" s="372"/>
      <c r="AJ136" s="372"/>
      <c r="AK136" s="371"/>
      <c r="AL136" s="371"/>
      <c r="AM136" s="372"/>
      <c r="AN136" s="372"/>
      <c r="AO136" s="372"/>
      <c r="AP136" s="372"/>
      <c r="AQ136" s="371"/>
      <c r="AR136" s="462"/>
    </row>
    <row r="137" spans="15:44" ht="15" customHeight="1" x14ac:dyDescent="0.25">
      <c r="O137" s="176"/>
      <c r="P137" s="145">
        <f>IF(Geometry!V61=30,V137,P138)</f>
        <v>0</v>
      </c>
      <c r="Q137" s="145">
        <f>IF(Geometry!V61=30,W137,Q138)</f>
        <v>0</v>
      </c>
      <c r="R137" s="145">
        <f>IF(Geometry!V61=30,X137,R138)</f>
        <v>0</v>
      </c>
      <c r="S137" s="145">
        <f>IF(Geometry!V61=30,Y137,S138)</f>
        <v>0</v>
      </c>
      <c r="T137" s="145">
        <f>IF(Geometry!V61=30,Z137,T138)</f>
        <v>0</v>
      </c>
      <c r="U137" s="491">
        <v>30</v>
      </c>
      <c r="V137" s="492">
        <v>19</v>
      </c>
      <c r="W137" s="492">
        <v>21</v>
      </c>
      <c r="X137" s="492">
        <v>22.75</v>
      </c>
      <c r="Y137" s="492">
        <v>24.75</v>
      </c>
      <c r="Z137" s="493">
        <v>26.75</v>
      </c>
      <c r="AA137" s="145"/>
      <c r="AB137" s="176"/>
      <c r="AC137" s="176"/>
      <c r="AE137" s="464"/>
      <c r="AF137" s="494">
        <v>0.04</v>
      </c>
      <c r="AG137" s="494">
        <v>0.06</v>
      </c>
      <c r="AH137" s="494">
        <v>0.08</v>
      </c>
      <c r="AI137" s="494">
        <v>0.1</v>
      </c>
      <c r="AJ137" s="494">
        <v>0.12</v>
      </c>
      <c r="AK137" s="495" t="s">
        <v>162</v>
      </c>
      <c r="AL137" s="496">
        <v>0.04</v>
      </c>
      <c r="AM137" s="496">
        <v>0.06</v>
      </c>
      <c r="AN137" s="496">
        <v>0.08</v>
      </c>
      <c r="AO137" s="496">
        <v>0.1</v>
      </c>
      <c r="AP137" s="497">
        <v>0.12</v>
      </c>
      <c r="AQ137" s="498" t="s">
        <v>163</v>
      </c>
      <c r="AR137" s="462"/>
    </row>
    <row r="138" spans="15:44" ht="15" customHeight="1" x14ac:dyDescent="0.25">
      <c r="O138" s="176"/>
      <c r="P138" s="145">
        <f>IF(Geometry!V61=35,V138,P139)</f>
        <v>0</v>
      </c>
      <c r="Q138" s="145">
        <f>IF(Geometry!V61=35,W138,Q139)</f>
        <v>0</v>
      </c>
      <c r="R138" s="145">
        <f>IF(Geometry!V61=35,X138,R139)</f>
        <v>0</v>
      </c>
      <c r="S138" s="145">
        <f>IF(Geometry!V61=35,Y138,S139)</f>
        <v>0</v>
      </c>
      <c r="T138" s="145">
        <f>IF(Geometry!V61=35,Z138,T139)</f>
        <v>0</v>
      </c>
      <c r="U138" s="491">
        <v>35</v>
      </c>
      <c r="V138" s="492">
        <v>13.635673469387756</v>
      </c>
      <c r="W138" s="492">
        <v>15.034204081632653</v>
      </c>
      <c r="X138" s="492">
        <v>16.432734693877549</v>
      </c>
      <c r="Y138" s="492">
        <v>17.831265306122447</v>
      </c>
      <c r="Z138" s="493">
        <v>19.229795918367351</v>
      </c>
      <c r="AA138" s="176"/>
      <c r="AB138" s="176"/>
      <c r="AC138" s="176"/>
      <c r="AE138" s="464"/>
      <c r="AF138" s="478" t="e">
        <f>IF(Geometry!V61=20,AL138,AF139)</f>
        <v>#REF!</v>
      </c>
      <c r="AG138" s="478" t="e">
        <f>IF(Geometry!V61=20,AM138,AG139)</f>
        <v>#REF!</v>
      </c>
      <c r="AH138" s="478" t="e">
        <f>IF(Geometry!V61=20,AN138,AH139)</f>
        <v>#REF!</v>
      </c>
      <c r="AI138" s="478" t="e">
        <f>IF(Geometry!V61=20,AO138,AI139)</f>
        <v>#REF!</v>
      </c>
      <c r="AJ138" s="478" t="e">
        <f>IF(Geometry!V61=20,AP138,AJ139)</f>
        <v>#REF!</v>
      </c>
      <c r="AK138" s="499">
        <v>20</v>
      </c>
      <c r="AL138" s="500">
        <v>125</v>
      </c>
      <c r="AM138" s="500">
        <v>115</v>
      </c>
      <c r="AN138" s="500">
        <v>105</v>
      </c>
      <c r="AO138" s="500">
        <v>100</v>
      </c>
      <c r="AP138" s="501">
        <v>90</v>
      </c>
      <c r="AQ138" s="371"/>
      <c r="AR138" s="462"/>
    </row>
    <row r="139" spans="15:44" ht="15" customHeight="1" x14ac:dyDescent="0.25">
      <c r="O139" s="176"/>
      <c r="P139" s="145">
        <f>IF(Geometry!V61=40,V139,P140)</f>
        <v>0</v>
      </c>
      <c r="Q139" s="145">
        <f>IF(Geometry!V61=40,W139,Q140)</f>
        <v>0</v>
      </c>
      <c r="R139" s="145">
        <f>IF(Geometry!V61=40,X139,R140)</f>
        <v>0</v>
      </c>
      <c r="S139" s="145">
        <f>IF(Geometry!V61=40,Y139,S140)</f>
        <v>0</v>
      </c>
      <c r="T139" s="145">
        <f>IF(Geometry!V61=40,Z139,T140)</f>
        <v>0</v>
      </c>
      <c r="U139" s="491">
        <v>40</v>
      </c>
      <c r="V139" s="492">
        <v>10</v>
      </c>
      <c r="W139" s="492">
        <v>11.25</v>
      </c>
      <c r="X139" s="492">
        <v>12.25</v>
      </c>
      <c r="Y139" s="492">
        <v>13.25</v>
      </c>
      <c r="Z139" s="493">
        <v>14.5</v>
      </c>
      <c r="AA139" s="176"/>
      <c r="AB139" s="176"/>
      <c r="AC139" s="176"/>
      <c r="AE139" s="464"/>
      <c r="AF139" s="478" t="e">
        <f>IF(Geometry!V61=25,AL139,AF140)</f>
        <v>#REF!</v>
      </c>
      <c r="AG139" s="478" t="e">
        <f>IF(Geometry!V61=25,AM139,AG140)</f>
        <v>#REF!</v>
      </c>
      <c r="AH139" s="478" t="e">
        <f>IF(Geometry!V61=25,AN139,AH140)</f>
        <v>#REF!</v>
      </c>
      <c r="AI139" s="478" t="e">
        <f>IF(Geometry!V61=25,AO139,AI140)</f>
        <v>#REF!</v>
      </c>
      <c r="AJ139" s="478" t="e">
        <f>IF(Geometry!V61=25,AP139,AJ140)</f>
        <v>#REF!</v>
      </c>
      <c r="AK139" s="499">
        <v>25</v>
      </c>
      <c r="AL139" s="500">
        <v>205</v>
      </c>
      <c r="AM139" s="500">
        <v>185</v>
      </c>
      <c r="AN139" s="500">
        <v>170</v>
      </c>
      <c r="AO139" s="500">
        <v>160</v>
      </c>
      <c r="AP139" s="501">
        <v>145</v>
      </c>
      <c r="AQ139" s="371"/>
      <c r="AR139" s="462"/>
    </row>
    <row r="140" spans="15:44" ht="15" customHeight="1" x14ac:dyDescent="0.25">
      <c r="O140" s="176"/>
      <c r="P140" s="145">
        <f>IF(Geometry!V61=45,V140,P141)</f>
        <v>0</v>
      </c>
      <c r="Q140" s="145">
        <f>IF(Geometry!V61=45,W140,Q141)</f>
        <v>0</v>
      </c>
      <c r="R140" s="145">
        <f>IF(Geometry!V61=45,X140,R141)</f>
        <v>0</v>
      </c>
      <c r="S140" s="145">
        <f>IF(Geometry!V61=45,Y140,S141)</f>
        <v>0</v>
      </c>
      <c r="T140" s="145">
        <f>IF(Geometry!V61=45,Z140,T141)</f>
        <v>0</v>
      </c>
      <c r="U140" s="491">
        <v>45</v>
      </c>
      <c r="V140" s="492">
        <v>7.8257283950617289</v>
      </c>
      <c r="W140" s="492">
        <v>8.6717530864197521</v>
      </c>
      <c r="X140" s="492">
        <v>9.5177777777777752</v>
      </c>
      <c r="Y140" s="492">
        <v>10.363802469135802</v>
      </c>
      <c r="Z140" s="493">
        <v>11.209827160493829</v>
      </c>
      <c r="AA140" s="176" t="s">
        <v>209</v>
      </c>
      <c r="AB140" s="176"/>
      <c r="AC140" s="176"/>
      <c r="AE140" s="464"/>
      <c r="AF140" s="478" t="e">
        <f>IF(Geometry!V61=30,AL140,AF141)</f>
        <v>#REF!</v>
      </c>
      <c r="AG140" s="478" t="e">
        <f>IF(Geometry!V61=30,AM140,AG141)</f>
        <v>#REF!</v>
      </c>
      <c r="AH140" s="478" t="e">
        <f>IF(Geometry!V61=30,AN140,AH141)</f>
        <v>#REF!</v>
      </c>
      <c r="AI140" s="478" t="e">
        <f>IF(Geometry!V61=30,AO140,AI141)</f>
        <v>#REF!</v>
      </c>
      <c r="AJ140" s="478" t="e">
        <f>IF(Geometry!V61=30,AP140,AJ141)</f>
        <v>#REF!</v>
      </c>
      <c r="AK140" s="499">
        <v>30</v>
      </c>
      <c r="AL140" s="500">
        <v>300</v>
      </c>
      <c r="AM140" s="500">
        <v>275</v>
      </c>
      <c r="AN140" s="500">
        <v>250</v>
      </c>
      <c r="AO140" s="500">
        <v>230</v>
      </c>
      <c r="AP140" s="501">
        <v>215</v>
      </c>
      <c r="AQ140" s="371"/>
      <c r="AR140" s="462"/>
    </row>
    <row r="141" spans="15:44" ht="15" customHeight="1" x14ac:dyDescent="0.25">
      <c r="O141" s="176"/>
      <c r="P141" s="145">
        <f>IF(Geometry!V61=50,V141,P142)</f>
        <v>0</v>
      </c>
      <c r="Q141" s="145">
        <f>IF(Geometry!V61=50,W141,Q142)</f>
        <v>0</v>
      </c>
      <c r="R141" s="145">
        <f>IF(Geometry!V61=50,X141,R142)</f>
        <v>0</v>
      </c>
      <c r="S141" s="145">
        <f>IF(Geometry!V61=50,Y141,S142)</f>
        <v>0</v>
      </c>
      <c r="T141" s="145">
        <f>IF(Geometry!V61=50,Z141,T142)</f>
        <v>0</v>
      </c>
      <c r="U141" s="491">
        <v>50</v>
      </c>
      <c r="V141" s="492">
        <v>6</v>
      </c>
      <c r="W141" s="492">
        <v>6.75</v>
      </c>
      <c r="X141" s="492">
        <v>7.5</v>
      </c>
      <c r="Y141" s="492">
        <v>8.25</v>
      </c>
      <c r="Z141" s="493">
        <v>9</v>
      </c>
      <c r="AA141" s="176"/>
      <c r="AB141" s="176"/>
      <c r="AC141" s="176"/>
      <c r="AE141" s="464"/>
      <c r="AF141" s="478" t="e">
        <f>IF(Geometry!V61=35,AL141,AF142)</f>
        <v>#REF!</v>
      </c>
      <c r="AG141" s="478" t="e">
        <f>IF(Geometry!V61=35,AM141,AG142)</f>
        <v>#REF!</v>
      </c>
      <c r="AH141" s="478" t="e">
        <f>IF(Geometry!V61=35,AN141,AH142)</f>
        <v>#REF!</v>
      </c>
      <c r="AI141" s="478" t="e">
        <f>IF(Geometry!V61=35,AO141,AI142)</f>
        <v>#REF!</v>
      </c>
      <c r="AJ141" s="478" t="e">
        <f>IF(Geometry!V61=35,AP141,AJ142)</f>
        <v>#REF!</v>
      </c>
      <c r="AK141" s="499">
        <v>35</v>
      </c>
      <c r="AL141" s="500">
        <v>420</v>
      </c>
      <c r="AM141" s="500">
        <v>380</v>
      </c>
      <c r="AN141" s="500">
        <v>350</v>
      </c>
      <c r="AO141" s="500">
        <v>320</v>
      </c>
      <c r="AP141" s="501">
        <v>300</v>
      </c>
      <c r="AQ141" s="372"/>
      <c r="AR141" s="462"/>
    </row>
    <row r="142" spans="15:44" ht="15" customHeight="1" x14ac:dyDescent="0.25">
      <c r="O142" s="176"/>
      <c r="P142" s="145">
        <f>IF(Geometry!V61=55,V142,P143)</f>
        <v>0</v>
      </c>
      <c r="Q142" s="145">
        <f>IF(Geometry!V61=55,W142,Q143)</f>
        <v>0</v>
      </c>
      <c r="R142" s="145">
        <f>IF(Geometry!V61=55,X142,R143)</f>
        <v>0</v>
      </c>
      <c r="S142" s="145">
        <f>IF(Geometry!V61=55,Y142,S143)</f>
        <v>0</v>
      </c>
      <c r="T142" s="145">
        <f>IF(Geometry!V61=55,Z142,T143)</f>
        <v>0</v>
      </c>
      <c r="U142" s="491">
        <v>55</v>
      </c>
      <c r="V142" s="492">
        <v>4.75</v>
      </c>
      <c r="W142" s="492">
        <v>5.5</v>
      </c>
      <c r="X142" s="492">
        <v>6</v>
      </c>
      <c r="Y142" s="492">
        <v>6.5</v>
      </c>
      <c r="Z142" s="493">
        <v>7</v>
      </c>
      <c r="AA142" s="176"/>
      <c r="AB142" s="176"/>
      <c r="AC142" s="176"/>
      <c r="AE142" s="464"/>
      <c r="AF142" s="478" t="e">
        <f>IF(Geometry!V61=40,AL142,AF143)</f>
        <v>#REF!</v>
      </c>
      <c r="AG142" s="478" t="e">
        <f>IF(Geometry!V61=40,AM142,AG143)</f>
        <v>#REF!</v>
      </c>
      <c r="AH142" s="478" t="e">
        <f>IF(Geometry!V61=40,AN142,AH143)</f>
        <v>#REF!</v>
      </c>
      <c r="AI142" s="478" t="e">
        <f>IF(Geometry!V61=40,AO142,AI143)</f>
        <v>#REF!</v>
      </c>
      <c r="AJ142" s="478" t="e">
        <f>IF(Geometry!V61=40,AP142,AJ143)</f>
        <v>#REF!</v>
      </c>
      <c r="AK142" s="499">
        <v>40</v>
      </c>
      <c r="AL142" s="500">
        <v>565</v>
      </c>
      <c r="AM142" s="500">
        <v>510</v>
      </c>
      <c r="AN142" s="500">
        <v>465</v>
      </c>
      <c r="AO142" s="500">
        <v>430</v>
      </c>
      <c r="AP142" s="501">
        <v>395</v>
      </c>
      <c r="AQ142" s="372"/>
      <c r="AR142" s="462"/>
    </row>
    <row r="143" spans="15:44" ht="15" customHeight="1" x14ac:dyDescent="0.25">
      <c r="O143" s="176"/>
      <c r="P143" s="145">
        <f>IF(Geometry!V61=60,V143,P144)</f>
        <v>0</v>
      </c>
      <c r="Q143" s="145">
        <f>IF(Geometry!V61=60,W143,Q144)</f>
        <v>0</v>
      </c>
      <c r="R143" s="145">
        <f>IF(Geometry!V61=60,X143,R144)</f>
        <v>0</v>
      </c>
      <c r="S143" s="145">
        <f>IF(Geometry!V61=60,Y143,S144)</f>
        <v>0</v>
      </c>
      <c r="T143" s="145">
        <f>IF(Geometry!V61=60,Z143,T144)</f>
        <v>0</v>
      </c>
      <c r="U143" s="491">
        <v>60</v>
      </c>
      <c r="V143" s="492">
        <v>3.75</v>
      </c>
      <c r="W143" s="492">
        <v>4.25</v>
      </c>
      <c r="X143" s="492">
        <v>4.75</v>
      </c>
      <c r="Y143" s="492">
        <v>5.25</v>
      </c>
      <c r="Z143" s="493">
        <v>5.75</v>
      </c>
      <c r="AA143" s="176"/>
      <c r="AB143" s="176"/>
      <c r="AC143" s="176"/>
      <c r="AE143" s="464"/>
      <c r="AF143" s="478" t="e">
        <f>IF(Geometry!V61=45,AL143,AF144)</f>
        <v>#REF!</v>
      </c>
      <c r="AG143" s="478" t="e">
        <f>IF(Geometry!V61=45,AM143,AG144)</f>
        <v>#REF!</v>
      </c>
      <c r="AH143" s="478" t="e">
        <f>IF(Geometry!V61=45,AN143,AH144)</f>
        <v>#REF!</v>
      </c>
      <c r="AI143" s="478" t="e">
        <f>IF(Geometry!V61=45,AO143,AI144)</f>
        <v>#REF!</v>
      </c>
      <c r="AJ143" s="478" t="e">
        <f>IF(Geometry!V61=45,AP143,AJ144)</f>
        <v>#REF!</v>
      </c>
      <c r="AK143" s="499">
        <v>45</v>
      </c>
      <c r="AL143" s="500">
        <v>730</v>
      </c>
      <c r="AM143" s="500">
        <v>660</v>
      </c>
      <c r="AN143" s="500">
        <v>500</v>
      </c>
      <c r="AO143" s="500">
        <v>555</v>
      </c>
      <c r="AP143" s="501">
        <v>510</v>
      </c>
      <c r="AQ143" s="372" t="s">
        <v>223</v>
      </c>
      <c r="AR143" s="462"/>
    </row>
    <row r="144" spans="15:44" ht="15" customHeight="1" x14ac:dyDescent="0.25">
      <c r="O144" s="176"/>
      <c r="P144" s="145">
        <f>IF(Geometry!V61=65,V144,P145)</f>
        <v>0</v>
      </c>
      <c r="Q144" s="145">
        <f>IF(Geometry!V61=65,W144,Q145)</f>
        <v>0</v>
      </c>
      <c r="R144" s="145">
        <f>IF(Geometry!V61=65,X144,R145)</f>
        <v>0</v>
      </c>
      <c r="S144" s="145">
        <f>IF(Geometry!V61=65,Y144,S145)</f>
        <v>0</v>
      </c>
      <c r="T144" s="145">
        <f>IF(Geometry!V61=65,Z144,T145)</f>
        <v>0</v>
      </c>
      <c r="U144" s="491">
        <v>65</v>
      </c>
      <c r="V144" s="502" t="s">
        <v>177</v>
      </c>
      <c r="W144" s="492">
        <v>3.5</v>
      </c>
      <c r="X144" s="492">
        <v>3.75</v>
      </c>
      <c r="Y144" s="492">
        <v>4.25</v>
      </c>
      <c r="Z144" s="493">
        <v>4.75</v>
      </c>
      <c r="AA144" s="145"/>
      <c r="AB144" s="176"/>
      <c r="AC144" s="176"/>
      <c r="AE144" s="464"/>
      <c r="AF144" s="478" t="e">
        <f>IF(Geometry!V61=50,AL144,AF145)</f>
        <v>#REF!</v>
      </c>
      <c r="AG144" s="478" t="e">
        <f>IF(Geometry!V61=50,AM144,AG145)</f>
        <v>#REF!</v>
      </c>
      <c r="AH144" s="478" t="e">
        <f>IF(Geometry!V61=50,AN144,AH145)</f>
        <v>#REF!</v>
      </c>
      <c r="AI144" s="478" t="e">
        <f>IF(Geometry!V61=50,AO144,AI145)</f>
        <v>#REF!</v>
      </c>
      <c r="AJ144" s="478" t="e">
        <f>IF(Geometry!V61=50,AP144,AJ145)</f>
        <v>#REF!</v>
      </c>
      <c r="AK144" s="499">
        <v>50</v>
      </c>
      <c r="AL144" s="500">
        <v>930</v>
      </c>
      <c r="AM144" s="500">
        <v>835</v>
      </c>
      <c r="AN144" s="500">
        <v>760</v>
      </c>
      <c r="AO144" s="500">
        <v>695</v>
      </c>
      <c r="AP144" s="501">
        <v>645</v>
      </c>
      <c r="AQ144" s="372"/>
      <c r="AR144" s="462"/>
    </row>
    <row r="145" spans="15:44" ht="15" customHeight="1" x14ac:dyDescent="0.25">
      <c r="O145" s="176"/>
      <c r="P145" s="145">
        <f>IF(Geometry!V61=70,V145,0)</f>
        <v>0</v>
      </c>
      <c r="Q145" s="145">
        <f>IF(Geometry!V61=70,W145,0)</f>
        <v>0</v>
      </c>
      <c r="R145" s="145">
        <f>IF(Geometry!V61=70,X145,0)</f>
        <v>0</v>
      </c>
      <c r="S145" s="145">
        <f>IF(Geometry!V61=70,Y145,0)</f>
        <v>0</v>
      </c>
      <c r="T145" s="145">
        <f>IF(Geometry!V61=70,Z145,0)</f>
        <v>0</v>
      </c>
      <c r="U145" s="503">
        <v>70</v>
      </c>
      <c r="V145" s="504" t="s">
        <v>177</v>
      </c>
      <c r="W145" s="505">
        <v>2.75</v>
      </c>
      <c r="X145" s="505">
        <v>3</v>
      </c>
      <c r="Y145" s="505">
        <v>3.5</v>
      </c>
      <c r="Z145" s="506">
        <v>3.75</v>
      </c>
      <c r="AA145" s="145"/>
      <c r="AB145" s="176"/>
      <c r="AC145" s="176"/>
      <c r="AE145" s="464"/>
      <c r="AF145" s="478" t="e">
        <f>IF(Geometry!V61=55,AL145,AF146)</f>
        <v>#REF!</v>
      </c>
      <c r="AG145" s="478" t="e">
        <f>IF(Geometry!V61=55,AM145,AG146)</f>
        <v>#REF!</v>
      </c>
      <c r="AH145" s="478" t="e">
        <f>IF(Geometry!V61=55,AN145,AH146)</f>
        <v>#REF!</v>
      </c>
      <c r="AI145" s="478" t="e">
        <f>IF(Geometry!V61=55,AO145,AI146)</f>
        <v>#REF!</v>
      </c>
      <c r="AJ145" s="478" t="e">
        <f>IF(Geometry!V61=55,AP145,AJ146)</f>
        <v>#REF!</v>
      </c>
      <c r="AK145" s="499">
        <v>55</v>
      </c>
      <c r="AL145" s="500">
        <v>1190</v>
      </c>
      <c r="AM145" s="500">
        <v>1065</v>
      </c>
      <c r="AN145" s="500">
        <v>965</v>
      </c>
      <c r="AO145" s="500">
        <v>880</v>
      </c>
      <c r="AP145" s="501">
        <v>810</v>
      </c>
      <c r="AQ145" s="372"/>
      <c r="AR145" s="462"/>
    </row>
    <row r="146" spans="15:44" ht="15" customHeight="1" x14ac:dyDescent="0.25">
      <c r="O146" s="176"/>
      <c r="P146" s="176"/>
      <c r="Q146" s="176"/>
      <c r="R146" s="176"/>
      <c r="S146" s="176"/>
      <c r="T146" s="145"/>
      <c r="U146" s="145"/>
      <c r="V146" s="145"/>
      <c r="W146" s="176"/>
      <c r="X146" s="176"/>
      <c r="Y146" s="176"/>
      <c r="Z146" s="176"/>
      <c r="AA146" s="176"/>
      <c r="AB146" s="176"/>
      <c r="AC146" s="176"/>
      <c r="AE146" s="464"/>
      <c r="AF146" s="478" t="e">
        <f>IF(Geometry!V61=60,AL146,AF147)</f>
        <v>#REF!</v>
      </c>
      <c r="AG146" s="478" t="e">
        <f>IF(Geometry!V61=60,AM146,AG147)</f>
        <v>#REF!</v>
      </c>
      <c r="AH146" s="478" t="e">
        <f>IF(Geometry!V61=60,AN146,AH147)</f>
        <v>#REF!</v>
      </c>
      <c r="AI146" s="478" t="e">
        <f>IF(Geometry!V61=60,AO146,AI147)</f>
        <v>#REF!</v>
      </c>
      <c r="AJ146" s="478" t="e">
        <f>IF(Geometry!V61=60,AP146,AJ147)</f>
        <v>#REF!</v>
      </c>
      <c r="AK146" s="499">
        <v>60</v>
      </c>
      <c r="AL146" s="500">
        <v>1505</v>
      </c>
      <c r="AM146" s="500">
        <v>1340</v>
      </c>
      <c r="AN146" s="500">
        <v>1205</v>
      </c>
      <c r="AO146" s="500">
        <v>1095</v>
      </c>
      <c r="AP146" s="501">
        <v>1005</v>
      </c>
      <c r="AQ146" s="372"/>
      <c r="AR146" s="462"/>
    </row>
    <row r="147" spans="15:44" ht="15" customHeight="1" x14ac:dyDescent="0.25">
      <c r="O147" s="176"/>
      <c r="P147" s="176"/>
      <c r="Q147" s="176"/>
      <c r="R147" s="176"/>
      <c r="S147" s="176"/>
      <c r="T147" s="145"/>
      <c r="U147" s="145"/>
      <c r="V147" s="145"/>
      <c r="W147" s="176"/>
      <c r="X147" s="176"/>
      <c r="Y147" s="176"/>
      <c r="Z147" s="176"/>
      <c r="AA147" s="176"/>
      <c r="AB147" s="176"/>
      <c r="AC147" s="176"/>
      <c r="AE147" s="464"/>
      <c r="AF147" s="478" t="e">
        <f>IF(Geometry!V61=65,AL147,AF148)</f>
        <v>#REF!</v>
      </c>
      <c r="AG147" s="478" t="e">
        <f>IF(Geometry!V61=65,AM147,AG148)</f>
        <v>#REF!</v>
      </c>
      <c r="AH147" s="478" t="e">
        <f>IF(Geometry!V61=65,AN147,AH148)</f>
        <v>#REF!</v>
      </c>
      <c r="AI147" s="478" t="e">
        <f>IF(Geometry!V61=65,AO147,AI148)</f>
        <v>#REF!</v>
      </c>
      <c r="AJ147" s="478" t="e">
        <f>IF(Geometry!V61=65,AP147,AJ148)</f>
        <v>#REF!</v>
      </c>
      <c r="AK147" s="499">
        <v>65</v>
      </c>
      <c r="AL147" s="507" t="s">
        <v>177</v>
      </c>
      <c r="AM147" s="500">
        <v>1660</v>
      </c>
      <c r="AN147" s="500">
        <v>1485</v>
      </c>
      <c r="AO147" s="500">
        <v>1345</v>
      </c>
      <c r="AP147" s="501">
        <v>1230</v>
      </c>
      <c r="AQ147" s="371"/>
      <c r="AR147" s="462"/>
    </row>
    <row r="148" spans="15:44" ht="15" customHeight="1" x14ac:dyDescent="0.25">
      <c r="O148" s="176"/>
      <c r="P148" s="176"/>
      <c r="Q148" s="176"/>
      <c r="R148" s="176"/>
      <c r="S148" s="176"/>
      <c r="T148" s="145"/>
      <c r="U148" s="145"/>
      <c r="V148" s="145"/>
      <c r="W148" s="176"/>
      <c r="X148" s="176"/>
      <c r="Y148" s="176"/>
      <c r="Z148" s="176"/>
      <c r="AA148" s="176"/>
      <c r="AB148" s="176"/>
      <c r="AC148" s="176"/>
      <c r="AE148" s="464"/>
      <c r="AF148" s="478" t="e">
        <f>IF(Geometry!V61=70,AL148,#REF!)</f>
        <v>#REF!</v>
      </c>
      <c r="AG148" s="478" t="e">
        <f>IF(Geometry!V61=70,AM148,#REF!)</f>
        <v>#REF!</v>
      </c>
      <c r="AH148" s="478" t="e">
        <f>IF(Geometry!V61=70,AN148,#REF!)</f>
        <v>#REF!</v>
      </c>
      <c r="AI148" s="478" t="e">
        <f>IF(Geometry!V61=70,AO148,#REF!)</f>
        <v>#REF!</v>
      </c>
      <c r="AJ148" s="478" t="e">
        <f>IF(Geometry!V61=70,AP148,#REF!)</f>
        <v>#REF!</v>
      </c>
      <c r="AK148" s="495">
        <v>70</v>
      </c>
      <c r="AL148" s="508" t="s">
        <v>177</v>
      </c>
      <c r="AM148" s="509">
        <v>2050</v>
      </c>
      <c r="AN148" s="509">
        <v>1820</v>
      </c>
      <c r="AO148" s="509">
        <v>1840</v>
      </c>
      <c r="AP148" s="510">
        <v>1490</v>
      </c>
      <c r="AQ148" s="371"/>
      <c r="AR148" s="462"/>
    </row>
    <row r="149" spans="15:44" ht="15" customHeight="1" x14ac:dyDescent="0.25">
      <c r="O149" s="176"/>
      <c r="P149" s="176"/>
      <c r="Q149" s="176"/>
      <c r="R149" s="176"/>
      <c r="S149" s="176"/>
      <c r="T149" s="145"/>
      <c r="U149" s="145"/>
      <c r="V149" s="145"/>
      <c r="W149" s="176"/>
      <c r="X149" s="176"/>
      <c r="Y149" s="176"/>
      <c r="Z149" s="176"/>
      <c r="AA149" s="176"/>
      <c r="AB149" s="176"/>
      <c r="AC149" s="176"/>
      <c r="AE149" s="464"/>
      <c r="AF149" s="460"/>
      <c r="AG149" s="460"/>
      <c r="AH149" s="460"/>
      <c r="AI149" s="460"/>
      <c r="AJ149" s="460"/>
      <c r="AK149" s="460"/>
      <c r="AL149" s="460"/>
      <c r="AM149" s="460"/>
      <c r="AN149" s="460"/>
      <c r="AO149" s="460"/>
      <c r="AP149" s="460"/>
      <c r="AQ149" s="460"/>
      <c r="AR149" s="462"/>
    </row>
    <row r="150" spans="15:44" ht="15" customHeight="1" x14ac:dyDescent="0.25">
      <c r="O150" s="176"/>
      <c r="P150" s="176"/>
      <c r="Q150" s="176"/>
      <c r="R150" s="176"/>
      <c r="S150" s="176"/>
      <c r="T150" s="145"/>
      <c r="U150" s="145"/>
      <c r="V150" s="145"/>
      <c r="W150" s="176"/>
      <c r="X150" s="176"/>
      <c r="Y150" s="176"/>
      <c r="Z150" s="176"/>
      <c r="AA150" s="176"/>
      <c r="AB150" s="448"/>
      <c r="AC150" s="448"/>
      <c r="AE150" s="511"/>
      <c r="AF150" s="512"/>
      <c r="AG150" s="512"/>
      <c r="AH150" s="512"/>
      <c r="AI150" s="512"/>
      <c r="AJ150" s="512"/>
      <c r="AK150" s="512"/>
      <c r="AL150" s="512"/>
      <c r="AM150" s="512"/>
      <c r="AN150" s="512"/>
      <c r="AO150" s="512"/>
      <c r="AP150" s="512"/>
      <c r="AQ150" s="512"/>
      <c r="AR150" s="513"/>
    </row>
  </sheetData>
  <sheetProtection password="EC65" sheet="1" objects="1" scenarios="1" selectLockedCells="1"/>
  <mergeCells count="23">
    <mergeCell ref="O4:P4"/>
    <mergeCell ref="AN39:AQ39"/>
    <mergeCell ref="I53:L53"/>
    <mergeCell ref="C53:F53"/>
    <mergeCell ref="AG131:AI134"/>
    <mergeCell ref="I4:N4"/>
    <mergeCell ref="O13:R14"/>
    <mergeCell ref="E12:G12"/>
    <mergeCell ref="M12:O12"/>
    <mergeCell ref="K14:K16"/>
    <mergeCell ref="E14:G14"/>
    <mergeCell ref="P37:X37"/>
    <mergeCell ref="E113:E114"/>
    <mergeCell ref="I60:J60"/>
    <mergeCell ref="G113:G114"/>
    <mergeCell ref="H10:L10"/>
    <mergeCell ref="A107:A124"/>
    <mergeCell ref="AK78:AM78"/>
    <mergeCell ref="AF51:AI51"/>
    <mergeCell ref="D14:D16"/>
    <mergeCell ref="B75:B96"/>
    <mergeCell ref="C60:D60"/>
    <mergeCell ref="A41:A70"/>
  </mergeCells>
  <conditionalFormatting sqref="H31">
    <cfRule type="expression" dxfId="1" priority="6" stopIfTrue="1">
      <formula>ISERROR($X$51)</formula>
    </cfRule>
  </conditionalFormatting>
  <conditionalFormatting sqref="R17:S30">
    <cfRule type="expression" dxfId="0" priority="17" stopIfTrue="1">
      <formula>ISERROR(#REF!)</formula>
    </cfRule>
  </conditionalFormatting>
  <hyperlinks>
    <hyperlink ref="O4" location="Geometry!A41" display="Calc. sheet" xr:uid="{00000000-0004-0000-0400-000000000000}"/>
    <hyperlink ref="O13:R14" location="Geometry!A107" display="Calculated based on the number of curve deficiencies divided by poroject length" xr:uid="{00000000-0004-0000-0400-000001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41"/>
  <sheetViews>
    <sheetView workbookViewId="0">
      <selection activeCell="I19" sqref="I19"/>
    </sheetView>
  </sheetViews>
  <sheetFormatPr defaultRowHeight="15" x14ac:dyDescent="0.2"/>
  <cols>
    <col min="1" max="1" width="12.42578125" style="82" customWidth="1"/>
    <col min="2" max="16384" width="9.140625" style="82"/>
  </cols>
  <sheetData>
    <row r="1" spans="1:4" x14ac:dyDescent="0.2">
      <c r="A1" s="81" t="s">
        <v>402</v>
      </c>
    </row>
    <row r="2" spans="1:4" x14ac:dyDescent="0.2">
      <c r="A2" s="81" t="s">
        <v>403</v>
      </c>
    </row>
    <row r="3" spans="1:4" ht="15.75" x14ac:dyDescent="0.25">
      <c r="A3" s="83"/>
    </row>
    <row r="4" spans="1:4" ht="15.75" x14ac:dyDescent="0.25">
      <c r="A4" s="83"/>
    </row>
    <row r="5" spans="1:4" ht="15.75" x14ac:dyDescent="0.25">
      <c r="A5" s="84" t="s">
        <v>404</v>
      </c>
      <c r="B5" s="709"/>
      <c r="C5" s="709"/>
      <c r="D5" s="709"/>
    </row>
    <row r="6" spans="1:4" ht="15.75" x14ac:dyDescent="0.25">
      <c r="A6" s="84" t="s">
        <v>405</v>
      </c>
      <c r="B6" s="710"/>
      <c r="C6" s="710"/>
      <c r="D6" s="710"/>
    </row>
    <row r="7" spans="1:4" ht="15.75" x14ac:dyDescent="0.25">
      <c r="A7" s="84" t="s">
        <v>406</v>
      </c>
      <c r="B7" s="710"/>
      <c r="C7" s="710"/>
      <c r="D7" s="710"/>
    </row>
    <row r="8" spans="1:4" ht="15.75" x14ac:dyDescent="0.25">
      <c r="A8" s="84"/>
    </row>
    <row r="9" spans="1:4" ht="15.75" x14ac:dyDescent="0.25">
      <c r="A9" s="84"/>
    </row>
    <row r="10" spans="1:4" ht="15.75" x14ac:dyDescent="0.25">
      <c r="A10" s="85" t="s">
        <v>407</v>
      </c>
      <c r="C10" s="711"/>
      <c r="D10" s="711"/>
    </row>
    <row r="11" spans="1:4" ht="15.75" x14ac:dyDescent="0.25">
      <c r="A11" s="86"/>
    </row>
    <row r="12" spans="1:4" ht="15.75" x14ac:dyDescent="0.25">
      <c r="A12" s="85" t="s">
        <v>408</v>
      </c>
    </row>
    <row r="13" spans="1:4" ht="15.75" x14ac:dyDescent="0.25">
      <c r="A13" s="87" t="s">
        <v>409</v>
      </c>
    </row>
    <row r="14" spans="1:4" ht="15.75" x14ac:dyDescent="0.25">
      <c r="A14" s="87" t="s">
        <v>410</v>
      </c>
    </row>
    <row r="15" spans="1:4" ht="15.75" x14ac:dyDescent="0.25">
      <c r="A15" s="87" t="s">
        <v>411</v>
      </c>
    </row>
    <row r="16" spans="1:4" ht="15.75" x14ac:dyDescent="0.25">
      <c r="A16" s="87"/>
    </row>
    <row r="17" spans="1:8" ht="15.75" x14ac:dyDescent="0.25">
      <c r="A17" s="85" t="s">
        <v>412</v>
      </c>
    </row>
    <row r="18" spans="1:8" ht="15.75" x14ac:dyDescent="0.25">
      <c r="A18" s="87" t="s">
        <v>413</v>
      </c>
    </row>
    <row r="19" spans="1:8" ht="15.75" x14ac:dyDescent="0.25">
      <c r="A19" s="87" t="s">
        <v>414</v>
      </c>
    </row>
    <row r="20" spans="1:8" ht="15.75" x14ac:dyDescent="0.25">
      <c r="A20" s="87" t="s">
        <v>411</v>
      </c>
    </row>
    <row r="21" spans="1:8" ht="15.75" x14ac:dyDescent="0.25">
      <c r="A21" s="87"/>
    </row>
    <row r="22" spans="1:8" ht="15.75" x14ac:dyDescent="0.25">
      <c r="A22" s="85" t="s">
        <v>415</v>
      </c>
    </row>
    <row r="23" spans="1:8" ht="15.75" x14ac:dyDescent="0.25">
      <c r="A23" s="87"/>
    </row>
    <row r="24" spans="1:8" ht="15.75" x14ac:dyDescent="0.25">
      <c r="A24" s="85" t="s">
        <v>416</v>
      </c>
    </row>
    <row r="25" spans="1:8" ht="15.75" x14ac:dyDescent="0.25">
      <c r="A25" s="86"/>
    </row>
    <row r="26" spans="1:8" ht="15.75" x14ac:dyDescent="0.25">
      <c r="A26" s="86"/>
    </row>
    <row r="27" spans="1:8" ht="15.75" customHeight="1" x14ac:dyDescent="0.25">
      <c r="A27" s="88" t="s">
        <v>417</v>
      </c>
    </row>
    <row r="28" spans="1:8" ht="15.75" x14ac:dyDescent="0.25">
      <c r="A28" s="89"/>
    </row>
    <row r="29" spans="1:8" ht="15.75" x14ac:dyDescent="0.25">
      <c r="A29" s="89"/>
    </row>
    <row r="30" spans="1:8" ht="15.75" x14ac:dyDescent="0.25">
      <c r="A30" s="89"/>
    </row>
    <row r="31" spans="1:8" ht="15.75" x14ac:dyDescent="0.25">
      <c r="A31" s="86"/>
      <c r="B31" s="711"/>
      <c r="C31" s="711"/>
      <c r="D31" s="711"/>
      <c r="G31" s="711"/>
      <c r="H31" s="711"/>
    </row>
    <row r="32" spans="1:8" ht="15.75" x14ac:dyDescent="0.25">
      <c r="B32" s="708" t="s">
        <v>418</v>
      </c>
      <c r="C32" s="708"/>
      <c r="D32" s="708"/>
      <c r="G32" s="708" t="s">
        <v>334</v>
      </c>
      <c r="H32" s="708"/>
    </row>
    <row r="33" spans="1:1" ht="15.75" x14ac:dyDescent="0.25">
      <c r="A33" s="90"/>
    </row>
    <row r="34" spans="1:1" ht="15.75" x14ac:dyDescent="0.25">
      <c r="A34" s="90"/>
    </row>
    <row r="35" spans="1:1" ht="15.75" x14ac:dyDescent="0.25">
      <c r="A35" s="90"/>
    </row>
    <row r="36" spans="1:1" ht="15.75" x14ac:dyDescent="0.25">
      <c r="A36" s="90"/>
    </row>
    <row r="37" spans="1:1" ht="15.75" x14ac:dyDescent="0.25">
      <c r="A37" s="90"/>
    </row>
    <row r="38" spans="1:1" ht="15.75" x14ac:dyDescent="0.25">
      <c r="A38" s="90"/>
    </row>
    <row r="39" spans="1:1" ht="15.75" x14ac:dyDescent="0.25">
      <c r="A39" s="90"/>
    </row>
    <row r="40" spans="1:1" ht="15.75" x14ac:dyDescent="0.25">
      <c r="A40" s="90"/>
    </row>
    <row r="41" spans="1:1" x14ac:dyDescent="0.2">
      <c r="A41" s="91"/>
    </row>
  </sheetData>
  <mergeCells count="8">
    <mergeCell ref="G32:H32"/>
    <mergeCell ref="B32:D32"/>
    <mergeCell ref="B5:D5"/>
    <mergeCell ref="B6:D6"/>
    <mergeCell ref="B7:D7"/>
    <mergeCell ref="C10:D10"/>
    <mergeCell ref="B31:D31"/>
    <mergeCell ref="G31:H31"/>
  </mergeCells>
  <phoneticPr fontId="40" type="noConversion"/>
  <pageMargins left="0.62" right="0.53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9"/>
  <sheetViews>
    <sheetView zoomScale="75" workbookViewId="0">
      <selection activeCell="D16" sqref="D16"/>
    </sheetView>
  </sheetViews>
  <sheetFormatPr defaultRowHeight="10.5" x14ac:dyDescent="0.2"/>
  <cols>
    <col min="1" max="1" width="16.5703125" style="61" customWidth="1"/>
    <col min="2" max="2" width="15.7109375" style="61" customWidth="1"/>
    <col min="3" max="3" width="18" style="61" customWidth="1"/>
    <col min="4" max="4" width="14.5703125" style="61" customWidth="1"/>
    <col min="5" max="5" width="23" style="61" customWidth="1"/>
    <col min="6" max="6" width="7.7109375" style="61" customWidth="1"/>
    <col min="7" max="7" width="7.140625" style="61" customWidth="1"/>
    <col min="8" max="16384" width="9.140625" style="61"/>
  </cols>
  <sheetData>
    <row r="1" spans="1:9" ht="24.95" customHeight="1" x14ac:dyDescent="0.2">
      <c r="E1" s="713" t="s">
        <v>345</v>
      </c>
      <c r="F1" s="713"/>
      <c r="G1" s="713"/>
      <c r="H1" s="713"/>
      <c r="I1" s="713"/>
    </row>
    <row r="2" spans="1:9" ht="24.95" customHeight="1" thickBot="1" x14ac:dyDescent="0.25">
      <c r="A2" s="62"/>
      <c r="F2" s="712"/>
      <c r="G2" s="712"/>
      <c r="H2" s="712"/>
      <c r="I2" s="712"/>
    </row>
    <row r="3" spans="1:9" ht="35.1" customHeight="1" thickTop="1" x14ac:dyDescent="0.2">
      <c r="A3" s="714" t="s">
        <v>346</v>
      </c>
      <c r="B3" s="715"/>
      <c r="C3" s="716"/>
      <c r="D3" s="63" t="s">
        <v>347</v>
      </c>
      <c r="E3" s="64" t="s">
        <v>348</v>
      </c>
    </row>
    <row r="4" spans="1:9" ht="35.1" customHeight="1" x14ac:dyDescent="0.2">
      <c r="A4" s="723" t="s">
        <v>349</v>
      </c>
      <c r="B4" s="717" t="s">
        <v>350</v>
      </c>
      <c r="C4" s="717" t="s">
        <v>351</v>
      </c>
      <c r="D4" s="65" t="s">
        <v>352</v>
      </c>
      <c r="E4" s="66" t="s">
        <v>353</v>
      </c>
    </row>
    <row r="5" spans="1:9" ht="35.1" customHeight="1" x14ac:dyDescent="0.15">
      <c r="A5" s="724"/>
      <c r="B5" s="722"/>
      <c r="C5" s="718"/>
      <c r="D5" s="65" t="s">
        <v>354</v>
      </c>
      <c r="E5" s="66" t="s">
        <v>355</v>
      </c>
      <c r="G5" s="67" t="s">
        <v>10</v>
      </c>
    </row>
    <row r="6" spans="1:9" ht="35.1" customHeight="1" x14ac:dyDescent="0.2">
      <c r="A6" s="724"/>
      <c r="B6" s="722"/>
      <c r="C6" s="717" t="s">
        <v>356</v>
      </c>
      <c r="D6" s="65" t="s">
        <v>357</v>
      </c>
      <c r="E6" s="66" t="s">
        <v>358</v>
      </c>
    </row>
    <row r="7" spans="1:9" ht="35.1" customHeight="1" x14ac:dyDescent="0.2">
      <c r="A7" s="724"/>
      <c r="B7" s="718"/>
      <c r="C7" s="718"/>
      <c r="D7" s="65" t="s">
        <v>359</v>
      </c>
      <c r="E7" s="66" t="s">
        <v>360</v>
      </c>
    </row>
    <row r="8" spans="1:9" ht="35.1" customHeight="1" x14ac:dyDescent="0.2">
      <c r="A8" s="724"/>
      <c r="B8" s="717" t="s">
        <v>361</v>
      </c>
      <c r="C8" s="717" t="s">
        <v>362</v>
      </c>
      <c r="D8" s="65" t="s">
        <v>363</v>
      </c>
      <c r="E8" s="66" t="s">
        <v>364</v>
      </c>
    </row>
    <row r="9" spans="1:9" ht="35.1" customHeight="1" x14ac:dyDescent="0.15">
      <c r="A9" s="724"/>
      <c r="B9" s="722"/>
      <c r="C9" s="718"/>
      <c r="D9" s="65" t="s">
        <v>365</v>
      </c>
      <c r="E9" s="66" t="s">
        <v>366</v>
      </c>
      <c r="G9" s="67" t="s">
        <v>336</v>
      </c>
    </row>
    <row r="10" spans="1:9" ht="35.1" customHeight="1" x14ac:dyDescent="0.2">
      <c r="A10" s="724"/>
      <c r="B10" s="722"/>
      <c r="C10" s="717" t="s">
        <v>367</v>
      </c>
      <c r="D10" s="65" t="s">
        <v>368</v>
      </c>
      <c r="E10" s="66" t="s">
        <v>369</v>
      </c>
    </row>
    <row r="11" spans="1:9" ht="35.1" customHeight="1" x14ac:dyDescent="0.2">
      <c r="A11" s="725"/>
      <c r="B11" s="718"/>
      <c r="C11" s="718"/>
      <c r="D11" s="65" t="s">
        <v>370</v>
      </c>
      <c r="E11" s="66" t="s">
        <v>371</v>
      </c>
    </row>
    <row r="12" spans="1:9" ht="35.1" customHeight="1" x14ac:dyDescent="0.2">
      <c r="A12" s="723" t="s">
        <v>372</v>
      </c>
      <c r="B12" s="717" t="s">
        <v>373</v>
      </c>
      <c r="C12" s="717" t="s">
        <v>374</v>
      </c>
      <c r="D12" s="65" t="s">
        <v>375</v>
      </c>
      <c r="E12" s="66" t="s">
        <v>339</v>
      </c>
      <c r="F12" s="68" t="s">
        <v>339</v>
      </c>
    </row>
    <row r="13" spans="1:9" ht="35.1" customHeight="1" x14ac:dyDescent="0.2">
      <c r="A13" s="724"/>
      <c r="B13" s="722"/>
      <c r="C13" s="718"/>
      <c r="D13" s="65" t="s">
        <v>376</v>
      </c>
      <c r="E13" s="66" t="s">
        <v>337</v>
      </c>
      <c r="F13" s="68" t="s">
        <v>337</v>
      </c>
    </row>
    <row r="14" spans="1:9" ht="35.1" customHeight="1" x14ac:dyDescent="0.2">
      <c r="A14" s="724"/>
      <c r="B14" s="718"/>
      <c r="C14" s="65" t="s">
        <v>338</v>
      </c>
      <c r="D14" s="65" t="s">
        <v>377</v>
      </c>
      <c r="E14" s="66" t="s">
        <v>378</v>
      </c>
      <c r="F14" s="68" t="s">
        <v>338</v>
      </c>
    </row>
    <row r="15" spans="1:9" ht="35.1" customHeight="1" x14ac:dyDescent="0.2">
      <c r="A15" s="724"/>
      <c r="B15" s="717" t="s">
        <v>379</v>
      </c>
      <c r="C15" s="717" t="s">
        <v>374</v>
      </c>
      <c r="D15" s="65" t="s">
        <v>380</v>
      </c>
      <c r="E15" s="66" t="s">
        <v>381</v>
      </c>
      <c r="F15" s="68" t="s">
        <v>339</v>
      </c>
    </row>
    <row r="16" spans="1:9" ht="35.1" customHeight="1" x14ac:dyDescent="0.2">
      <c r="A16" s="724"/>
      <c r="B16" s="722"/>
      <c r="C16" s="718"/>
      <c r="D16" s="65" t="s">
        <v>382</v>
      </c>
      <c r="E16" s="66" t="s">
        <v>383</v>
      </c>
      <c r="F16" s="68" t="s">
        <v>337</v>
      </c>
    </row>
    <row r="17" spans="1:6" ht="35.1" customHeight="1" x14ac:dyDescent="0.2">
      <c r="A17" s="725"/>
      <c r="B17" s="718"/>
      <c r="C17" s="65" t="s">
        <v>338</v>
      </c>
      <c r="D17" s="65" t="s">
        <v>384</v>
      </c>
      <c r="E17" s="66" t="s">
        <v>385</v>
      </c>
      <c r="F17" s="68" t="s">
        <v>338</v>
      </c>
    </row>
    <row r="18" spans="1:6" ht="35.1" customHeight="1" thickBot="1" x14ac:dyDescent="0.25">
      <c r="A18" s="719" t="s">
        <v>386</v>
      </c>
      <c r="B18" s="720"/>
      <c r="C18" s="721"/>
      <c r="D18" s="69" t="s">
        <v>387</v>
      </c>
      <c r="E18" s="70" t="s">
        <v>388</v>
      </c>
      <c r="F18" s="68" t="s">
        <v>338</v>
      </c>
    </row>
    <row r="19" spans="1:6" ht="12" thickTop="1" x14ac:dyDescent="0.2">
      <c r="A19" s="71"/>
    </row>
  </sheetData>
  <sheetProtection sheet="1" objects="1" scenarios="1" selectLockedCells="1"/>
  <mergeCells count="16">
    <mergeCell ref="F2:I2"/>
    <mergeCell ref="E1:I1"/>
    <mergeCell ref="A3:C3"/>
    <mergeCell ref="C4:C5"/>
    <mergeCell ref="A18:C18"/>
    <mergeCell ref="B8:B11"/>
    <mergeCell ref="B4:B7"/>
    <mergeCell ref="B15:B17"/>
    <mergeCell ref="B12:B14"/>
    <mergeCell ref="A12:A17"/>
    <mergeCell ref="A4:A11"/>
    <mergeCell ref="C10:C11"/>
    <mergeCell ref="C12:C13"/>
    <mergeCell ref="C15:C16"/>
    <mergeCell ref="C6:C7"/>
    <mergeCell ref="C8:C9"/>
  </mergeCells>
  <phoneticPr fontId="27" type="noConversion"/>
  <pageMargins left="0.32" right="0.28000000000000003" top="1" bottom="1" header="0.5" footer="0.5"/>
  <pageSetup orientation="portrait" r:id="rId1"/>
  <headerFooter alignWithMargins="0">
    <oddHeader>&amp;CUnified Soil Classification System;
from American Society for
 Testing and Materials, 1985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48"/>
  <sheetViews>
    <sheetView workbookViewId="0">
      <selection activeCell="O15" sqref="O15"/>
    </sheetView>
  </sheetViews>
  <sheetFormatPr defaultRowHeight="15" x14ac:dyDescent="0.2"/>
  <cols>
    <col min="1" max="1" width="3.28515625" style="56" customWidth="1"/>
    <col min="2" max="2" width="12" style="56" customWidth="1"/>
    <col min="3" max="3" width="3.7109375" style="56" customWidth="1"/>
    <col min="4" max="4" width="4.140625" style="56" customWidth="1"/>
    <col min="5" max="11" width="9.140625" style="56"/>
    <col min="12" max="12" width="3.28515625" style="56" customWidth="1"/>
    <col min="13" max="16384" width="9.140625" style="56"/>
  </cols>
  <sheetData>
    <row r="1" spans="1:12" ht="18.75" x14ac:dyDescent="0.3">
      <c r="A1" s="726" t="s">
        <v>304</v>
      </c>
      <c r="B1" s="726"/>
      <c r="C1" s="726"/>
      <c r="D1" s="726"/>
      <c r="E1" s="726"/>
      <c r="F1" s="726"/>
      <c r="G1" s="726"/>
      <c r="H1" s="726"/>
      <c r="I1" s="726"/>
      <c r="J1" s="726"/>
      <c r="K1" s="726"/>
      <c r="L1" s="726"/>
    </row>
    <row r="2" spans="1:12" ht="18.75" x14ac:dyDescent="0.3">
      <c r="A2" s="726" t="s">
        <v>305</v>
      </c>
      <c r="B2" s="726"/>
      <c r="C2" s="726"/>
      <c r="D2" s="726"/>
      <c r="E2" s="726"/>
      <c r="F2" s="726"/>
      <c r="G2" s="726"/>
      <c r="H2" s="726"/>
      <c r="I2" s="726"/>
      <c r="J2" s="726"/>
      <c r="K2" s="726"/>
      <c r="L2" s="726"/>
    </row>
    <row r="3" spans="1:12" ht="18.75" customHeight="1" x14ac:dyDescent="0.25">
      <c r="A3" s="727" t="s">
        <v>306</v>
      </c>
      <c r="B3" s="727"/>
      <c r="C3" s="727"/>
      <c r="D3" s="727"/>
      <c r="E3" s="727"/>
      <c r="F3" s="727"/>
      <c r="G3" s="727"/>
      <c r="H3" s="727"/>
      <c r="I3" s="727"/>
      <c r="J3" s="727"/>
      <c r="K3" s="727"/>
      <c r="L3" s="727"/>
    </row>
    <row r="7" spans="1:12" x14ac:dyDescent="0.2">
      <c r="A7" s="56" t="s">
        <v>307</v>
      </c>
      <c r="D7" s="728"/>
      <c r="E7" s="728"/>
      <c r="F7" s="728"/>
    </row>
    <row r="8" spans="1:12" x14ac:dyDescent="0.2">
      <c r="A8" s="56" t="s">
        <v>308</v>
      </c>
      <c r="D8" s="728"/>
      <c r="E8" s="728"/>
      <c r="F8" s="728"/>
      <c r="G8" s="728"/>
      <c r="H8" s="728"/>
    </row>
    <row r="9" spans="1:12" x14ac:dyDescent="0.2">
      <c r="A9" s="56" t="s">
        <v>309</v>
      </c>
      <c r="D9" s="731"/>
      <c r="E9" s="731"/>
      <c r="F9" s="731"/>
    </row>
    <row r="13" spans="1:12" x14ac:dyDescent="0.2">
      <c r="A13" s="56" t="s">
        <v>310</v>
      </c>
    </row>
    <row r="14" spans="1:12" x14ac:dyDescent="0.2">
      <c r="A14" s="56" t="s">
        <v>311</v>
      </c>
      <c r="E14" s="732"/>
      <c r="F14" s="732"/>
      <c r="G14" s="56" t="s">
        <v>312</v>
      </c>
    </row>
    <row r="15" spans="1:12" x14ac:dyDescent="0.2">
      <c r="A15" s="56" t="s">
        <v>313</v>
      </c>
    </row>
    <row r="17" spans="1:2" x14ac:dyDescent="0.2">
      <c r="A17" s="56" t="s">
        <v>314</v>
      </c>
    </row>
    <row r="18" spans="1:2" x14ac:dyDescent="0.2">
      <c r="A18" s="56" t="s">
        <v>315</v>
      </c>
    </row>
    <row r="20" spans="1:2" x14ac:dyDescent="0.2">
      <c r="B20" s="56" t="s">
        <v>316</v>
      </c>
    </row>
    <row r="21" spans="1:2" x14ac:dyDescent="0.2">
      <c r="B21" s="56" t="s">
        <v>317</v>
      </c>
    </row>
    <row r="22" spans="1:2" x14ac:dyDescent="0.2">
      <c r="B22" s="56" t="s">
        <v>318</v>
      </c>
    </row>
    <row r="23" spans="1:2" x14ac:dyDescent="0.2">
      <c r="B23" s="56" t="s">
        <v>319</v>
      </c>
    </row>
    <row r="24" spans="1:2" x14ac:dyDescent="0.2">
      <c r="B24" s="56" t="s">
        <v>320</v>
      </c>
    </row>
    <row r="25" spans="1:2" x14ac:dyDescent="0.2">
      <c r="B25" s="56" t="s">
        <v>321</v>
      </c>
    </row>
    <row r="27" spans="1:2" x14ac:dyDescent="0.2">
      <c r="A27" s="56" t="s">
        <v>322</v>
      </c>
    </row>
    <row r="29" spans="1:2" x14ac:dyDescent="0.2">
      <c r="B29" s="56" t="s">
        <v>323</v>
      </c>
    </row>
    <row r="30" spans="1:2" x14ac:dyDescent="0.2">
      <c r="B30" s="56" t="s">
        <v>324</v>
      </c>
    </row>
    <row r="31" spans="1:2" x14ac:dyDescent="0.2">
      <c r="B31" s="56" t="s">
        <v>325</v>
      </c>
    </row>
    <row r="32" spans="1:2" x14ac:dyDescent="0.2">
      <c r="B32" s="56" t="s">
        <v>326</v>
      </c>
    </row>
    <row r="33" spans="1:12" x14ac:dyDescent="0.2">
      <c r="B33" s="56" t="s">
        <v>327</v>
      </c>
    </row>
    <row r="34" spans="1:12" x14ac:dyDescent="0.2">
      <c r="B34" s="56" t="s">
        <v>328</v>
      </c>
    </row>
    <row r="35" spans="1:12" x14ac:dyDescent="0.2">
      <c r="B35" s="56" t="s">
        <v>329</v>
      </c>
    </row>
    <row r="37" spans="1:12" x14ac:dyDescent="0.2">
      <c r="A37" s="57" t="s">
        <v>330</v>
      </c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</row>
    <row r="38" spans="1:12" x14ac:dyDescent="0.2">
      <c r="A38" s="57" t="s">
        <v>331</v>
      </c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</row>
    <row r="39" spans="1:12" x14ac:dyDescent="0.2">
      <c r="A39" s="57" t="s">
        <v>332</v>
      </c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</row>
    <row r="44" spans="1:12" x14ac:dyDescent="0.2">
      <c r="A44" s="732"/>
      <c r="B44" s="732"/>
      <c r="C44" s="732"/>
      <c r="D44" s="732"/>
      <c r="E44" s="732"/>
      <c r="H44" s="733"/>
      <c r="I44" s="733"/>
    </row>
    <row r="45" spans="1:12" x14ac:dyDescent="0.2">
      <c r="A45" s="729" t="s">
        <v>333</v>
      </c>
      <c r="B45" s="729"/>
      <c r="C45" s="729"/>
      <c r="D45" s="729"/>
      <c r="E45" s="729"/>
      <c r="H45" s="730" t="s">
        <v>334</v>
      </c>
      <c r="I45" s="730"/>
    </row>
    <row r="47" spans="1:12" x14ac:dyDescent="0.2">
      <c r="A47" s="59" t="s">
        <v>335</v>
      </c>
      <c r="B47" s="59"/>
    </row>
    <row r="48" spans="1:12" x14ac:dyDescent="0.2">
      <c r="A48" s="59"/>
      <c r="B48" s="59"/>
    </row>
  </sheetData>
  <mergeCells count="11">
    <mergeCell ref="A1:L1"/>
    <mergeCell ref="A2:L2"/>
    <mergeCell ref="A3:L3"/>
    <mergeCell ref="D7:F7"/>
    <mergeCell ref="A45:E45"/>
    <mergeCell ref="H45:I45"/>
    <mergeCell ref="D8:H8"/>
    <mergeCell ref="D9:F9"/>
    <mergeCell ref="E14:F14"/>
    <mergeCell ref="A44:E44"/>
    <mergeCell ref="H44:I44"/>
  </mergeCells>
  <phoneticPr fontId="27" type="noConversion"/>
  <pageMargins left="0.75" right="0.75" top="0.65" bottom="0.7" header="0.32" footer="0.37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Results</vt:lpstr>
      <vt:lpstr>RC INPUT</vt:lpstr>
      <vt:lpstr>Traffic &amp; Accidents</vt:lpstr>
      <vt:lpstr>Structure</vt:lpstr>
      <vt:lpstr>Geometry</vt:lpstr>
      <vt:lpstr>Dev. Request</vt:lpstr>
      <vt:lpstr>USCS</vt:lpstr>
      <vt:lpstr>Engr's 3R letter</vt:lpstr>
      <vt:lpstr>'RC INPUT'!Print_Area</vt:lpstr>
      <vt:lpstr>Structure!Print_Area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Randy Hart</dc:creator>
  <cp:lastModifiedBy>Johnson, Steve (CRAB)</cp:lastModifiedBy>
  <cp:lastPrinted>2020-02-20T22:14:58Z</cp:lastPrinted>
  <dcterms:created xsi:type="dcterms:W3CDTF">2001-08-02T21:00:18Z</dcterms:created>
  <dcterms:modified xsi:type="dcterms:W3CDTF">2022-06-21T21:13:34Z</dcterms:modified>
</cp:coreProperties>
</file>