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E/"/>
    </mc:Choice>
  </mc:AlternateContent>
  <xr:revisionPtr revIDLastSave="1" documentId="11_7184E3A926477E0F5154779036EB4B98A15251F1" xr6:coauthVersionLast="47" xr6:coauthVersionMax="47" xr10:uidLastSave="{38900BF1-CCAA-45B4-9D21-7A03A78D96B8}"/>
  <bookViews>
    <workbookView xWindow="28680" yWindow="-120" windowWidth="29040" windowHeight="15840" tabRatio="742" xr2:uid="{00000000-000D-0000-FFFF-FFFF00000000}"/>
  </bookViews>
  <sheets>
    <sheet name="3R INPUT" sheetId="7" r:id="rId1"/>
    <sheet name="Traffic &amp; Accidents" sheetId="11" r:id="rId2"/>
    <sheet name="Structure" sheetId="12" r:id="rId3"/>
    <sheet name="Geometry" sheetId="13" r:id="rId4"/>
    <sheet name="3R Safety Checklist" sheetId="14" r:id="rId5"/>
    <sheet name="USCS" sheetId="6" r:id="rId6"/>
    <sheet name="Engr's 3R letter" sheetId="5" r:id="rId7"/>
  </sheets>
  <definedNames>
    <definedName name="_xlnm.Print_Area" localSheetId="0">'3R INPUT'!#REF!,'3R INPUT'!$B$3:$M$61</definedName>
    <definedName name="_xlnm.Print_Area" localSheetId="4">'3R Safety Checklist'!$B$3:$M$47</definedName>
    <definedName name="_xlnm.Print_Area" localSheetId="2">Structure!$B$3:$L$25,Structure!$B$30:$L$81,Structure!$B$85:$L$138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4" l="1"/>
  <c r="K42" i="7" l="1"/>
  <c r="R65" i="13"/>
  <c r="K20" i="7" l="1"/>
  <c r="K40" i="14" l="1"/>
  <c r="W58" i="14"/>
  <c r="K45" i="14"/>
  <c r="K44" i="14"/>
  <c r="K43" i="14"/>
  <c r="K42" i="14"/>
  <c r="K41" i="14"/>
  <c r="W37" i="14"/>
  <c r="I30" i="14"/>
  <c r="D24" i="14"/>
  <c r="D28" i="14" s="1"/>
  <c r="F28" i="14" s="1"/>
  <c r="G28" i="14" s="1"/>
  <c r="C12" i="14"/>
  <c r="AJ105" i="13"/>
  <c r="AI105" i="13" s="1"/>
  <c r="AH105" i="13" s="1"/>
  <c r="AG105" i="13" s="1"/>
  <c r="AF105" i="13" s="1"/>
  <c r="AL105" i="13" s="1"/>
  <c r="AJ104" i="13"/>
  <c r="AI104" i="13" s="1"/>
  <c r="AH104" i="13" s="1"/>
  <c r="AG104" i="13" s="1"/>
  <c r="AF104" i="13" s="1"/>
  <c r="AL104" i="13" s="1"/>
  <c r="AJ103" i="13"/>
  <c r="AI103" i="13" s="1"/>
  <c r="AH103" i="13" s="1"/>
  <c r="AG103" i="13" s="1"/>
  <c r="AF103" i="13" s="1"/>
  <c r="AL103" i="13" s="1"/>
  <c r="AJ102" i="13"/>
  <c r="AI102" i="13" s="1"/>
  <c r="AH102" i="13" s="1"/>
  <c r="AG102" i="13" s="1"/>
  <c r="AF102" i="13" s="1"/>
  <c r="AL102" i="13" s="1"/>
  <c r="AJ101" i="13"/>
  <c r="AI101" i="13" s="1"/>
  <c r="AH101" i="13" s="1"/>
  <c r="AG101" i="13" s="1"/>
  <c r="AF101" i="13" s="1"/>
  <c r="AL101" i="13" s="1"/>
  <c r="AJ100" i="13"/>
  <c r="AI100" i="13"/>
  <c r="AH100" i="13" s="1"/>
  <c r="AG100" i="13" s="1"/>
  <c r="AF100" i="13" s="1"/>
  <c r="AL100" i="13" s="1"/>
  <c r="AJ99" i="13"/>
  <c r="AI99" i="13" s="1"/>
  <c r="AH99" i="13" s="1"/>
  <c r="AG99" i="13" s="1"/>
  <c r="AF99" i="13" s="1"/>
  <c r="AL99" i="13" s="1"/>
  <c r="AJ98" i="13"/>
  <c r="AI98" i="13" s="1"/>
  <c r="AH98" i="13" s="1"/>
  <c r="AG98" i="13" s="1"/>
  <c r="AF98" i="13" s="1"/>
  <c r="AL98" i="13" s="1"/>
  <c r="AJ97" i="13"/>
  <c r="AI97" i="13" s="1"/>
  <c r="AH97" i="13" s="1"/>
  <c r="AG97" i="13" s="1"/>
  <c r="AF97" i="13" s="1"/>
  <c r="AL97" i="13" s="1"/>
  <c r="AJ96" i="13"/>
  <c r="AI96" i="13" s="1"/>
  <c r="AH96" i="13" s="1"/>
  <c r="AG96" i="13" s="1"/>
  <c r="AF96" i="13" s="1"/>
  <c r="AL96" i="13" s="1"/>
  <c r="E14" i="14" l="1"/>
  <c r="K46" i="14"/>
  <c r="D27" i="14"/>
  <c r="F27" i="14" s="1"/>
  <c r="G27" i="14" s="1"/>
  <c r="D29" i="14"/>
  <c r="F29" i="14" s="1"/>
  <c r="G29" i="14" s="1"/>
  <c r="AL107" i="13"/>
  <c r="P109" i="13"/>
  <c r="U109" i="13" s="1"/>
  <c r="T109" i="13" s="1"/>
  <c r="S109" i="13" s="1"/>
  <c r="R109" i="13" s="1"/>
  <c r="Q109" i="13" s="1"/>
  <c r="W109" i="13" s="1"/>
  <c r="O109" i="13"/>
  <c r="P108" i="13"/>
  <c r="U108" i="13" s="1"/>
  <c r="T108" i="13" s="1"/>
  <c r="S108" i="13" s="1"/>
  <c r="R108" i="13" s="1"/>
  <c r="Q108" i="13" s="1"/>
  <c r="P26" i="13" s="1"/>
  <c r="Q26" i="13" s="1"/>
  <c r="O108" i="13"/>
  <c r="P107" i="13"/>
  <c r="U107" i="13" s="1"/>
  <c r="T107" i="13" s="1"/>
  <c r="S107" i="13" s="1"/>
  <c r="R107" i="13" s="1"/>
  <c r="Q107" i="13" s="1"/>
  <c r="P25" i="13" s="1"/>
  <c r="O25" i="13" s="1"/>
  <c r="O107" i="13"/>
  <c r="P106" i="13"/>
  <c r="U106" i="13" s="1"/>
  <c r="T106" i="13" s="1"/>
  <c r="S106" i="13" s="1"/>
  <c r="R106" i="13" s="1"/>
  <c r="Q106" i="13" s="1"/>
  <c r="P24" i="13" s="1"/>
  <c r="O106" i="13"/>
  <c r="P105" i="13"/>
  <c r="U105" i="13" s="1"/>
  <c r="T105" i="13" s="1"/>
  <c r="S105" i="13" s="1"/>
  <c r="R105" i="13" s="1"/>
  <c r="Q105" i="13" s="1"/>
  <c r="W105" i="13" s="1"/>
  <c r="O105" i="13"/>
  <c r="P104" i="13"/>
  <c r="U104" i="13" s="1"/>
  <c r="T104" i="13" s="1"/>
  <c r="S104" i="13" s="1"/>
  <c r="R104" i="13" s="1"/>
  <c r="Q104" i="13" s="1"/>
  <c r="P22" i="13" s="1"/>
  <c r="O104" i="13"/>
  <c r="P103" i="13"/>
  <c r="U103" i="13" s="1"/>
  <c r="T103" i="13" s="1"/>
  <c r="S103" i="13" s="1"/>
  <c r="R103" i="13" s="1"/>
  <c r="Q103" i="13" s="1"/>
  <c r="P21" i="13" s="1"/>
  <c r="Q21" i="13" s="1"/>
  <c r="O103" i="13"/>
  <c r="P102" i="13"/>
  <c r="U102" i="13" s="1"/>
  <c r="T102" i="13" s="1"/>
  <c r="S102" i="13" s="1"/>
  <c r="R102" i="13" s="1"/>
  <c r="Q102" i="13" s="1"/>
  <c r="P20" i="13" s="1"/>
  <c r="Q20" i="13" s="1"/>
  <c r="O102" i="13"/>
  <c r="P101" i="13"/>
  <c r="U101" i="13" s="1"/>
  <c r="T101" i="13" s="1"/>
  <c r="S101" i="13" s="1"/>
  <c r="R101" i="13" s="1"/>
  <c r="Q101" i="13" s="1"/>
  <c r="P19" i="13" s="1"/>
  <c r="Q19" i="13" s="1"/>
  <c r="O101" i="13"/>
  <c r="P100" i="13"/>
  <c r="U100" i="13" s="1"/>
  <c r="T100" i="13" s="1"/>
  <c r="S100" i="13" s="1"/>
  <c r="R100" i="13" s="1"/>
  <c r="Q100" i="13" s="1"/>
  <c r="P18" i="13" s="1"/>
  <c r="O100" i="13"/>
  <c r="P99" i="13"/>
  <c r="U99" i="13" s="1"/>
  <c r="T99" i="13" s="1"/>
  <c r="S99" i="13" s="1"/>
  <c r="R99" i="13" s="1"/>
  <c r="Q99" i="13" s="1"/>
  <c r="P17" i="13" s="1"/>
  <c r="O17" i="13" s="1"/>
  <c r="O99" i="13"/>
  <c r="P98" i="13"/>
  <c r="U98" i="13" s="1"/>
  <c r="T98" i="13" s="1"/>
  <c r="S98" i="13" s="1"/>
  <c r="R98" i="13" s="1"/>
  <c r="Q98" i="13" s="1"/>
  <c r="P16" i="13" s="1"/>
  <c r="O98" i="13"/>
  <c r="P97" i="13"/>
  <c r="U97" i="13" s="1"/>
  <c r="T97" i="13" s="1"/>
  <c r="S97" i="13" s="1"/>
  <c r="R97" i="13" s="1"/>
  <c r="O97" i="13"/>
  <c r="P96" i="13"/>
  <c r="U96" i="13" s="1"/>
  <c r="T96" i="13" s="1"/>
  <c r="O96" i="13"/>
  <c r="S92" i="13"/>
  <c r="T62" i="13"/>
  <c r="Q62" i="13"/>
  <c r="R62" i="13" s="1"/>
  <c r="H27" i="13" s="1"/>
  <c r="T61" i="13"/>
  <c r="Q61" i="13"/>
  <c r="X83" i="13" s="1"/>
  <c r="W83" i="13" s="1"/>
  <c r="T60" i="13"/>
  <c r="Q60" i="13"/>
  <c r="R60" i="13" s="1"/>
  <c r="T59" i="13"/>
  <c r="Q59" i="13"/>
  <c r="X81" i="13" s="1"/>
  <c r="T58" i="13"/>
  <c r="Q58" i="13"/>
  <c r="T57" i="13"/>
  <c r="Q57" i="13"/>
  <c r="T56" i="13"/>
  <c r="Q56" i="13"/>
  <c r="X78" i="13" s="1"/>
  <c r="W78" i="13" s="1"/>
  <c r="V78" i="13" s="1"/>
  <c r="L49" i="13"/>
  <c r="AH92" i="13" s="1"/>
  <c r="T55" i="13"/>
  <c r="Q55" i="13"/>
  <c r="X77" i="13" s="1"/>
  <c r="T54" i="13"/>
  <c r="Q54" i="13"/>
  <c r="T53" i="13"/>
  <c r="Q53" i="13"/>
  <c r="T52" i="13"/>
  <c r="Q52" i="13"/>
  <c r="T51" i="13"/>
  <c r="Q51" i="13"/>
  <c r="N73" i="13" s="1"/>
  <c r="T50" i="13"/>
  <c r="Q50" i="13"/>
  <c r="X72" i="13" s="1"/>
  <c r="T49" i="13"/>
  <c r="Q49" i="13"/>
  <c r="S25" i="13"/>
  <c r="S24" i="13"/>
  <c r="S23" i="13"/>
  <c r="S9" i="13"/>
  <c r="S7" i="13"/>
  <c r="G29" i="13"/>
  <c r="D131" i="12"/>
  <c r="G131" i="12" s="1"/>
  <c r="D130" i="12"/>
  <c r="G130" i="12" s="1"/>
  <c r="D129" i="12"/>
  <c r="G129" i="12" s="1"/>
  <c r="D128" i="12"/>
  <c r="G128" i="12" s="1"/>
  <c r="I122" i="12"/>
  <c r="K122" i="12" s="1"/>
  <c r="I121" i="12"/>
  <c r="K121" i="12" s="1"/>
  <c r="I120" i="12"/>
  <c r="K120" i="12" s="1"/>
  <c r="I119" i="12"/>
  <c r="K119" i="12" s="1"/>
  <c r="I118" i="12"/>
  <c r="K118" i="12" s="1"/>
  <c r="I110" i="12"/>
  <c r="J133" i="12" s="1"/>
  <c r="K80" i="12"/>
  <c r="K24" i="12"/>
  <c r="L24" i="12" s="1"/>
  <c r="C24" i="12"/>
  <c r="B24" i="12"/>
  <c r="K23" i="12"/>
  <c r="L23" i="12" s="1"/>
  <c r="C23" i="12"/>
  <c r="B23" i="12"/>
  <c r="K22" i="12"/>
  <c r="L22" i="12" s="1"/>
  <c r="C22" i="12"/>
  <c r="B22" i="12"/>
  <c r="K21" i="12"/>
  <c r="L21" i="12" s="1"/>
  <c r="C21" i="12"/>
  <c r="B21" i="12"/>
  <c r="C20" i="12"/>
  <c r="B20" i="12"/>
  <c r="H28" i="11"/>
  <c r="J81" i="11" s="1"/>
  <c r="K28" i="11"/>
  <c r="P39" i="11" s="1"/>
  <c r="G43" i="11"/>
  <c r="I43" i="11" s="1"/>
  <c r="G44" i="11"/>
  <c r="I44" i="11" s="1"/>
  <c r="G45" i="11"/>
  <c r="I45" i="11" s="1"/>
  <c r="G46" i="11"/>
  <c r="I46" i="11" s="1"/>
  <c r="H47" i="11"/>
  <c r="E62" i="11"/>
  <c r="E61" i="11" s="1"/>
  <c r="E60" i="11" s="1"/>
  <c r="F64" i="11"/>
  <c r="F68" i="11" s="1"/>
  <c r="H64" i="11"/>
  <c r="H68" i="11" s="1"/>
  <c r="J64" i="11"/>
  <c r="J68" i="11" s="1"/>
  <c r="I23" i="7"/>
  <c r="I18" i="7"/>
  <c r="N24" i="7"/>
  <c r="I34" i="7"/>
  <c r="K43" i="7"/>
  <c r="K45" i="7"/>
  <c r="K49" i="7"/>
  <c r="K50" i="7"/>
  <c r="K51" i="7"/>
  <c r="K52" i="7"/>
  <c r="K53" i="7"/>
  <c r="K54" i="7"/>
  <c r="I57" i="7" l="1"/>
  <c r="X24" i="13"/>
  <c r="W24" i="13" s="1"/>
  <c r="R51" i="13"/>
  <c r="H16" i="13" s="1"/>
  <c r="R59" i="13"/>
  <c r="H24" i="13" s="1"/>
  <c r="X25" i="13"/>
  <c r="W25" i="13" s="1"/>
  <c r="V25" i="13" s="1"/>
  <c r="V24" i="13" s="1"/>
  <c r="K55" i="7"/>
  <c r="G30" i="14"/>
  <c r="F30" i="14" s="1"/>
  <c r="N81" i="13"/>
  <c r="R61" i="13"/>
  <c r="H26" i="13" s="1"/>
  <c r="AL108" i="13"/>
  <c r="AL109" i="13" s="1"/>
  <c r="Q16" i="13"/>
  <c r="O16" i="13"/>
  <c r="Q24" i="13"/>
  <c r="O24" i="13"/>
  <c r="Q18" i="13"/>
  <c r="O18" i="13"/>
  <c r="Q22" i="13"/>
  <c r="O22" i="13"/>
  <c r="P23" i="13"/>
  <c r="P27" i="13"/>
  <c r="Q27" i="13" s="1"/>
  <c r="O20" i="13"/>
  <c r="Q25" i="13"/>
  <c r="O26" i="13"/>
  <c r="O21" i="13"/>
  <c r="Q17" i="13"/>
  <c r="O19" i="13"/>
  <c r="X23" i="13"/>
  <c r="W23" i="13" s="1"/>
  <c r="V16" i="13"/>
  <c r="T63" i="13"/>
  <c r="T64" i="13" s="1"/>
  <c r="L48" i="13" s="1"/>
  <c r="L50" i="13" s="1"/>
  <c r="R58" i="13"/>
  <c r="V83" i="13"/>
  <c r="U83" i="13" s="1"/>
  <c r="T83" i="13" s="1"/>
  <c r="S83" i="13" s="1"/>
  <c r="R83" i="13" s="1"/>
  <c r="Q83" i="13" s="1"/>
  <c r="P83" i="13" s="1"/>
  <c r="O83" i="13" s="1"/>
  <c r="N72" i="13"/>
  <c r="X80" i="13"/>
  <c r="W80" i="13" s="1"/>
  <c r="V80" i="13" s="1"/>
  <c r="U80" i="13" s="1"/>
  <c r="T80" i="13" s="1"/>
  <c r="S80" i="13" s="1"/>
  <c r="R80" i="13" s="1"/>
  <c r="Q80" i="13" s="1"/>
  <c r="P80" i="13" s="1"/>
  <c r="O80" i="13" s="1"/>
  <c r="N84" i="13"/>
  <c r="U78" i="13"/>
  <c r="T78" i="13" s="1"/>
  <c r="S78" i="13" s="1"/>
  <c r="R78" i="13" s="1"/>
  <c r="Q78" i="13" s="1"/>
  <c r="P78" i="13" s="1"/>
  <c r="O78" i="13" s="1"/>
  <c r="R50" i="13"/>
  <c r="H15" i="13" s="1"/>
  <c r="R53" i="13"/>
  <c r="H18" i="13" s="1"/>
  <c r="R56" i="13"/>
  <c r="H21" i="13" s="1"/>
  <c r="X75" i="13"/>
  <c r="W75" i="13" s="1"/>
  <c r="V75" i="13" s="1"/>
  <c r="U75" i="13" s="1"/>
  <c r="T75" i="13" s="1"/>
  <c r="S75" i="13" s="1"/>
  <c r="R75" i="13" s="1"/>
  <c r="Q75" i="13" s="1"/>
  <c r="P75" i="13" s="1"/>
  <c r="O75" i="13" s="1"/>
  <c r="N78" i="13"/>
  <c r="W81" i="13"/>
  <c r="V81" i="13" s="1"/>
  <c r="U81" i="13" s="1"/>
  <c r="T81" i="13" s="1"/>
  <c r="S81" i="13" s="1"/>
  <c r="R81" i="13" s="1"/>
  <c r="Q81" i="13" s="1"/>
  <c r="P81" i="13" s="1"/>
  <c r="O81" i="13" s="1"/>
  <c r="W102" i="13"/>
  <c r="W106" i="13"/>
  <c r="W99" i="13"/>
  <c r="W107" i="13"/>
  <c r="W98" i="13"/>
  <c r="W103" i="13"/>
  <c r="W104" i="13"/>
  <c r="W108" i="13"/>
  <c r="W100" i="13"/>
  <c r="W101" i="13"/>
  <c r="R52" i="13"/>
  <c r="H17" i="13" s="1"/>
  <c r="R55" i="13"/>
  <c r="H20" i="13" s="1"/>
  <c r="X73" i="13"/>
  <c r="W73" i="13" s="1"/>
  <c r="V73" i="13" s="1"/>
  <c r="U73" i="13" s="1"/>
  <c r="T73" i="13" s="1"/>
  <c r="S73" i="13" s="1"/>
  <c r="R73" i="13" s="1"/>
  <c r="Q73" i="13" s="1"/>
  <c r="P73" i="13" s="1"/>
  <c r="O73" i="13" s="1"/>
  <c r="N76" i="13"/>
  <c r="N79" i="13"/>
  <c r="R54" i="13"/>
  <c r="H19" i="13" s="1"/>
  <c r="X71" i="13"/>
  <c r="W71" i="13" s="1"/>
  <c r="V71" i="13" s="1"/>
  <c r="U71" i="13" s="1"/>
  <c r="T71" i="13" s="1"/>
  <c r="S71" i="13" s="1"/>
  <c r="R71" i="13" s="1"/>
  <c r="Q71" i="13" s="1"/>
  <c r="P71" i="13" s="1"/>
  <c r="O71" i="13" s="1"/>
  <c r="N71" i="13" s="1"/>
  <c r="R49" i="13" s="1"/>
  <c r="H14" i="13" s="1"/>
  <c r="N74" i="13"/>
  <c r="X76" i="13"/>
  <c r="W76" i="13" s="1"/>
  <c r="V76" i="13" s="1"/>
  <c r="U76" i="13" s="1"/>
  <c r="T76" i="13" s="1"/>
  <c r="S76" i="13" s="1"/>
  <c r="R76" i="13" s="1"/>
  <c r="Q76" i="13" s="1"/>
  <c r="P76" i="13" s="1"/>
  <c r="O76" i="13" s="1"/>
  <c r="N82" i="13"/>
  <c r="X84" i="13"/>
  <c r="W84" i="13" s="1"/>
  <c r="V84" i="13" s="1"/>
  <c r="U84" i="13" s="1"/>
  <c r="T84" i="13" s="1"/>
  <c r="S84" i="13" s="1"/>
  <c r="R84" i="13" s="1"/>
  <c r="Q84" i="13" s="1"/>
  <c r="P84" i="13" s="1"/>
  <c r="O84" i="13" s="1"/>
  <c r="N77" i="13"/>
  <c r="R57" i="13"/>
  <c r="H22" i="13" s="1"/>
  <c r="W72" i="13"/>
  <c r="V72" i="13" s="1"/>
  <c r="U72" i="13" s="1"/>
  <c r="T72" i="13" s="1"/>
  <c r="S72" i="13" s="1"/>
  <c r="R72" i="13" s="1"/>
  <c r="Q72" i="13" s="1"/>
  <c r="P72" i="13" s="1"/>
  <c r="O72" i="13" s="1"/>
  <c r="X74" i="13"/>
  <c r="W74" i="13" s="1"/>
  <c r="V74" i="13" s="1"/>
  <c r="U74" i="13" s="1"/>
  <c r="T74" i="13" s="1"/>
  <c r="S74" i="13" s="1"/>
  <c r="R74" i="13" s="1"/>
  <c r="Q74" i="13" s="1"/>
  <c r="P74" i="13" s="1"/>
  <c r="O74" i="13" s="1"/>
  <c r="W77" i="13"/>
  <c r="V77" i="13" s="1"/>
  <c r="U77" i="13" s="1"/>
  <c r="T77" i="13" s="1"/>
  <c r="S77" i="13" s="1"/>
  <c r="R77" i="13" s="1"/>
  <c r="Q77" i="13" s="1"/>
  <c r="P77" i="13" s="1"/>
  <c r="O77" i="13" s="1"/>
  <c r="N80" i="13"/>
  <c r="X82" i="13"/>
  <c r="W82" i="13" s="1"/>
  <c r="V82" i="13" s="1"/>
  <c r="U82" i="13" s="1"/>
  <c r="T82" i="13" s="1"/>
  <c r="S82" i="13" s="1"/>
  <c r="R82" i="13" s="1"/>
  <c r="Q82" i="13" s="1"/>
  <c r="P82" i="13" s="1"/>
  <c r="O82" i="13" s="1"/>
  <c r="X79" i="13"/>
  <c r="W79" i="13" s="1"/>
  <c r="V79" i="13" s="1"/>
  <c r="U79" i="13" s="1"/>
  <c r="T79" i="13" s="1"/>
  <c r="S79" i="13" s="1"/>
  <c r="R79" i="13" s="1"/>
  <c r="Q79" i="13" s="1"/>
  <c r="P79" i="13" s="1"/>
  <c r="O79" i="13" s="1"/>
  <c r="N75" i="13"/>
  <c r="N83" i="13"/>
  <c r="K25" i="13"/>
  <c r="K24" i="13"/>
  <c r="K22" i="13"/>
  <c r="J121" i="12"/>
  <c r="L25" i="12"/>
  <c r="K25" i="12" s="1"/>
  <c r="N27" i="7" s="1"/>
  <c r="K26" i="7" s="1"/>
  <c r="J118" i="12"/>
  <c r="F128" i="12"/>
  <c r="J120" i="12"/>
  <c r="F131" i="12"/>
  <c r="K123" i="12"/>
  <c r="G132" i="12"/>
  <c r="J119" i="12"/>
  <c r="J122" i="12"/>
  <c r="F129" i="12"/>
  <c r="K23" i="7"/>
  <c r="B25" i="12"/>
  <c r="C25" i="12" s="1"/>
  <c r="N26" i="7" s="1"/>
  <c r="K25" i="7" s="1"/>
  <c r="F130" i="12"/>
  <c r="I27" i="7"/>
  <c r="L68" i="11"/>
  <c r="I81" i="11" s="1"/>
  <c r="O39" i="11"/>
  <c r="O38" i="11" s="1"/>
  <c r="O37" i="11" s="1"/>
  <c r="O36" i="11" s="1"/>
  <c r="O35" i="11" s="1"/>
  <c r="O34" i="11" s="1"/>
  <c r="O33" i="11" s="1"/>
  <c r="I47" i="11"/>
  <c r="L48" i="11" s="1"/>
  <c r="P38" i="11"/>
  <c r="P37" i="11" s="1"/>
  <c r="P36" i="11" s="1"/>
  <c r="P35" i="11" s="1"/>
  <c r="P34" i="11" s="1"/>
  <c r="P33" i="11" s="1"/>
  <c r="H23" i="13"/>
  <c r="H25" i="13"/>
  <c r="K30" i="14" l="1"/>
  <c r="K44" i="7" s="1"/>
  <c r="K46" i="7" s="1"/>
  <c r="V23" i="13"/>
  <c r="V27" i="13" s="1"/>
  <c r="X6" i="14" s="1"/>
  <c r="O27" i="13"/>
  <c r="Q23" i="13"/>
  <c r="O23" i="13"/>
  <c r="K20" i="13"/>
  <c r="K16" i="13"/>
  <c r="K26" i="13"/>
  <c r="K21" i="13"/>
  <c r="K18" i="13"/>
  <c r="K19" i="13"/>
  <c r="K17" i="13"/>
  <c r="K23" i="13"/>
  <c r="K27" i="13"/>
  <c r="K27" i="7"/>
  <c r="K28" i="7" s="1"/>
  <c r="F132" i="12"/>
  <c r="J135" i="12" s="1"/>
  <c r="J123" i="12"/>
  <c r="J134" i="12" s="1"/>
  <c r="L81" i="11"/>
  <c r="L84" i="11" s="1"/>
  <c r="K17" i="7" s="1"/>
  <c r="K16" i="7"/>
  <c r="L39" i="11"/>
  <c r="K15" i="7" s="1"/>
  <c r="S55" i="13" l="1"/>
  <c r="U55" i="13" s="1"/>
  <c r="O8" i="13"/>
  <c r="G21" i="13" s="1"/>
  <c r="S49" i="13"/>
  <c r="U49" i="13" s="1"/>
  <c r="S58" i="13"/>
  <c r="U58" i="13" s="1"/>
  <c r="S62" i="13"/>
  <c r="U62" i="13" s="1"/>
  <c r="P127" i="13"/>
  <c r="P126" i="13" s="1"/>
  <c r="P125" i="13" s="1"/>
  <c r="P124" i="13" s="1"/>
  <c r="P123" i="13" s="1"/>
  <c r="P122" i="13" s="1"/>
  <c r="P121" i="13" s="1"/>
  <c r="P120" i="13" s="1"/>
  <c r="P119" i="13" s="1"/>
  <c r="P118" i="13" s="1"/>
  <c r="P117" i="13" s="1"/>
  <c r="S96" i="13" s="1"/>
  <c r="R96" i="13" s="1"/>
  <c r="Q96" i="13" s="1"/>
  <c r="P14" i="13" s="1"/>
  <c r="S59" i="13"/>
  <c r="U59" i="13" s="1"/>
  <c r="S53" i="13"/>
  <c r="U53" i="13" s="1"/>
  <c r="Q127" i="13"/>
  <c r="Q126" i="13" s="1"/>
  <c r="Q125" i="13" s="1"/>
  <c r="Q124" i="13" s="1"/>
  <c r="Q123" i="13" s="1"/>
  <c r="Q122" i="13" s="1"/>
  <c r="Q121" i="13" s="1"/>
  <c r="Q120" i="13" s="1"/>
  <c r="Q119" i="13" s="1"/>
  <c r="Q118" i="13" s="1"/>
  <c r="Q117" i="13" s="1"/>
  <c r="AF123" i="13"/>
  <c r="AF122" i="13" s="1"/>
  <c r="AF121" i="13" s="1"/>
  <c r="AF120" i="13" s="1"/>
  <c r="AF119" i="13" s="1"/>
  <c r="AF118" i="13" s="1"/>
  <c r="AF117" i="13" s="1"/>
  <c r="AF116" i="13" s="1"/>
  <c r="AF115" i="13" s="1"/>
  <c r="AF114" i="13" s="1"/>
  <c r="AF113" i="13" s="1"/>
  <c r="O127" i="13"/>
  <c r="O126" i="13" s="1"/>
  <c r="O125" i="13" s="1"/>
  <c r="O124" i="13" s="1"/>
  <c r="O123" i="13" s="1"/>
  <c r="O122" i="13" s="1"/>
  <c r="O121" i="13" s="1"/>
  <c r="O120" i="13" s="1"/>
  <c r="O119" i="13" s="1"/>
  <c r="O118" i="13" s="1"/>
  <c r="O117" i="13" s="1"/>
  <c r="S51" i="13"/>
  <c r="U51" i="13" s="1"/>
  <c r="S52" i="13"/>
  <c r="U52" i="13" s="1"/>
  <c r="S57" i="13"/>
  <c r="U57" i="13" s="1"/>
  <c r="U17" i="13"/>
  <c r="U16" i="13" s="1"/>
  <c r="T17" i="13" s="1"/>
  <c r="T16" i="13" s="1"/>
  <c r="S17" i="13" s="1"/>
  <c r="S16" i="13" s="1"/>
  <c r="S12" i="13" s="1"/>
  <c r="W8" i="13" s="1"/>
  <c r="S61" i="13"/>
  <c r="U61" i="13" s="1"/>
  <c r="R127" i="13"/>
  <c r="R126" i="13" s="1"/>
  <c r="R125" i="13" s="1"/>
  <c r="R124" i="13" s="1"/>
  <c r="R123" i="13" s="1"/>
  <c r="R122" i="13" s="1"/>
  <c r="R121" i="13" s="1"/>
  <c r="R120" i="13" s="1"/>
  <c r="R119" i="13" s="1"/>
  <c r="R118" i="13" s="1"/>
  <c r="R117" i="13" s="1"/>
  <c r="AC123" i="13"/>
  <c r="AC122" i="13" s="1"/>
  <c r="AC121" i="13" s="1"/>
  <c r="AC120" i="13" s="1"/>
  <c r="AC119" i="13" s="1"/>
  <c r="AC118" i="13" s="1"/>
  <c r="AC117" i="13" s="1"/>
  <c r="AC116" i="13" s="1"/>
  <c r="AC115" i="13" s="1"/>
  <c r="AC114" i="13" s="1"/>
  <c r="AC113" i="13" s="1"/>
  <c r="AD123" i="13"/>
  <c r="AD122" i="13" s="1"/>
  <c r="AD121" i="13" s="1"/>
  <c r="AD120" i="13" s="1"/>
  <c r="AD119" i="13" s="1"/>
  <c r="AD118" i="13" s="1"/>
  <c r="AD117" i="13" s="1"/>
  <c r="AD116" i="13" s="1"/>
  <c r="AD115" i="13" s="1"/>
  <c r="AD114" i="13" s="1"/>
  <c r="AD113" i="13" s="1"/>
  <c r="S56" i="13"/>
  <c r="U56" i="13" s="1"/>
  <c r="S54" i="13"/>
  <c r="U54" i="13" s="1"/>
  <c r="AE123" i="13"/>
  <c r="AE122" i="13" s="1"/>
  <c r="AE121" i="13" s="1"/>
  <c r="AE120" i="13" s="1"/>
  <c r="AE119" i="13" s="1"/>
  <c r="AE118" i="13" s="1"/>
  <c r="AE117" i="13" s="1"/>
  <c r="AE116" i="13" s="1"/>
  <c r="AE115" i="13" s="1"/>
  <c r="AE114" i="13" s="1"/>
  <c r="AE113" i="13" s="1"/>
  <c r="AG123" i="13"/>
  <c r="AG122" i="13" s="1"/>
  <c r="AG121" i="13" s="1"/>
  <c r="AG120" i="13" s="1"/>
  <c r="AG119" i="13" s="1"/>
  <c r="AG118" i="13" s="1"/>
  <c r="AG117" i="13" s="1"/>
  <c r="AG116" i="13" s="1"/>
  <c r="AG115" i="13" s="1"/>
  <c r="AG114" i="13" s="1"/>
  <c r="AG113" i="13" s="1"/>
  <c r="S50" i="13"/>
  <c r="U50" i="13" s="1"/>
  <c r="N127" i="13"/>
  <c r="N126" i="13" s="1"/>
  <c r="N125" i="13" s="1"/>
  <c r="N124" i="13" s="1"/>
  <c r="N123" i="13" s="1"/>
  <c r="N122" i="13" s="1"/>
  <c r="N121" i="13" s="1"/>
  <c r="N120" i="13" s="1"/>
  <c r="N119" i="13" s="1"/>
  <c r="N118" i="13" s="1"/>
  <c r="N117" i="13" s="1"/>
  <c r="Q97" i="13" s="1"/>
  <c r="P15" i="13" s="1"/>
  <c r="Q15" i="13" s="1"/>
  <c r="O15" i="13" s="1"/>
  <c r="S60" i="13"/>
  <c r="U60" i="13" s="1"/>
  <c r="C24" i="13"/>
  <c r="C27" i="13"/>
  <c r="C19" i="13"/>
  <c r="I25" i="13"/>
  <c r="J137" i="12"/>
  <c r="K18" i="7"/>
  <c r="L50" i="11"/>
  <c r="I14" i="13" l="1"/>
  <c r="G14" i="13" s="1"/>
  <c r="C22" i="13"/>
  <c r="I23" i="13"/>
  <c r="C26" i="13"/>
  <c r="I27" i="13"/>
  <c r="G23" i="13"/>
  <c r="G18" i="13"/>
  <c r="C20" i="13"/>
  <c r="C21" i="13"/>
  <c r="G16" i="13"/>
  <c r="C14" i="13"/>
  <c r="I26" i="13"/>
  <c r="I17" i="13"/>
  <c r="I24" i="13"/>
  <c r="G22" i="13"/>
  <c r="G8" i="13"/>
  <c r="G19" i="13"/>
  <c r="G27" i="13"/>
  <c r="I19" i="13"/>
  <c r="C23" i="13"/>
  <c r="G24" i="13"/>
  <c r="C15" i="13"/>
  <c r="C25" i="13"/>
  <c r="I21" i="13"/>
  <c r="C16" i="13"/>
  <c r="G20" i="13"/>
  <c r="C17" i="13"/>
  <c r="G26" i="13"/>
  <c r="I22" i="13"/>
  <c r="I18" i="13"/>
  <c r="G17" i="13"/>
  <c r="G15" i="13"/>
  <c r="G25" i="13"/>
  <c r="C18" i="13"/>
  <c r="I20" i="13"/>
  <c r="I15" i="13"/>
  <c r="I16" i="13"/>
  <c r="U63" i="13"/>
  <c r="Q14" i="13"/>
  <c r="O14" i="13" s="1"/>
  <c r="W96" i="13"/>
  <c r="W97" i="13"/>
  <c r="Y10" i="13"/>
  <c r="Y9" i="13" s="1"/>
  <c r="Y8" i="13" s="1"/>
  <c r="G28" i="13" l="1"/>
  <c r="D29" i="13" s="1"/>
  <c r="S68" i="13"/>
  <c r="L54" i="13" s="1"/>
  <c r="K15" i="13"/>
  <c r="Q13" i="13"/>
  <c r="O28" i="13"/>
  <c r="K14" i="13"/>
  <c r="W111" i="13"/>
  <c r="W112" i="13" s="1"/>
  <c r="W113" i="13" s="1"/>
  <c r="L64" i="13" s="1"/>
  <c r="K31" i="7"/>
  <c r="J32" i="7" l="1"/>
  <c r="C29" i="13"/>
  <c r="D28" i="13"/>
  <c r="K32" i="7" s="1"/>
  <c r="L67" i="13"/>
  <c r="N28" i="13"/>
  <c r="K33" i="7" s="1"/>
  <c r="K34" i="7" s="1"/>
  <c r="K57" i="7" s="1"/>
  <c r="J33" i="7"/>
  <c r="L29" i="13"/>
  <c r="K29" i="13"/>
</calcChain>
</file>

<file path=xl/sharedStrings.xml><?xml version="1.0" encoding="utf-8"?>
<sst xmlns="http://schemas.openxmlformats.org/spreadsheetml/2006/main" count="670" uniqueCount="524">
  <si>
    <t>Possible</t>
  </si>
  <si>
    <t xml:space="preserve">                                                                      </t>
  </si>
  <si>
    <t>Points</t>
  </si>
  <si>
    <t xml:space="preserve"> </t>
  </si>
  <si>
    <t>Subtotal</t>
  </si>
  <si>
    <t>GRAVEL</t>
  </si>
  <si>
    <t>Surface Condition</t>
  </si>
  <si>
    <t>Drainage</t>
  </si>
  <si>
    <t>Subsurface Condition</t>
  </si>
  <si>
    <t>LOCAL SIGNIFICANCE</t>
  </si>
  <si>
    <t>Vertical Alignment</t>
  </si>
  <si>
    <t>Horizontal Alignment</t>
  </si>
  <si>
    <t>Calculation Table</t>
  </si>
  <si>
    <t>AADT =</t>
  </si>
  <si>
    <t>TRUCK AADT =</t>
  </si>
  <si>
    <t>CALC</t>
  </si>
  <si>
    <t xml:space="preserve">Note: Use the larger of AADT or Truck AADT.  All traffic data  </t>
  </si>
  <si>
    <t>AADT</t>
  </si>
  <si>
    <t>TRUCK AADT</t>
  </si>
  <si>
    <t xml:space="preserve">   shall be adjusted to reflect average annual daily traffic (AADT).</t>
  </si>
  <si>
    <t>POINTS</t>
  </si>
  <si>
    <t xml:space="preserve">                                                                         </t>
  </si>
  <si>
    <t>1-100</t>
  </si>
  <si>
    <t>101-200</t>
  </si>
  <si>
    <t>201-300</t>
  </si>
  <si>
    <t>301-450</t>
  </si>
  <si>
    <t>451-600</t>
  </si>
  <si>
    <t>601-750</t>
  </si>
  <si>
    <t>&gt;750</t>
  </si>
  <si>
    <t>Trk AADT</t>
  </si>
  <si>
    <t>1-10</t>
  </si>
  <si>
    <t>11-20</t>
  </si>
  <si>
    <t>21-30</t>
  </si>
  <si>
    <t>31-45</t>
  </si>
  <si>
    <t>46-60</t>
  </si>
  <si>
    <t>61-75</t>
  </si>
  <si>
    <t>&gt;75</t>
  </si>
  <si>
    <t>TRAFFIC VOLUME SUBTOTAL</t>
  </si>
  <si>
    <t>Is the road used for:</t>
  </si>
  <si>
    <t>Check if Yes</t>
  </si>
  <si>
    <t>Available</t>
  </si>
  <si>
    <t>Assigned</t>
  </si>
  <si>
    <t>Use full points if any usage is evident</t>
  </si>
  <si>
    <t xml:space="preserve"> Agriculture?</t>
  </si>
  <si>
    <t>Logging?</t>
  </si>
  <si>
    <t>Industry?</t>
  </si>
  <si>
    <t>Recreation?</t>
  </si>
  <si>
    <t xml:space="preserve">          </t>
  </si>
  <si>
    <t>TRAFFIC USAGE SUBTOTAL</t>
  </si>
  <si>
    <t xml:space="preserve">                                            </t>
  </si>
  <si>
    <t xml:space="preserve">                      </t>
  </si>
  <si>
    <t>TOTAL TRAFFIC VOLUME RATING</t>
  </si>
  <si>
    <t>TRAFFIC ACCIDENTS (5 Points Max. for Roads - 10 Points Max. for Bridges)</t>
  </si>
  <si>
    <t>(Reported and Substantiated Unreported Accidents)</t>
  </si>
  <si>
    <t>(Indicate number of accidents, not number of fatalities, injuries or property damages)</t>
  </si>
  <si>
    <t>Year</t>
  </si>
  <si>
    <t>Prop. Damage</t>
  </si>
  <si>
    <t>Injury</t>
  </si>
  <si>
    <t xml:space="preserve">Fatality </t>
  </si>
  <si>
    <t>No. of accidents</t>
  </si>
  <si>
    <t xml:space="preserve">                                          </t>
  </si>
  <si>
    <t xml:space="preserve">    Subtotal</t>
  </si>
  <si>
    <t>Factor</t>
  </si>
  <si>
    <t>x3</t>
  </si>
  <si>
    <t xml:space="preserve">                                                     </t>
  </si>
  <si>
    <t>=</t>
  </si>
  <si>
    <t>+</t>
  </si>
  <si>
    <t>Total</t>
  </si>
  <si>
    <t>Accident Rate = Total(From Above) / AADT</t>
  </si>
  <si>
    <t>RATE</t>
  </si>
  <si>
    <t xml:space="preserve">  </t>
  </si>
  <si>
    <t>POINTS-ROADS</t>
  </si>
  <si>
    <t>POINTS-BRIDGES</t>
  </si>
  <si>
    <t xml:space="preserve">ACCIDENT RATE = </t>
  </si>
  <si>
    <t>TOTAL (From Above)/AADT, =</t>
  </si>
  <si>
    <t>TOTAL TRAFFIC ACCIDENT RATING</t>
  </si>
  <si>
    <t>(Intermediate values on scales are acceptable)</t>
  </si>
  <si>
    <t>Excellent</t>
  </si>
  <si>
    <t>Tight surface with no slick or porous areas,</t>
  </si>
  <si>
    <t xml:space="preserve"> no cracks or spalling   </t>
  </si>
  <si>
    <t>Good</t>
  </si>
  <si>
    <t>Only minor, localized transverse cracks,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</si>
  <si>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</si>
  <si>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</si>
  <si>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</si>
  <si>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</si>
  <si>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</si>
  <si>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</si>
  <si>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</si>
  <si>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</si>
  <si>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</si>
  <si>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</si>
  <si>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</si>
  <si>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</si>
  <si>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</si>
  <si>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</si>
  <si>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</si>
  <si>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</si>
  <si>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 xml:space="preserve">No signs of displacement or settling                   </t>
  </si>
  <si>
    <t xml:space="preserve">Minor localized sags along shoulder                    </t>
  </si>
  <si>
    <t xml:space="preserve">Moderate alligator cracking mid lane, some sags on </t>
  </si>
  <si>
    <t xml:space="preserve">     shoulders and  mid lane, minor localized settling</t>
  </si>
  <si>
    <t xml:space="preserve">Large areas of heavy alligator cracking, </t>
  </si>
  <si>
    <t xml:space="preserve">     extensive sagging and settling.</t>
  </si>
  <si>
    <t>Very Poor</t>
  </si>
  <si>
    <t xml:space="preserve">Major subgrade deterioration;  extensive deep sags and  </t>
  </si>
  <si>
    <t xml:space="preserve">     settling;  heavy alligator cracking throughout section.</t>
  </si>
  <si>
    <t>Structural Condition - Paved Only</t>
  </si>
  <si>
    <t>Adequate amount of surface material of proper gradation</t>
  </si>
  <si>
    <t>and well fractured.</t>
  </si>
  <si>
    <t>Some material but over sized gradation or poorly</t>
  </si>
  <si>
    <t xml:space="preserve"> fractured.</t>
  </si>
  <si>
    <t>No surface material, large loose stones, barely travelable.</t>
  </si>
  <si>
    <t xml:space="preserve">If traffic volumes and speed are such that excessive maintenance is </t>
  </si>
  <si>
    <t>required, a maximum rating may be applied.</t>
  </si>
  <si>
    <t>POINTS:</t>
  </si>
  <si>
    <t>&gt; 2000</t>
  </si>
  <si>
    <t>2'</t>
  </si>
  <si>
    <t>Horizontal curve alignment</t>
  </si>
  <si>
    <t>Range Allowed:</t>
  </si>
  <si>
    <t>3' - 4'</t>
  </si>
  <si>
    <t>Even Numbers '4 to 12, even numbers</t>
  </si>
  <si>
    <t>Project Length in Miles, (nearest .01)</t>
  </si>
  <si>
    <t>Existing</t>
  </si>
  <si>
    <t>Proposed</t>
  </si>
  <si>
    <t>Design</t>
  </si>
  <si>
    <t>Degree</t>
  </si>
  <si>
    <t>% Super-</t>
  </si>
  <si>
    <t xml:space="preserve">Curve  </t>
  </si>
  <si>
    <t xml:space="preserve">De </t>
  </si>
  <si>
    <t>elevation</t>
  </si>
  <si>
    <t>Ds</t>
  </si>
  <si>
    <t>De-Ds</t>
  </si>
  <si>
    <t>VERTICAL ALIGNMENT (5 Points Max.)</t>
  </si>
  <si>
    <t>(Use stopping sight distance standard)</t>
  </si>
  <si>
    <t>Terrain</t>
  </si>
  <si>
    <t>Minimum Des. Speed Calc. Table</t>
  </si>
  <si>
    <t>De-Ds =</t>
  </si>
  <si>
    <r>
      <t xml:space="preserve">Length of substandard vertical curves in miles, </t>
    </r>
    <r>
      <rPr>
        <b/>
        <sz val="10"/>
        <rFont val="MS Sans Serif"/>
        <family val="2"/>
      </rPr>
      <t>CL</t>
    </r>
  </si>
  <si>
    <t>Flat</t>
  </si>
  <si>
    <r>
      <t>/ 4L</t>
    </r>
    <r>
      <rPr>
        <sz val="10"/>
        <rFont val="MS Sans Serif"/>
      </rPr>
      <t xml:space="preserve"> =</t>
    </r>
  </si>
  <si>
    <r>
      <t xml:space="preserve">Project length in miles, </t>
    </r>
    <r>
      <rPr>
        <b/>
        <sz val="10"/>
        <rFont val="MS Sans Serif"/>
        <family val="2"/>
      </rPr>
      <t>PL</t>
    </r>
  </si>
  <si>
    <t>Rolling</t>
  </si>
  <si>
    <t>CL/PL</t>
  </si>
  <si>
    <t>%</t>
  </si>
  <si>
    <t>Mountainous</t>
  </si>
  <si>
    <t>Minimum Design Speed</t>
  </si>
  <si>
    <t>VERTICAL ALIGNMENT SUBTOTAL</t>
  </si>
  <si>
    <t>Speed</t>
  </si>
  <si>
    <t>Superelevation</t>
  </si>
  <si>
    <t>HORIZONTAL ALIGNMENT (5 Points Max.)</t>
  </si>
  <si>
    <t>1. Do calculation inside brackets for each curve,</t>
  </si>
  <si>
    <t xml:space="preserve">                       </t>
  </si>
  <si>
    <t>2. Sum all the curve deficiencies</t>
  </si>
  <si>
    <t xml:space="preserve">  Points =            </t>
  </si>
  <si>
    <r>
      <t>[</t>
    </r>
    <r>
      <rPr>
        <b/>
        <sz val="10"/>
        <color indexed="12"/>
        <rFont val="MS Sans Serif"/>
        <family val="2"/>
      </rPr>
      <t>De - Ds</t>
    </r>
    <r>
      <rPr>
        <b/>
        <sz val="12"/>
        <color indexed="12"/>
        <rFont val="MS Sans Serif"/>
        <family val="2"/>
      </rPr>
      <t>]</t>
    </r>
  </si>
  <si>
    <t>3. Divide the total by 4 X project length.</t>
  </si>
  <si>
    <t xml:space="preserve">   4L</t>
  </si>
  <si>
    <t>n</t>
  </si>
  <si>
    <t xml:space="preserve">Where: </t>
  </si>
  <si>
    <t>De = Degree of Existing Curves</t>
  </si>
  <si>
    <t>Ds = Degree of Design Standard Curves</t>
  </si>
  <si>
    <t xml:space="preserve"> L  = Length of Project in Miles</t>
  </si>
  <si>
    <t>HORIZONTAL ALIGNMENT SUBTOTAL</t>
  </si>
  <si>
    <t>Super rate too low</t>
  </si>
  <si>
    <t>TOTAL GEOMETRIC RATING</t>
  </si>
  <si>
    <t>FATAL ACCIDENTS</t>
  </si>
  <si>
    <t>FLAT</t>
  </si>
  <si>
    <t>ROLLING</t>
  </si>
  <si>
    <t>MOUNTAINOUS</t>
  </si>
  <si>
    <t>Exist.</t>
  </si>
  <si>
    <t>Curve No.</t>
  </si>
  <si>
    <t>Sight</t>
  </si>
  <si>
    <t>Distance</t>
  </si>
  <si>
    <t>TRUCK ADT</t>
  </si>
  <si>
    <t>From CRAB</t>
  </si>
  <si>
    <t>III. VERTICAL ALIGNMENT (10 Pts. Max.)</t>
  </si>
  <si>
    <t>1)</t>
  </si>
  <si>
    <r>
      <t xml:space="preserve">Determine safe speed - </t>
    </r>
    <r>
      <rPr>
        <b/>
        <sz val="10"/>
        <rFont val="MS Sans Serif"/>
        <family val="2"/>
      </rPr>
      <t>Vs</t>
    </r>
  </si>
  <si>
    <t>Safe</t>
  </si>
  <si>
    <t>Vs</t>
  </si>
  <si>
    <t>Vd</t>
  </si>
  <si>
    <t>Project Length in Miles</t>
  </si>
  <si>
    <r>
      <t xml:space="preserve">Safe Speed </t>
    </r>
    <r>
      <rPr>
        <b/>
        <u/>
        <sz val="10"/>
        <rFont val="MS Sans Serif"/>
        <family val="2"/>
      </rPr>
      <t>Vs</t>
    </r>
    <r>
      <rPr>
        <u/>
        <sz val="10"/>
        <rFont val="MS Sans Serif"/>
        <family val="2"/>
      </rPr>
      <t xml:space="preserve"> Calculation Table</t>
    </r>
  </si>
  <si>
    <t>Curve</t>
  </si>
  <si>
    <t>Length of</t>
  </si>
  <si>
    <t>Percent</t>
  </si>
  <si>
    <t>of</t>
  </si>
  <si>
    <t>Project</t>
  </si>
  <si>
    <t>Points Calculation:</t>
  </si>
  <si>
    <t>=%/2</t>
  </si>
  <si>
    <t>no greater than 5 points</t>
  </si>
  <si>
    <t>miles</t>
  </si>
  <si>
    <t>feet</t>
  </si>
  <si>
    <t>HORIZONTAL CURVES:</t>
  </si>
  <si>
    <t>VERTICAL CURVES:</t>
  </si>
  <si>
    <t xml:space="preserve">          Degree of Curve allowed</t>
  </si>
  <si>
    <t>Curve, ft</t>
  </si>
  <si>
    <t>(check one)</t>
  </si>
  <si>
    <t>P.D. ONLY ACCIDENTS</t>
  </si>
  <si>
    <t>Horizontal Points</t>
  </si>
  <si>
    <t>Points:</t>
  </si>
  <si>
    <t>Agriculture</t>
  </si>
  <si>
    <t>Logging</t>
  </si>
  <si>
    <t>Industry</t>
  </si>
  <si>
    <t>Recreation</t>
  </si>
  <si>
    <t>Radius</t>
  </si>
  <si>
    <t>Re</t>
  </si>
  <si>
    <t>Rs-Re =</t>
  </si>
  <si>
    <t>Rs-Re</t>
  </si>
  <si>
    <t>Rs</t>
  </si>
  <si>
    <t xml:space="preserve">          Radius Required</t>
  </si>
  <si>
    <t>Using Radius required</t>
  </si>
  <si>
    <t>Using Degree of Curve</t>
  </si>
  <si>
    <t>% Super (e)</t>
  </si>
  <si>
    <t>ADT</t>
  </si>
  <si>
    <t>Scored By CRAB</t>
  </si>
  <si>
    <t>Visual Surface Score</t>
  </si>
  <si>
    <t>from CRAB</t>
  </si>
  <si>
    <t>By Cores:  Dig or excavate down 3 ft with backhoe or auger.</t>
  </si>
  <si>
    <t xml:space="preserve"> Analyze material below surfacing.</t>
  </si>
  <si>
    <t>From Road Log</t>
  </si>
  <si>
    <t>CLASS</t>
  </si>
  <si>
    <t>SELECT ONE:</t>
  </si>
  <si>
    <t>T6 or T7</t>
  </si>
  <si>
    <t>T5</t>
  </si>
  <si>
    <t>T4</t>
  </si>
  <si>
    <t>T3</t>
  </si>
  <si>
    <t>Base</t>
  </si>
  <si>
    <t>Truck Rating</t>
  </si>
  <si>
    <t>TOTAL GRAVEL STRUCTURAL RATING</t>
  </si>
  <si>
    <t>POSSIBLE:</t>
  </si>
  <si>
    <t>SCORE</t>
  </si>
  <si>
    <t>SELECTED:</t>
  </si>
  <si>
    <t>Drainage Score</t>
  </si>
  <si>
    <t>SCORE:</t>
  </si>
  <si>
    <t>Visual Rating</t>
  </si>
  <si>
    <t>STRUCTURAL CONDITION:</t>
  </si>
  <si>
    <t>Subsurface or Soils</t>
  </si>
  <si>
    <t>*F&amp;G Truck Class</t>
  </si>
  <si>
    <t>Surfaced</t>
  </si>
  <si>
    <t>OR</t>
  </si>
  <si>
    <t>Visual</t>
  </si>
  <si>
    <t>Cores</t>
  </si>
  <si>
    <t>F&amp;G</t>
  </si>
  <si>
    <t>to 1/100s</t>
  </si>
  <si>
    <t>VOLUME:</t>
  </si>
  <si>
    <t>USAGE:</t>
  </si>
  <si>
    <t>Check each that apply:</t>
  </si>
  <si>
    <t>ACCIDENTS</t>
  </si>
  <si>
    <r>
      <t>LOCAL SIGNIFICANCE</t>
    </r>
    <r>
      <rPr>
        <b/>
        <u/>
        <sz val="7"/>
        <rFont val="MS Sans Serif"/>
        <family val="2"/>
      </rPr>
      <t/>
    </r>
  </si>
  <si>
    <t>TERRAIN</t>
  </si>
  <si>
    <t>COUNTY</t>
  </si>
  <si>
    <t>PROJECT NAME</t>
  </si>
  <si>
    <t>ACP, BST, PCC</t>
  </si>
  <si>
    <t>(Surfaced)</t>
  </si>
  <si>
    <t>(Unsurfaced)</t>
  </si>
  <si>
    <t>Unsurfaced</t>
  </si>
  <si>
    <t>INJURY, NON FATAL ACCIDENTS</t>
  </si>
  <si>
    <t>Total Visual Score</t>
  </si>
  <si>
    <t>COLLECTORS</t>
  </si>
  <si>
    <t>ROADBED WIDTH</t>
  </si>
  <si>
    <t>&lt; 400</t>
  </si>
  <si>
    <t>400 - 1500</t>
  </si>
  <si>
    <t>1500 - 2000</t>
  </si>
  <si>
    <t>Existing Roadbed Width</t>
  </si>
  <si>
    <t>Proposed Roadbed Width</t>
  </si>
  <si>
    <t xml:space="preserve">     Cannot be greater than:</t>
  </si>
  <si>
    <t>STATE OF WASHINGTON</t>
  </si>
  <si>
    <t>COUNTY ROAD ADMINISTRATION BOARD</t>
  </si>
  <si>
    <t>VERIFICATION OF 3R SCOPE FOR RAP PROJECT</t>
  </si>
  <si>
    <t>County</t>
  </si>
  <si>
    <t>Project name</t>
  </si>
  <si>
    <t>Project mileposts</t>
  </si>
  <si>
    <t xml:space="preserve">The scope of work for the RATA funding proposal mentioned above, and which was </t>
  </si>
  <si>
    <t xml:space="preserve">submitted to CRAB on </t>
  </si>
  <si>
    <t xml:space="preserve">, is based on 3R design standards as </t>
  </si>
  <si>
    <t xml:space="preserve">referrenced in the Local Agency Guidelines.   </t>
  </si>
  <si>
    <t xml:space="preserve">In keeping with these guidelines, I have considered the following factors as well as others </t>
  </si>
  <si>
    <t>in arriving at the proposed scope of improvements:</t>
  </si>
  <si>
    <t>Roadside conditions</t>
  </si>
  <si>
    <t>Funding constraints</t>
  </si>
  <si>
    <t>Environmental concerns</t>
  </si>
  <si>
    <t>Changing traffic and land use patterns</t>
  </si>
  <si>
    <t>Deterioration rate of surfacing</t>
  </si>
  <si>
    <t>Accidents or accident rates.</t>
  </si>
  <si>
    <t xml:space="preserve">Where justified, the project will include: </t>
  </si>
  <si>
    <t>Guardrail improvements or upgrades</t>
  </si>
  <si>
    <t>Approach and and transition guardrail improvements for bridges</t>
  </si>
  <si>
    <t>Beveled end sections for crossing and parallel culverts located in the clear zone.</t>
  </si>
  <si>
    <t>Relocating, protecting, or providing breakaway features for sign supports and luminaires</t>
  </si>
  <si>
    <t>Protection for exposed bridge piers and abuttments.</t>
  </si>
  <si>
    <t>Removing fixed objects from the clear zone</t>
  </si>
  <si>
    <t>Improvements to roadway geometry.</t>
  </si>
  <si>
    <t xml:space="preserve">With these and other improvements as mentioned in the project prospectus, the project </t>
  </si>
  <si>
    <t xml:space="preserve">will sufficiently extend service life, provide additonal pavement strength, restore or </t>
  </si>
  <si>
    <t>improve the original cross section, and enhance safety.</t>
  </si>
  <si>
    <t>County Engineer</t>
  </si>
  <si>
    <t>Date</t>
  </si>
  <si>
    <t>This letter must be completed prior to commencing construction and retained in the county's project files.</t>
  </si>
  <si>
    <t>SAND</t>
  </si>
  <si>
    <t>CLAY</t>
  </si>
  <si>
    <t>ORGANIC</t>
  </si>
  <si>
    <t>SILT</t>
  </si>
  <si>
    <t>GW, GP, GM, GC</t>
  </si>
  <si>
    <t>SW, SP, SM, SC</t>
  </si>
  <si>
    <t>ML, MH</t>
  </si>
  <si>
    <t>CL, CH</t>
  </si>
  <si>
    <t>OL, OH</t>
  </si>
  <si>
    <t>SE REGION DESIGNATIONS</t>
  </si>
  <si>
    <t>MAJOR DIVISIONS</t>
  </si>
  <si>
    <t>GROUP SYMBOL</t>
  </si>
  <si>
    <t>GROUP NAME</t>
  </si>
  <si>
    <t>COARSE GRAINED SOILS MORE THAN 50% RETAINED ON NO.200 SIEVE</t>
  </si>
  <si>
    <t>GRAVEL MORE THAN 50% OF COARSE FRACTION RETAINED ON NO.4 SIEVE</t>
  </si>
  <si>
    <t>CLEAN GRAVEL</t>
  </si>
  <si>
    <t>GW</t>
  </si>
  <si>
    <t>WELL-GRADED GRAVEL, FINE TO COARSE GRAVEL</t>
  </si>
  <si>
    <t>GP</t>
  </si>
  <si>
    <t>POORLY-GRADED GRAVEL</t>
  </si>
  <si>
    <t>GRAVEL WITH FINES</t>
  </si>
  <si>
    <t>GM</t>
  </si>
  <si>
    <t>SILTY GRAVEL</t>
  </si>
  <si>
    <t>GC</t>
  </si>
  <si>
    <t>CLAYEY GRAVEL</t>
  </si>
  <si>
    <t>SAND MORE THAN 50% OF COARSE FRACTION PASSES NO.4 SIEVE</t>
  </si>
  <si>
    <t>CLEAN SAND</t>
  </si>
  <si>
    <t>SW</t>
  </si>
  <si>
    <t>WELL-GRADED SAND, FINE TO COARSE SAND</t>
  </si>
  <si>
    <t>SP</t>
  </si>
  <si>
    <t>POORLY-GRADED SAND</t>
  </si>
  <si>
    <t>SAND WITH FINES</t>
  </si>
  <si>
    <t>SM</t>
  </si>
  <si>
    <t>SILTY SAND</t>
  </si>
  <si>
    <t>SC</t>
  </si>
  <si>
    <t>CLAYEY SAND</t>
  </si>
  <si>
    <t>FINE GRAINED SOILS MORE THAN 50% PASSES NO.200 SIEVE</t>
  </si>
  <si>
    <t>SILT AND CLAY LIQUID LIMIT LESS THAN 50</t>
  </si>
  <si>
    <t>INORGANIC</t>
  </si>
  <si>
    <t>ML</t>
  </si>
  <si>
    <t>CL</t>
  </si>
  <si>
    <t>OL</t>
  </si>
  <si>
    <t>ORGANIC SILT, ORGANIC CLAY</t>
  </si>
  <si>
    <t>SILT AND CLAY LIQUID LIMIT 50 OR MORE</t>
  </si>
  <si>
    <t>MH</t>
  </si>
  <si>
    <t>SILT OF HIGH PLASTICITY, ELASTIC SILT</t>
  </si>
  <si>
    <t>CH</t>
  </si>
  <si>
    <t>CLAY OF HIGH PLASTICITY, FAT CLAY</t>
  </si>
  <si>
    <t>OH</t>
  </si>
  <si>
    <t>ORGANIC CLAY, ORGANIC SILT</t>
  </si>
  <si>
    <t>HIGHLY ORGANIC SOILS</t>
  </si>
  <si>
    <t>PT</t>
  </si>
  <si>
    <t>PEAT</t>
  </si>
  <si>
    <t>Improved</t>
  </si>
  <si>
    <t>Exist Sight</t>
  </si>
  <si>
    <t>Stnd</t>
  </si>
  <si>
    <t>Curve #</t>
  </si>
  <si>
    <t>Deficient Length</t>
  </si>
  <si>
    <t>TRAFFIC RATING</t>
  </si>
  <si>
    <t>PROJECT LENGTH, MI.</t>
  </si>
  <si>
    <t>Scored</t>
  </si>
  <si>
    <t>TRAFFIC:</t>
  </si>
  <si>
    <t>TRAFFIC VOLUME</t>
  </si>
  <si>
    <t>TRAFFIC USAGE</t>
  </si>
  <si>
    <t>TRAFFIC ACCIDENTS</t>
  </si>
  <si>
    <t>STRUCTURAL RATING</t>
  </si>
  <si>
    <t>Surface Type</t>
  </si>
  <si>
    <t>1. VISUAL:</t>
  </si>
  <si>
    <t>3. FREIGHT AND GOODS CLASS</t>
  </si>
  <si>
    <t>GRAVELS</t>
  </si>
  <si>
    <t>SILTS</t>
  </si>
  <si>
    <t>GEOMETRY:</t>
  </si>
  <si>
    <t>T1-T3</t>
  </si>
  <si>
    <t>Road Width (shoulder to shoulder)</t>
  </si>
  <si>
    <t>GEOMETRY RATING</t>
  </si>
  <si>
    <t>Minimum</t>
  </si>
  <si>
    <t>Widening</t>
  </si>
  <si>
    <t>Speed:</t>
  </si>
  <si>
    <t>STANDARD</t>
  </si>
  <si>
    <t>5' - 8'</t>
  </si>
  <si>
    <t>3R CHECKLIST:</t>
  </si>
  <si>
    <t>(35 points max.)</t>
  </si>
  <si>
    <t>Roadside Safety - Reduce Roadside Hazards</t>
  </si>
  <si>
    <t xml:space="preserve">Sideslopes and guardaril </t>
  </si>
  <si>
    <t>Dd</t>
  </si>
  <si>
    <t>Culvert end treatments</t>
  </si>
  <si>
    <t>Remove Structures and Obstructions</t>
  </si>
  <si>
    <t>Relocate Utility Poles</t>
  </si>
  <si>
    <t xml:space="preserve">Intersection Operation - Improvements </t>
  </si>
  <si>
    <t>Install 36 inch stop sign(s)</t>
  </si>
  <si>
    <t>Rumble pattern buttons for I/S</t>
  </si>
  <si>
    <t>Bring I/S sight distance to standard</t>
  </si>
  <si>
    <t>Flashing lights on stop sign</t>
  </si>
  <si>
    <t>Flashing intersection signal</t>
  </si>
  <si>
    <t>TOTAL SE 3R RAP WORKSHEET RATING:</t>
  </si>
  <si>
    <t>Vert Pts</t>
  </si>
  <si>
    <t>CUM. AVG</t>
  </si>
  <si>
    <t>AVG</t>
  </si>
  <si>
    <t>NOTES:</t>
  </si>
  <si>
    <t xml:space="preserve">   1.  Points for Visual Rating portion of the STRUCTURAL RATING will be assigned by the RAP Engineer.</t>
  </si>
  <si>
    <t xml:space="preserve">   2.  No points are allowed for conditions which are not going to be improved by the proposed project.</t>
  </si>
  <si>
    <t>3R CHECKLIST</t>
  </si>
  <si>
    <t>Design Speed</t>
  </si>
  <si>
    <t>Rate only fot those conditions that will be improved to standard</t>
  </si>
  <si>
    <t>Attach Roadside Hazard Review</t>
  </si>
  <si>
    <t>Sideslopes and Guardrail (25)</t>
  </si>
  <si>
    <t>Reduce Roadside Hazards</t>
  </si>
  <si>
    <t>Condition:</t>
  </si>
  <si>
    <t>Project length</t>
  </si>
  <si>
    <t>Sideslopes and Guardrail</t>
  </si>
  <si>
    <t>Slopes or cuts must be 2:1 or steeper</t>
  </si>
  <si>
    <t>X 25 pts =</t>
  </si>
  <si>
    <t>points</t>
  </si>
  <si>
    <t>fill sections must be 6' or higher</t>
  </si>
  <si>
    <t>Calculated as % project length treated X 25 pts</t>
  </si>
  <si>
    <t>Culvert End Treatments (5)</t>
  </si>
  <si>
    <t>Count road approach culverts to be beveled, Cross culverts to have safety bars added.</t>
  </si>
  <si>
    <t>1 pt for each treatment, up to 5 points</t>
  </si>
  <si>
    <t>for Safety Bars on cross culverts</t>
  </si>
  <si>
    <t>Remove Structure and Obstructions (15)</t>
  </si>
  <si>
    <t>and beveled ends on road approach culverts</t>
  </si>
  <si>
    <t>Remove structure and obstuction from clear zone</t>
  </si>
  <si>
    <t>Objects per mile</t>
  </si>
  <si>
    <t>Attach Inventory Sheet</t>
  </si>
  <si>
    <t>a)</t>
  </si>
  <si>
    <t>Structures and Obstructions</t>
  </si>
  <si>
    <t>non - mail box</t>
  </si>
  <si>
    <t>trees, stumps &gt; 1.5 ft above ground level,</t>
  </si>
  <si>
    <t>Subtotals:</t>
  </si>
  <si>
    <t>Number of</t>
  </si>
  <si>
    <t xml:space="preserve">houses, concrete structures, </t>
  </si>
  <si>
    <t>1 - 4 / mile</t>
  </si>
  <si>
    <t>Mail Boxes</t>
  </si>
  <si>
    <t>non - breakaway sign supports.</t>
  </si>
  <si>
    <t>5 - 10 / mile</t>
  </si>
  <si>
    <t>&gt; 10 / mile</t>
  </si>
  <si>
    <t>b)</t>
  </si>
  <si>
    <t>mailboxes</t>
  </si>
  <si>
    <t>10 Max.</t>
  </si>
  <si>
    <t>Relocate Utility Poles (5)</t>
  </si>
  <si>
    <t xml:space="preserve">  (to outside of clear zone,</t>
  </si>
  <si>
    <t>No. of poles to be relocated 4 ft beyond back of ditch or outside of clear zone</t>
  </si>
  <si>
    <t xml:space="preserve">  or 4' beyond back of ditch)</t>
  </si>
  <si>
    <t>25 pts allowed</t>
  </si>
  <si>
    <t>Improve Intersection Operation</t>
  </si>
  <si>
    <t>Check each that apply</t>
  </si>
  <si>
    <t>Left Turn lanes (not turn pockets or tapers)</t>
  </si>
  <si>
    <t>Left Turn Lanes</t>
  </si>
  <si>
    <t>36 inch stop sign</t>
  </si>
  <si>
    <t>Does not include right turn pockets</t>
  </si>
  <si>
    <t>Rumble pattern buttons before intersection</t>
  </si>
  <si>
    <t xml:space="preserve"> or tapers</t>
  </si>
  <si>
    <t>Bring Intersection sight distance to standard</t>
  </si>
  <si>
    <t>Install 36 inch stop signs</t>
  </si>
  <si>
    <t>Allowed</t>
  </si>
  <si>
    <t>Install Rumble button pattern</t>
  </si>
  <si>
    <t>in advance of intersection</t>
  </si>
  <si>
    <t xml:space="preserve">Install flashing lights on stop or other I/S </t>
  </si>
  <si>
    <t>warning sign</t>
  </si>
  <si>
    <t>Flashing I/S signal</t>
  </si>
  <si>
    <t>10 pts allowed</t>
  </si>
  <si>
    <t>TRAFFIC VOLUME AND USAGE (12 Points Max.)</t>
  </si>
  <si>
    <t>USAGE (5 Points Max.)</t>
  </si>
  <si>
    <t>No. Acc.</t>
  </si>
  <si>
    <t>Sheet 4 of 6</t>
  </si>
  <si>
    <t>1. SURFACE CONDITION  (2 Points Max)</t>
  </si>
  <si>
    <t>2. DRAINAGE  (5 Points Max.)</t>
  </si>
  <si>
    <t>3. BASE OR FOUNDATION CONDITION  (5 Points Max)</t>
  </si>
  <si>
    <t xml:space="preserve">SILT  </t>
  </si>
  <si>
    <t>4. TRUCK CLASS RATING  (8 Points Max.)</t>
  </si>
  <si>
    <t>Widening:</t>
  </si>
  <si>
    <t>DESIGN ROADBED WIDTH CALCULATION</t>
  </si>
  <si>
    <t>weighted</t>
  </si>
  <si>
    <r>
      <t xml:space="preserve">LIST   ALL   </t>
    </r>
    <r>
      <rPr>
        <b/>
        <sz val="10"/>
        <color indexed="10"/>
        <rFont val="MS Sans Serif"/>
        <family val="2"/>
      </rPr>
      <t>DEFICIENT</t>
    </r>
    <r>
      <rPr>
        <sz val="10"/>
        <color indexed="10"/>
        <rFont val="MS Sans Serif"/>
        <family val="2"/>
      </rPr>
      <t xml:space="preserve">   CURVES</t>
    </r>
  </si>
  <si>
    <r>
      <t xml:space="preserve">Number of </t>
    </r>
    <r>
      <rPr>
        <b/>
        <u/>
        <sz val="10"/>
        <rFont val="MS Sans Serif"/>
        <family val="2"/>
      </rPr>
      <t>non mailbox</t>
    </r>
    <r>
      <rPr>
        <sz val="10"/>
        <rFont val="MS Sans Serif"/>
      </rPr>
      <t xml:space="preserve"> objects that are </t>
    </r>
    <r>
      <rPr>
        <b/>
        <sz val="10"/>
        <rFont val="MS Sans Serif"/>
        <family val="2"/>
      </rPr>
      <t>"Roadside Hazards"</t>
    </r>
  </si>
  <si>
    <r>
      <t>VOLUME (</t>
    </r>
    <r>
      <rPr>
        <b/>
        <sz val="10"/>
        <color indexed="10"/>
        <rFont val="MS Sans Serif"/>
        <family val="2"/>
      </rPr>
      <t>7</t>
    </r>
    <r>
      <rPr>
        <sz val="10"/>
        <rFont val="MS Sans Serif"/>
      </rPr>
      <t xml:space="preserve"> Points Max.)</t>
    </r>
  </si>
  <si>
    <r>
      <t xml:space="preserve">Good/Adequate = </t>
    </r>
    <r>
      <rPr>
        <b/>
        <sz val="10"/>
        <color indexed="10"/>
        <rFont val="MS Sans Serif"/>
        <family val="2"/>
      </rPr>
      <t>0</t>
    </r>
  </si>
  <si>
    <r>
      <t xml:space="preserve">   Fair = </t>
    </r>
    <r>
      <rPr>
        <b/>
        <sz val="10"/>
        <color indexed="10"/>
        <rFont val="MS Sans Serif"/>
        <family val="2"/>
      </rPr>
      <t>3</t>
    </r>
  </si>
  <si>
    <r>
      <t xml:space="preserve">Poor = </t>
    </r>
    <r>
      <rPr>
        <b/>
        <sz val="10"/>
        <color indexed="10"/>
        <rFont val="MS Sans Serif"/>
        <family val="2"/>
      </rPr>
      <t>5</t>
    </r>
  </si>
  <si>
    <t>THIS SECTION NOT USED IN SCORING, LISTED AS AN EXAMPLE</t>
  </si>
  <si>
    <t>Information for the above columns to be taken from another input sheet</t>
  </si>
  <si>
    <t>Left Turn lanes or Round-About</t>
  </si>
  <si>
    <t>x6</t>
  </si>
  <si>
    <t>x15</t>
  </si>
  <si>
    <t>3R projects require Engineer's Design Considerations letter to the project file prior to construction.</t>
  </si>
  <si>
    <t>SE 3R</t>
  </si>
  <si>
    <r>
      <rPr>
        <b/>
        <sz val="10"/>
        <rFont val="MS Sans Serif"/>
      </rPr>
      <t xml:space="preserve">1. </t>
    </r>
    <r>
      <rPr>
        <sz val="10"/>
        <rFont val="MS Sans Serif"/>
      </rPr>
      <t>SURFACE CONDITION (5 Points Max.)</t>
    </r>
  </si>
  <si>
    <r>
      <rPr>
        <b/>
        <u/>
        <sz val="10"/>
        <rFont val="MS Sans Serif"/>
      </rPr>
      <t>2.</t>
    </r>
    <r>
      <rPr>
        <u/>
        <sz val="10"/>
        <rFont val="MS Sans Serif"/>
        <family val="2"/>
      </rPr>
      <t xml:space="preserve"> DRAINAGE (5 pts Max)  </t>
    </r>
  </si>
  <si>
    <r>
      <rPr>
        <b/>
        <u/>
        <sz val="10"/>
        <rFont val="MS Sans Serif"/>
      </rPr>
      <t>3.</t>
    </r>
    <r>
      <rPr>
        <u/>
        <sz val="10"/>
        <rFont val="MS Sans Serif"/>
        <family val="2"/>
      </rPr>
      <t xml:space="preserve"> SUBSURFACE CONDITION (10 pts Max)</t>
    </r>
  </si>
  <si>
    <t>FOR Surfaced Roads</t>
  </si>
  <si>
    <t>ROADBED WIDTH  Calc.</t>
  </si>
  <si>
    <r>
      <t xml:space="preserve">Length of project to be improved in </t>
    </r>
    <r>
      <rPr>
        <b/>
        <sz val="10"/>
        <rFont val="MS Sans Serif"/>
        <family val="2"/>
      </rPr>
      <t>miles</t>
    </r>
    <r>
      <rPr>
        <sz val="10"/>
        <rFont val="MS Sans Serif"/>
      </rPr>
      <t xml:space="preserve">, </t>
    </r>
    <r>
      <rPr>
        <sz val="10"/>
        <color rgb="FFFF0000"/>
        <rFont val="MS Sans Serif"/>
      </rPr>
      <t xml:space="preserve">for slopes </t>
    </r>
    <r>
      <rPr>
        <u/>
        <sz val="10"/>
        <color rgb="FFFF0000"/>
        <rFont val="MS Sans Serif"/>
      </rPr>
      <t>&gt;</t>
    </r>
    <r>
      <rPr>
        <sz val="10"/>
        <color rgb="FFFF0000"/>
        <rFont val="MS Sans Serif"/>
      </rPr>
      <t xml:space="preserve"> 6 ft. and 2:1 or steeper.</t>
    </r>
  </si>
  <si>
    <t>Count once for any and all improvements</t>
  </si>
  <si>
    <t xml:space="preserve">A. Roadside Safety - Reduce Roadside Hazards (25 pts) </t>
  </si>
  <si>
    <t>Attach Hazard Review Documentation</t>
  </si>
  <si>
    <t xml:space="preserve">B. Intersection Operation - Improvements  (10 pts)  </t>
  </si>
  <si>
    <t>submit warrants and accident history</t>
  </si>
  <si>
    <t>(Surface, Drainage and Subsurface points to be filled out by CRAB)</t>
  </si>
  <si>
    <t>Scoring Sheets</t>
  </si>
  <si>
    <t xml:space="preserve">        (Intermediate values on scales are acceptable)</t>
  </si>
  <si>
    <t>Scored by County, above</t>
  </si>
  <si>
    <t>(Surface Condition and Drainage points to be filled out by CRAB)</t>
  </si>
  <si>
    <t>Surfaced Road</t>
  </si>
  <si>
    <t>Unsurfaced Road</t>
  </si>
  <si>
    <t>2. CORES:</t>
  </si>
  <si>
    <t>Use a backhoe or auger, to depth of 3 ft.</t>
  </si>
  <si>
    <t>Provided by County</t>
  </si>
  <si>
    <t>Provided by CRAB Staff</t>
  </si>
  <si>
    <t>Gravel, Earth, etc.</t>
  </si>
  <si>
    <t>See USCS sheet</t>
  </si>
  <si>
    <r>
      <t xml:space="preserve">Add </t>
    </r>
    <r>
      <rPr>
        <b/>
        <u/>
        <sz val="8"/>
        <color rgb="FF7030A0"/>
        <rFont val="MS Sans Serif"/>
      </rPr>
      <t>Cores and Freight &amp; Goods Class data</t>
    </r>
    <r>
      <rPr>
        <b/>
        <sz val="8"/>
        <color rgb="FF7030A0"/>
        <rFont val="MS Sans Serif"/>
      </rPr>
      <t xml:space="preserve"> for gravel or unsurfaced Roads Only:</t>
    </r>
  </si>
  <si>
    <t>ONE:</t>
  </si>
  <si>
    <t xml:space="preserve"> ONE:</t>
  </si>
  <si>
    <t>SELECT</t>
  </si>
  <si>
    <t>EXISTING - shoulder to shoulder</t>
  </si>
  <si>
    <t>PROPOSED - shoulder to shoulder</t>
  </si>
  <si>
    <t>Check if this is your one Local Significant Route this RAP Cycle</t>
  </si>
  <si>
    <t>Bring Intersection to Sight Distance Standard</t>
  </si>
  <si>
    <t>SE Region</t>
  </si>
  <si>
    <r>
      <t xml:space="preserve">RAP </t>
    </r>
    <r>
      <rPr>
        <b/>
        <sz val="20"/>
        <color indexed="30"/>
        <rFont val="Arial"/>
        <family val="2"/>
      </rPr>
      <t>3R</t>
    </r>
    <r>
      <rPr>
        <b/>
        <sz val="20"/>
        <color indexed="62"/>
        <rFont val="Arial"/>
        <family val="2"/>
      </rPr>
      <t xml:space="preserve"> project</t>
    </r>
  </si>
  <si>
    <t>3R RATING SUMMARY:</t>
  </si>
  <si>
    <t>Use the last five
full years' reports</t>
  </si>
  <si>
    <r>
      <t xml:space="preserve">STRUCTURAL CONDITION  </t>
    </r>
    <r>
      <rPr>
        <b/>
        <sz val="10"/>
        <rFont val="MS Sans Serif"/>
      </rPr>
      <t xml:space="preserve"> </t>
    </r>
    <r>
      <rPr>
        <b/>
        <sz val="10"/>
        <color rgb="FF0070C0"/>
        <rFont val="MS Sans Serif"/>
      </rPr>
      <t>GRAVEL</t>
    </r>
    <r>
      <rPr>
        <sz val="10"/>
        <rFont val="MS Sans Serif"/>
      </rPr>
      <t xml:space="preserve"> (</t>
    </r>
    <r>
      <rPr>
        <b/>
        <sz val="10"/>
        <color indexed="10"/>
        <rFont val="MS Sans Serif"/>
        <family val="2"/>
      </rPr>
      <t>20</t>
    </r>
    <r>
      <rPr>
        <sz val="10"/>
        <rFont val="MS Sans Serif"/>
      </rPr>
      <t xml:space="preserve"> Points Max.)</t>
    </r>
  </si>
  <si>
    <t>Unsurfaced 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</si>
</sst>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0.0000"/>
    <numFmt numFmtId="166" formatCode="0.0"/>
    <numFmt numFmtId="167" formatCode="#"/>
    <numFmt numFmtId="168" formatCode="[$-409]mmmm\ d\,\ yyyy;@"/>
  </numFmts>
  <fonts count="89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u/>
      <sz val="12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8.5"/>
      <color indexed="10"/>
      <name val="MS Sans Serif"/>
      <family val="2"/>
    </font>
    <font>
      <b/>
      <sz val="10"/>
      <color indexed="14"/>
      <name val="MS Sans Serif"/>
      <family val="2"/>
    </font>
    <font>
      <sz val="8.5"/>
      <color indexed="12"/>
      <name val="MS Sans Serif"/>
      <family val="2"/>
    </font>
    <font>
      <b/>
      <sz val="12"/>
      <color indexed="12"/>
      <name val="MS Sans Serif"/>
      <family val="2"/>
    </font>
    <font>
      <b/>
      <sz val="10"/>
      <color indexed="12"/>
      <name val="MS Sans Serif"/>
      <family val="2"/>
    </font>
    <font>
      <b/>
      <sz val="8.5"/>
      <color indexed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8"/>
      <name val="MS Sans Serif"/>
      <family val="2"/>
    </font>
    <font>
      <b/>
      <u/>
      <sz val="8"/>
      <name val="MS Sans Serif"/>
      <family val="2"/>
    </font>
    <font>
      <b/>
      <u/>
      <sz val="12"/>
      <color indexed="14"/>
      <name val="MS Sans Serif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u/>
      <sz val="8"/>
      <name val="MS Sans Serif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8"/>
      <color indexed="10"/>
      <name val="MS Sans Serif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b/>
      <u/>
      <sz val="10"/>
      <color indexed="12"/>
      <name val="MS Sans Serif"/>
      <family val="2"/>
    </font>
    <font>
      <b/>
      <u/>
      <sz val="7"/>
      <name val="MS Sans Serif"/>
      <family val="2"/>
    </font>
    <font>
      <b/>
      <sz val="10"/>
      <color indexed="12"/>
      <name val="MS Sans Serif"/>
      <family val="2"/>
    </font>
    <font>
      <sz val="10"/>
      <color indexed="9"/>
      <name val="MS Sans Serif"/>
      <family val="2"/>
    </font>
    <font>
      <b/>
      <sz val="10"/>
      <name val="Arial"/>
      <family val="2"/>
    </font>
    <font>
      <sz val="14"/>
      <name val="Courier New"/>
      <family val="3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8.5"/>
      <name val="MS Sans Serif"/>
      <family val="2"/>
    </font>
    <font>
      <b/>
      <sz val="12"/>
      <color indexed="14"/>
      <name val="MS Sans Serif"/>
      <family val="2"/>
    </font>
    <font>
      <b/>
      <sz val="8.5"/>
      <name val="Verdana"/>
      <family val="2"/>
    </font>
    <font>
      <b/>
      <sz val="8.5"/>
      <color indexed="14"/>
      <name val="MS Sans Serif"/>
      <family val="2"/>
    </font>
    <font>
      <sz val="8.5"/>
      <name val="Verdana"/>
      <family val="2"/>
    </font>
    <font>
      <b/>
      <sz val="8.5"/>
      <name val="MS Sans Serif"/>
      <family val="2"/>
    </font>
    <font>
      <sz val="8.5"/>
      <name val="Times New Roman"/>
      <family val="1"/>
    </font>
    <font>
      <sz val="8"/>
      <color indexed="9"/>
      <name val="MS Sans Serif"/>
      <family val="2"/>
    </font>
    <font>
      <sz val="14"/>
      <color indexed="10"/>
      <name val="MS Sans Serif"/>
      <family val="2"/>
    </font>
    <font>
      <sz val="7"/>
      <color indexed="10"/>
      <name val="MS Sans Serif"/>
      <family val="2"/>
    </font>
    <font>
      <b/>
      <sz val="18"/>
      <name val="MS Sans Serif"/>
      <family val="2"/>
    </font>
    <font>
      <b/>
      <sz val="8"/>
      <color indexed="10"/>
      <name val="MS Sans Serif"/>
      <family val="2"/>
    </font>
    <font>
      <b/>
      <u/>
      <sz val="24"/>
      <name val="MS Sans Serif"/>
      <family val="2"/>
    </font>
    <font>
      <b/>
      <sz val="10"/>
      <name val="MS Sans Serif"/>
    </font>
    <font>
      <b/>
      <u/>
      <sz val="10"/>
      <name val="MS Sans Serif"/>
    </font>
    <font>
      <u/>
      <sz val="10"/>
      <name val="MS Sans Serif"/>
    </font>
    <font>
      <sz val="8"/>
      <name val="MS Sans Serif"/>
    </font>
    <font>
      <sz val="10"/>
      <color rgb="FFFF0000"/>
      <name val="MS Sans Serif"/>
    </font>
    <font>
      <u/>
      <sz val="10"/>
      <color rgb="FFFF0000"/>
      <name val="MS Sans Serif"/>
    </font>
    <font>
      <b/>
      <u/>
      <sz val="10"/>
      <color indexed="12"/>
      <name val="MS Sans Serif"/>
    </font>
    <font>
      <u/>
      <sz val="8"/>
      <color indexed="12"/>
      <name val="MS Sans Serif"/>
      <family val="2"/>
    </font>
    <font>
      <sz val="9"/>
      <name val="MS Sans Serif"/>
    </font>
    <font>
      <sz val="9"/>
      <color indexed="10"/>
      <name val="Arial"/>
      <family val="2"/>
    </font>
    <font>
      <sz val="9"/>
      <name val="Arial"/>
      <family val="2"/>
    </font>
    <font>
      <b/>
      <u/>
      <sz val="8"/>
      <color indexed="10"/>
      <name val="Arial"/>
      <family val="2"/>
    </font>
    <font>
      <b/>
      <sz val="8"/>
      <color rgb="FFFF0000"/>
      <name val="MS Sans Serif"/>
    </font>
    <font>
      <b/>
      <sz val="8"/>
      <color rgb="FF7030A0"/>
      <name val="MS Sans Serif"/>
    </font>
    <font>
      <b/>
      <u/>
      <sz val="8"/>
      <color rgb="FF7030A0"/>
      <name val="MS Sans Serif"/>
    </font>
    <font>
      <u/>
      <sz val="8"/>
      <name val="MS Sans Serif"/>
    </font>
    <font>
      <sz val="10"/>
      <color rgb="FFFF0000"/>
      <name val="MS Sans Serif"/>
      <family val="2"/>
    </font>
    <font>
      <b/>
      <sz val="20"/>
      <color rgb="FF7030A0"/>
      <name val="Arial"/>
      <family val="2"/>
    </font>
    <font>
      <b/>
      <sz val="20"/>
      <color indexed="30"/>
      <name val="Arial"/>
      <family val="2"/>
    </font>
    <font>
      <b/>
      <sz val="20"/>
      <color indexed="62"/>
      <name val="Arial"/>
      <family val="2"/>
    </font>
    <font>
      <sz val="10"/>
      <color theme="0" tint="-0.14999847407452621"/>
      <name val="MS Sans Serif"/>
    </font>
    <font>
      <b/>
      <sz val="10"/>
      <color rgb="FF0070C0"/>
      <name val="MS Sans Serif"/>
    </font>
    <font>
      <b/>
      <sz val="16"/>
      <color rgb="FF0070C0"/>
      <name val="MS Sans Serif"/>
    </font>
    <font>
      <sz val="10"/>
      <color rgb="FF0070C0"/>
      <name val="MS Sans Serif"/>
    </font>
    <font>
      <sz val="18"/>
      <color rgb="FF0070C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/>
      <right style="medium">
        <color indexed="50"/>
      </right>
      <top/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/>
      <right/>
      <top style="thin">
        <color indexed="64"/>
      </top>
      <bottom style="medium">
        <color indexed="5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6">
    <xf numFmtId="0" fontId="0" fillId="0" borderId="0"/>
    <xf numFmtId="40" fontId="4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0" fillId="0" borderId="0">
      <alignment horizontal="center"/>
    </xf>
    <xf numFmtId="9" fontId="2" fillId="0" borderId="0" applyFont="0" applyFill="0" applyBorder="0" applyAlignment="0" applyProtection="0"/>
  </cellStyleXfs>
  <cellXfs count="625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4" fillId="0" borderId="0" xfId="0" applyFont="1" applyAlignment="1" applyProtection="1">
      <alignment horizontal="left"/>
    </xf>
    <xf numFmtId="0" fontId="0" fillId="0" borderId="6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Protection="1"/>
    <xf numFmtId="0" fontId="2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40" fillId="0" borderId="0" xfId="0" applyFont="1" applyProtection="1"/>
    <xf numFmtId="0" fontId="0" fillId="0" borderId="0" xfId="0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0" fillId="0" borderId="5" xfId="0" applyBorder="1" applyAlignment="1" applyProtection="1"/>
    <xf numFmtId="0" fontId="11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23" fillId="0" borderId="0" xfId="0" applyFont="1" applyBorder="1" applyAlignment="1" applyProtection="1"/>
    <xf numFmtId="0" fontId="0" fillId="0" borderId="5" xfId="0" applyBorder="1" applyProtection="1"/>
    <xf numFmtId="0" fontId="18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0" fillId="0" borderId="0" xfId="0" quotePrefix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27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2" fontId="0" fillId="0" borderId="17" xfId="0" applyNumberFormat="1" applyBorder="1" applyAlignment="1" applyProtection="1">
      <alignment horizontal="center"/>
    </xf>
    <xf numFmtId="0" fontId="40" fillId="0" borderId="0" xfId="0" applyFont="1" applyFill="1" applyAlignment="1" applyProtection="1">
      <alignment horizontal="right"/>
    </xf>
    <xf numFmtId="0" fontId="48" fillId="0" borderId="0" xfId="0" applyFont="1"/>
    <xf numFmtId="0" fontId="50" fillId="3" borderId="0" xfId="0" applyFont="1" applyFill="1"/>
    <xf numFmtId="0" fontId="48" fillId="3" borderId="0" xfId="0" applyFont="1" applyFill="1"/>
    <xf numFmtId="0" fontId="1" fillId="0" borderId="0" xfId="0" applyFont="1"/>
    <xf numFmtId="0" fontId="27" fillId="0" borderId="0" xfId="0" applyFont="1" applyBorder="1" applyAlignment="1" applyProtection="1">
      <alignment horizontal="left"/>
    </xf>
    <xf numFmtId="0" fontId="51" fillId="0" borderId="0" xfId="4" applyFont="1" applyAlignment="1">
      <alignment horizontal="center" vertical="center"/>
    </xf>
    <xf numFmtId="0" fontId="53" fillId="0" borderId="0" xfId="4" applyFont="1" applyAlignment="1">
      <alignment horizontal="center" vertical="center"/>
    </xf>
    <xf numFmtId="0" fontId="53" fillId="0" borderId="28" xfId="4" applyFont="1" applyBorder="1" applyAlignment="1">
      <alignment horizontal="center" vertical="center" wrapText="1"/>
    </xf>
    <xf numFmtId="0" fontId="53" fillId="0" borderId="29" xfId="4" applyFont="1" applyBorder="1" applyAlignment="1">
      <alignment horizontal="center" vertical="center" wrapText="1"/>
    </xf>
    <xf numFmtId="0" fontId="55" fillId="0" borderId="30" xfId="4" applyFont="1" applyBorder="1" applyAlignment="1">
      <alignment horizontal="center" vertical="center" wrapText="1"/>
    </xf>
    <xf numFmtId="0" fontId="55" fillId="0" borderId="31" xfId="4" applyFont="1" applyBorder="1" applyAlignment="1">
      <alignment horizontal="center" vertical="center" wrapText="1"/>
    </xf>
    <xf numFmtId="0" fontId="56" fillId="0" borderId="0" xfId="4" applyFont="1" applyAlignment="1">
      <alignment horizontal="left"/>
    </xf>
    <xf numFmtId="0" fontId="56" fillId="0" borderId="0" xfId="4" applyFont="1" applyAlignment="1">
      <alignment horizontal="left" vertical="center"/>
    </xf>
    <xf numFmtId="0" fontId="55" fillId="0" borderId="32" xfId="4" applyFont="1" applyBorder="1" applyAlignment="1">
      <alignment horizontal="center" vertical="center" wrapText="1"/>
    </xf>
    <xf numFmtId="0" fontId="55" fillId="0" borderId="33" xfId="4" applyFont="1" applyBorder="1" applyAlignment="1">
      <alignment horizontal="center" vertical="center" wrapText="1"/>
    </xf>
    <xf numFmtId="0" fontId="57" fillId="0" borderId="0" xfId="4" applyFont="1" applyAlignment="1">
      <alignment horizontal="center" vertical="center"/>
    </xf>
    <xf numFmtId="0" fontId="0" fillId="4" borderId="17" xfId="0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12" fillId="4" borderId="17" xfId="0" applyFont="1" applyFill="1" applyBorder="1" applyAlignment="1" applyProtection="1">
      <alignment horizontal="center"/>
      <protection locked="0"/>
    </xf>
    <xf numFmtId="0" fontId="31" fillId="0" borderId="0" xfId="0" applyFont="1" applyBorder="1" applyAlignment="1" applyProtection="1"/>
    <xf numFmtId="0" fontId="0" fillId="0" borderId="0" xfId="0" applyBorder="1" applyProtection="1"/>
    <xf numFmtId="0" fontId="11" fillId="0" borderId="0" xfId="0" applyFont="1" applyAlignment="1" applyProtection="1">
      <alignment horizontal="left"/>
    </xf>
    <xf numFmtId="9" fontId="7" fillId="0" borderId="0" xfId="5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45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center"/>
    </xf>
    <xf numFmtId="0" fontId="0" fillId="0" borderId="0" xfId="0" applyBorder="1" applyAlignment="1" applyProtection="1"/>
    <xf numFmtId="0" fontId="0" fillId="0" borderId="6" xfId="0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23" fillId="0" borderId="4" xfId="0" applyFont="1" applyBorder="1" applyAlignment="1" applyProtection="1"/>
    <xf numFmtId="0" fontId="11" fillId="2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18" fillId="2" borderId="0" xfId="0" applyFont="1" applyFill="1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27" fillId="2" borderId="0" xfId="0" applyFont="1" applyFill="1" applyProtection="1"/>
    <xf numFmtId="0" fontId="11" fillId="0" borderId="0" xfId="0" applyFont="1" applyBorder="1" applyAlignment="1" applyProtection="1">
      <alignment horizontal="center"/>
    </xf>
    <xf numFmtId="2" fontId="0" fillId="2" borderId="0" xfId="0" applyNumberForma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7" fillId="0" borderId="0" xfId="0" applyFont="1" applyBorder="1" applyAlignment="1" applyProtection="1"/>
    <xf numFmtId="0" fontId="11" fillId="0" borderId="2" xfId="0" applyFont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0" xfId="0" applyFill="1" applyAlignment="1" applyProtection="1">
      <alignment horizontal="left"/>
    </xf>
    <xf numFmtId="0" fontId="0" fillId="0" borderId="4" xfId="0" applyFill="1" applyBorder="1" applyAlignment="1" applyProtection="1">
      <alignment horizontal="left"/>
    </xf>
    <xf numFmtId="0" fontId="27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right"/>
    </xf>
    <xf numFmtId="0" fontId="0" fillId="0" borderId="0" xfId="0" applyFill="1" applyAlignment="1" applyProtection="1"/>
    <xf numFmtId="0" fontId="8" fillId="0" borderId="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11" fillId="0" borderId="0" xfId="0" applyFont="1" applyFill="1" applyAlignment="1" applyProtection="1">
      <alignment horizontal="center"/>
    </xf>
    <xf numFmtId="0" fontId="0" fillId="0" borderId="7" xfId="0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11" fillId="0" borderId="6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center"/>
    </xf>
    <xf numFmtId="2" fontId="29" fillId="0" borderId="6" xfId="0" applyNumberFormat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</xf>
    <xf numFmtId="2" fontId="0" fillId="0" borderId="17" xfId="0" applyNumberForma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left" vertical="center"/>
    </xf>
    <xf numFmtId="9" fontId="40" fillId="0" borderId="17" xfId="5" applyFont="1" applyFill="1" applyBorder="1" applyAlignment="1" applyProtection="1">
      <alignment horizontal="center"/>
    </xf>
    <xf numFmtId="166" fontId="0" fillId="0" borderId="17" xfId="0" applyNumberFormat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9" fontId="40" fillId="0" borderId="0" xfId="5" applyFont="1" applyFill="1" applyBorder="1" applyAlignment="1" applyProtection="1">
      <alignment horizontal="center"/>
    </xf>
    <xf numFmtId="0" fontId="0" fillId="2" borderId="0" xfId="0" quotePrefix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1" fontId="0" fillId="0" borderId="6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"/>
    </xf>
    <xf numFmtId="0" fontId="3" fillId="0" borderId="0" xfId="2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left"/>
    </xf>
    <xf numFmtId="0" fontId="42" fillId="0" borderId="37" xfId="0" applyFont="1" applyBorder="1" applyAlignment="1" applyProtection="1"/>
    <xf numFmtId="0" fontId="0" fillId="0" borderId="37" xfId="0" applyBorder="1" applyAlignment="1" applyProtection="1">
      <alignment horizontal="left"/>
    </xf>
    <xf numFmtId="0" fontId="60" fillId="0" borderId="37" xfId="0" applyFont="1" applyBorder="1" applyAlignment="1" applyProtection="1">
      <alignment vertical="top" wrapText="1"/>
    </xf>
    <xf numFmtId="0" fontId="0" fillId="0" borderId="39" xfId="0" applyBorder="1" applyAlignment="1" applyProtection="1">
      <alignment horizontal="left"/>
    </xf>
    <xf numFmtId="0" fontId="60" fillId="0" borderId="0" xfId="0" applyFont="1" applyBorder="1" applyAlignment="1" applyProtection="1">
      <alignment vertical="top" wrapText="1"/>
    </xf>
    <xf numFmtId="0" fontId="38" fillId="0" borderId="0" xfId="0" applyFont="1" applyBorder="1" applyAlignment="1" applyProtection="1">
      <alignment vertical="top" wrapText="1"/>
    </xf>
    <xf numFmtId="0" fontId="28" fillId="0" borderId="0" xfId="0" applyFont="1" applyBorder="1" applyAlignment="1" applyProtection="1">
      <alignment horizontal="center"/>
    </xf>
    <xf numFmtId="0" fontId="31" fillId="0" borderId="40" xfId="0" applyFont="1" applyBorder="1" applyAlignment="1" applyProtection="1">
      <alignment horizontal="center"/>
    </xf>
    <xf numFmtId="0" fontId="27" fillId="0" borderId="0" xfId="0" applyFont="1" applyBorder="1" applyProtection="1"/>
    <xf numFmtId="0" fontId="8" fillId="0" borderId="0" xfId="0" applyFont="1" applyBorder="1" applyAlignment="1" applyProtection="1">
      <alignment textRotation="180"/>
    </xf>
    <xf numFmtId="0" fontId="14" fillId="0" borderId="0" xfId="0" applyFont="1" applyBorder="1" applyProtection="1"/>
    <xf numFmtId="0" fontId="35" fillId="0" borderId="0" xfId="0" applyFont="1" applyBorder="1" applyAlignment="1" applyProtection="1">
      <alignment horizontal="center"/>
    </xf>
    <xf numFmtId="0" fontId="59" fillId="0" borderId="39" xfId="0" applyFont="1" applyBorder="1" applyAlignment="1" applyProtection="1">
      <alignment horizontal="center" vertical="top"/>
    </xf>
    <xf numFmtId="9" fontId="40" fillId="0" borderId="0" xfId="5" applyFont="1" applyBorder="1" applyAlignment="1" applyProtection="1">
      <alignment horizontal="center"/>
    </xf>
    <xf numFmtId="0" fontId="59" fillId="0" borderId="0" xfId="0" applyFont="1" applyBorder="1" applyAlignment="1" applyProtection="1">
      <alignment horizontal="center" vertical="top"/>
    </xf>
    <xf numFmtId="0" fontId="0" fillId="0" borderId="40" xfId="0" applyBorder="1" applyAlignment="1" applyProtection="1">
      <alignment horizontal="center"/>
    </xf>
    <xf numFmtId="0" fontId="0" fillId="0" borderId="40" xfId="0" applyBorder="1" applyProtection="1"/>
    <xf numFmtId="9" fontId="28" fillId="0" borderId="0" xfId="5" applyFont="1" applyBorder="1" applyAlignment="1" applyProtection="1">
      <alignment horizontal="left"/>
    </xf>
    <xf numFmtId="0" fontId="0" fillId="0" borderId="41" xfId="0" applyBorder="1" applyAlignment="1" applyProtection="1">
      <alignment horizontal="left"/>
    </xf>
    <xf numFmtId="0" fontId="0" fillId="0" borderId="42" xfId="0" applyBorder="1" applyAlignment="1" applyProtection="1">
      <alignment horizontal="left"/>
    </xf>
    <xf numFmtId="0" fontId="0" fillId="0" borderId="42" xfId="0" applyBorder="1" applyProtection="1"/>
    <xf numFmtId="0" fontId="0" fillId="0" borderId="38" xfId="0" applyBorder="1" applyAlignment="1" applyProtection="1">
      <alignment horizontal="left"/>
    </xf>
    <xf numFmtId="0" fontId="42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0" fontId="0" fillId="0" borderId="40" xfId="0" applyBorder="1" applyAlignment="1" applyProtection="1">
      <alignment horizontal="left"/>
    </xf>
    <xf numFmtId="0" fontId="4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28" fillId="0" borderId="4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/>
    </xf>
    <xf numFmtId="0" fontId="45" fillId="0" borderId="0" xfId="0" applyFont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left"/>
    </xf>
    <xf numFmtId="0" fontId="0" fillId="0" borderId="40" xfId="0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horizontal="right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/>
    <xf numFmtId="0" fontId="0" fillId="0" borderId="43" xfId="0" applyBorder="1" applyAlignment="1" applyProtection="1">
      <alignment horizontal="left"/>
    </xf>
    <xf numFmtId="0" fontId="32" fillId="0" borderId="37" xfId="0" applyFont="1" applyFill="1" applyBorder="1" applyAlignment="1" applyProtection="1">
      <alignment horizontal="left"/>
    </xf>
    <xf numFmtId="0" fontId="0" fillId="0" borderId="37" xfId="0" applyBorder="1" applyProtection="1"/>
    <xf numFmtId="0" fontId="32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center"/>
    </xf>
    <xf numFmtId="0" fontId="0" fillId="0" borderId="40" xfId="0" applyFill="1" applyBorder="1" applyAlignment="1" applyProtection="1">
      <alignment horizontal="center"/>
    </xf>
    <xf numFmtId="0" fontId="42" fillId="0" borderId="0" xfId="0" applyFont="1" applyBorder="1" applyAlignment="1" applyProtection="1">
      <alignment horizontal="left"/>
    </xf>
    <xf numFmtId="0" fontId="28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31" fillId="0" borderId="0" xfId="0" applyFont="1" applyBorder="1" applyAlignment="1" applyProtection="1">
      <alignment horizontal="right"/>
    </xf>
    <xf numFmtId="0" fontId="38" fillId="0" borderId="0" xfId="0" applyFont="1" applyBorder="1" applyProtection="1"/>
    <xf numFmtId="0" fontId="31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45" fillId="0" borderId="40" xfId="0" applyFont="1" applyBorder="1" applyAlignment="1" applyProtection="1">
      <alignment horizontal="left"/>
    </xf>
    <xf numFmtId="0" fontId="9" fillId="0" borderId="44" xfId="0" applyFont="1" applyBorder="1" applyAlignment="1" applyProtection="1">
      <alignment horizontal="center"/>
    </xf>
    <xf numFmtId="0" fontId="12" fillId="0" borderId="42" xfId="0" applyFont="1" applyFill="1" applyBorder="1" applyAlignment="1" applyProtection="1">
      <alignment horizontal="center"/>
    </xf>
    <xf numFmtId="0" fontId="45" fillId="0" borderId="43" xfId="0" applyFont="1" applyBorder="1" applyAlignment="1" applyProtection="1">
      <alignment horizontal="left"/>
    </xf>
    <xf numFmtId="0" fontId="8" fillId="4" borderId="17" xfId="0" applyFont="1" applyFill="1" applyBorder="1" applyAlignment="1" applyProtection="1">
      <alignment horizontal="center"/>
      <protection locked="0"/>
    </xf>
    <xf numFmtId="164" fontId="9" fillId="0" borderId="0" xfId="0" quotePrefix="1" applyNumberFormat="1" applyFont="1" applyBorder="1" applyAlignment="1" applyProtection="1">
      <alignment horizontal="right"/>
    </xf>
    <xf numFmtId="164" fontId="9" fillId="0" borderId="0" xfId="0" quotePrefix="1" applyNumberFormat="1" applyFont="1" applyBorder="1" applyAlignment="1" applyProtection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 applyProtection="1">
      <alignment horizontal="center"/>
    </xf>
    <xf numFmtId="0" fontId="42" fillId="0" borderId="42" xfId="0" applyFont="1" applyBorder="1" applyAlignment="1" applyProtection="1">
      <alignment horizontal="left"/>
    </xf>
    <xf numFmtId="0" fontId="27" fillId="0" borderId="42" xfId="0" applyFont="1" applyBorder="1" applyAlignment="1" applyProtection="1">
      <alignment horizontal="right"/>
    </xf>
    <xf numFmtId="0" fontId="0" fillId="0" borderId="42" xfId="0" applyFill="1" applyBorder="1" applyAlignment="1" applyProtection="1">
      <alignment horizontal="center"/>
    </xf>
    <xf numFmtId="0" fontId="28" fillId="0" borderId="42" xfId="0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61" fillId="0" borderId="37" xfId="0" applyFont="1" applyFill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0" fillId="6" borderId="0" xfId="0" applyFill="1" applyAlignment="1" applyProtection="1">
      <alignment horizontal="left"/>
    </xf>
    <xf numFmtId="0" fontId="31" fillId="6" borderId="0" xfId="0" applyFont="1" applyFill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0" xfId="0" applyFill="1" applyProtection="1"/>
    <xf numFmtId="0" fontId="3" fillId="0" borderId="0" xfId="2" applyBorder="1" applyAlignment="1" applyProtection="1">
      <alignment horizontal="left"/>
    </xf>
    <xf numFmtId="0" fontId="3" fillId="0" borderId="0" xfId="2" applyBorder="1" applyAlignment="1" applyProtection="1">
      <alignment horizontal="center"/>
    </xf>
    <xf numFmtId="0" fontId="44" fillId="6" borderId="0" xfId="0" applyFont="1" applyFill="1" applyAlignment="1" applyProtection="1">
      <alignment horizontal="left"/>
    </xf>
    <xf numFmtId="0" fontId="9" fillId="6" borderId="0" xfId="0" applyFont="1" applyFill="1" applyAlignment="1" applyProtection="1">
      <alignment horizontal="center"/>
    </xf>
    <xf numFmtId="0" fontId="10" fillId="6" borderId="0" xfId="0" applyFont="1" applyFill="1" applyAlignment="1" applyProtection="1">
      <alignment horizontal="left"/>
    </xf>
    <xf numFmtId="0" fontId="11" fillId="6" borderId="0" xfId="0" applyFont="1" applyFill="1" applyAlignment="1" applyProtection="1">
      <alignment horizontal="centerContinuous"/>
    </xf>
    <xf numFmtId="38" fontId="16" fillId="6" borderId="17" xfId="1" applyNumberFormat="1" applyFont="1" applyFill="1" applyBorder="1" applyAlignment="1" applyProtection="1">
      <alignment horizontal="center"/>
    </xf>
    <xf numFmtId="0" fontId="0" fillId="6" borderId="0" xfId="0" applyFill="1" applyAlignment="1" applyProtection="1">
      <alignment horizontal="right"/>
    </xf>
    <xf numFmtId="0" fontId="0" fillId="6" borderId="0" xfId="0" applyFill="1" applyAlignment="1" applyProtection="1"/>
    <xf numFmtId="0" fontId="13" fillId="6" borderId="0" xfId="0" applyFont="1" applyFill="1" applyAlignment="1" applyProtection="1">
      <alignment horizontal="left"/>
    </xf>
    <xf numFmtId="0" fontId="14" fillId="6" borderId="0" xfId="0" applyFont="1" applyFill="1" applyAlignment="1" applyProtection="1">
      <alignment horizontal="left"/>
    </xf>
    <xf numFmtId="0" fontId="12" fillId="6" borderId="0" xfId="0" applyFont="1" applyFill="1" applyAlignment="1" applyProtection="1">
      <alignment horizontal="center"/>
    </xf>
    <xf numFmtId="0" fontId="15" fillId="6" borderId="0" xfId="0" applyFont="1" applyFill="1" applyAlignment="1" applyProtection="1"/>
    <xf numFmtId="0" fontId="14" fillId="6" borderId="9" xfId="0" applyFont="1" applyFill="1" applyBorder="1" applyAlignment="1" applyProtection="1">
      <alignment horizontal="left"/>
    </xf>
    <xf numFmtId="0" fontId="14" fillId="6" borderId="10" xfId="0" applyFont="1" applyFill="1" applyBorder="1" applyAlignment="1" applyProtection="1">
      <alignment horizontal="center"/>
    </xf>
    <xf numFmtId="0" fontId="14" fillId="6" borderId="11" xfId="0" applyFont="1" applyFill="1" applyBorder="1" applyAlignment="1" applyProtection="1">
      <alignment horizontal="center"/>
    </xf>
    <xf numFmtId="0" fontId="14" fillId="6" borderId="12" xfId="0" applyFont="1" applyFill="1" applyBorder="1" applyAlignment="1" applyProtection="1">
      <alignment horizontal="left"/>
    </xf>
    <xf numFmtId="0" fontId="14" fillId="6" borderId="13" xfId="0" applyFont="1" applyFill="1" applyBorder="1" applyAlignment="1" applyProtection="1">
      <alignment horizontal="center"/>
    </xf>
    <xf numFmtId="0" fontId="14" fillId="6" borderId="14" xfId="0" applyFont="1" applyFill="1" applyBorder="1" applyAlignment="1" applyProtection="1">
      <alignment horizontal="center"/>
    </xf>
    <xf numFmtId="0" fontId="14" fillId="6" borderId="13" xfId="0" applyFont="1" applyFill="1" applyBorder="1" applyAlignment="1" applyProtection="1">
      <alignment horizontal="left"/>
    </xf>
    <xf numFmtId="0" fontId="14" fillId="6" borderId="14" xfId="0" applyFont="1" applyFill="1" applyBorder="1" applyAlignment="1" applyProtection="1">
      <alignment horizontal="left"/>
    </xf>
    <xf numFmtId="0" fontId="14" fillId="6" borderId="15" xfId="0" applyFont="1" applyFill="1" applyBorder="1" applyAlignment="1" applyProtection="1"/>
    <xf numFmtId="1" fontId="14" fillId="6" borderId="16" xfId="0" quotePrefix="1" applyNumberFormat="1" applyFont="1" applyFill="1" applyBorder="1" applyAlignment="1" applyProtection="1">
      <alignment horizontal="center"/>
    </xf>
    <xf numFmtId="1" fontId="14" fillId="6" borderId="8" xfId="0" applyNumberFormat="1" applyFont="1" applyFill="1" applyBorder="1" applyAlignment="1" applyProtection="1">
      <alignment horizontal="center"/>
    </xf>
    <xf numFmtId="16" fontId="0" fillId="6" borderId="0" xfId="0" applyNumberFormat="1" applyFill="1" applyAlignment="1" applyProtection="1">
      <alignment horizontal="center"/>
    </xf>
    <xf numFmtId="38" fontId="16" fillId="6" borderId="25" xfId="1" applyNumberFormat="1" applyFont="1" applyFill="1" applyBorder="1" applyAlignment="1" applyProtection="1">
      <alignment horizontal="center"/>
    </xf>
    <xf numFmtId="0" fontId="10" fillId="6" borderId="0" xfId="0" applyFont="1" applyFill="1" applyAlignment="1" applyProtection="1">
      <alignment horizontal="center"/>
    </xf>
    <xf numFmtId="0" fontId="14" fillId="6" borderId="0" xfId="0" applyFont="1" applyFill="1" applyAlignment="1" applyProtection="1">
      <alignment horizontal="right"/>
    </xf>
    <xf numFmtId="0" fontId="0" fillId="6" borderId="7" xfId="0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</xf>
    <xf numFmtId="0" fontId="0" fillId="6" borderId="25" xfId="0" applyFill="1" applyBorder="1" applyAlignment="1" applyProtection="1">
      <alignment horizontal="center"/>
    </xf>
    <xf numFmtId="0" fontId="4" fillId="6" borderId="25" xfId="0" applyFont="1" applyFill="1" applyBorder="1" applyAlignment="1" applyProtection="1">
      <alignment horizontal="center"/>
    </xf>
    <xf numFmtId="14" fontId="0" fillId="6" borderId="0" xfId="0" applyNumberFormat="1" applyFill="1" applyAlignment="1" applyProtection="1">
      <alignment horizontal="left"/>
    </xf>
    <xf numFmtId="0" fontId="0" fillId="6" borderId="1" xfId="0" applyFill="1" applyBorder="1" applyAlignment="1" applyProtection="1">
      <alignment horizontal="left"/>
    </xf>
    <xf numFmtId="0" fontId="0" fillId="6" borderId="2" xfId="0" applyFill="1" applyBorder="1" applyAlignment="1" applyProtection="1"/>
    <xf numFmtId="0" fontId="0" fillId="6" borderId="3" xfId="0" applyFill="1" applyBorder="1" applyAlignment="1" applyProtection="1">
      <alignment horizontal="left"/>
    </xf>
    <xf numFmtId="0" fontId="0" fillId="6" borderId="4" xfId="0" applyFill="1" applyBorder="1" applyAlignment="1" applyProtection="1">
      <alignment horizontal="left"/>
    </xf>
    <xf numFmtId="0" fontId="7" fillId="6" borderId="0" xfId="0" applyFont="1" applyFill="1" applyAlignment="1" applyProtection="1">
      <alignment horizontal="left"/>
    </xf>
    <xf numFmtId="0" fontId="7" fillId="6" borderId="0" xfId="0" applyFont="1" applyFill="1" applyAlignment="1" applyProtection="1"/>
    <xf numFmtId="0" fontId="0" fillId="6" borderId="5" xfId="0" applyFill="1" applyBorder="1" applyAlignment="1" applyProtection="1">
      <alignment horizontal="left"/>
    </xf>
    <xf numFmtId="14" fontId="16" fillId="6" borderId="4" xfId="0" applyNumberFormat="1" applyFont="1" applyFill="1" applyBorder="1" applyAlignment="1" applyProtection="1">
      <alignment horizontal="left"/>
    </xf>
    <xf numFmtId="164" fontId="0" fillId="6" borderId="0" xfId="0" applyNumberFormat="1" applyFill="1" applyAlignment="1" applyProtection="1">
      <alignment horizontal="left"/>
    </xf>
    <xf numFmtId="0" fontId="0" fillId="6" borderId="4" xfId="0" applyFill="1" applyBorder="1" applyAlignment="1" applyProtection="1">
      <alignment horizontal="right"/>
    </xf>
    <xf numFmtId="0" fontId="0" fillId="6" borderId="17" xfId="0" applyFill="1" applyBorder="1" applyAlignment="1" applyProtection="1">
      <alignment horizontal="center"/>
    </xf>
    <xf numFmtId="0" fontId="0" fillId="6" borderId="24" xfId="0" applyFill="1" applyBorder="1" applyAlignment="1" applyProtection="1">
      <alignment horizontal="center"/>
    </xf>
    <xf numFmtId="0" fontId="11" fillId="6" borderId="0" xfId="0" applyFont="1" applyFill="1" applyAlignment="1" applyProtection="1">
      <alignment horizontal="left"/>
    </xf>
    <xf numFmtId="0" fontId="0" fillId="6" borderId="4" xfId="0" applyFill="1" applyBorder="1" applyAlignment="1" applyProtection="1"/>
    <xf numFmtId="0" fontId="0" fillId="6" borderId="7" xfId="0" applyFill="1" applyBorder="1" applyAlignment="1" applyProtection="1">
      <alignment horizontal="left"/>
    </xf>
    <xf numFmtId="0" fontId="0" fillId="6" borderId="6" xfId="0" applyFill="1" applyBorder="1" applyAlignment="1" applyProtection="1">
      <alignment horizontal="left"/>
    </xf>
    <xf numFmtId="0" fontId="0" fillId="6" borderId="8" xfId="0" applyFill="1" applyBorder="1" applyAlignment="1" applyProtection="1">
      <alignment horizontal="left"/>
    </xf>
    <xf numFmtId="0" fontId="4" fillId="6" borderId="6" xfId="0" applyFont="1" applyFill="1" applyBorder="1" applyAlignment="1" applyProtection="1">
      <alignment horizontal="center"/>
    </xf>
    <xf numFmtId="165" fontId="0" fillId="6" borderId="0" xfId="0" applyNumberFormat="1" applyFill="1" applyAlignment="1" applyProtection="1">
      <alignment horizontal="center"/>
    </xf>
    <xf numFmtId="2" fontId="4" fillId="6" borderId="25" xfId="0" applyNumberFormat="1" applyFont="1" applyFill="1" applyBorder="1" applyAlignment="1" applyProtection="1">
      <alignment horizontal="center"/>
    </xf>
    <xf numFmtId="0" fontId="16" fillId="0" borderId="37" xfId="0" applyFont="1" applyFill="1" applyBorder="1" applyAlignment="1" applyProtection="1">
      <alignment horizontal="center" vertical="center"/>
    </xf>
    <xf numFmtId="9" fontId="38" fillId="0" borderId="0" xfId="5" applyFont="1" applyBorder="1" applyAlignment="1" applyProtection="1">
      <alignment horizontal="left"/>
    </xf>
    <xf numFmtId="9" fontId="8" fillId="0" borderId="0" xfId="5" applyFont="1" applyBorder="1" applyAlignment="1" applyProtection="1">
      <alignment horizontal="center"/>
    </xf>
    <xf numFmtId="9" fontId="45" fillId="0" borderId="0" xfId="5" applyFont="1" applyBorder="1" applyAlignment="1" applyProtection="1">
      <alignment horizontal="center"/>
    </xf>
    <xf numFmtId="0" fontId="11" fillId="0" borderId="39" xfId="0" applyFont="1" applyBorder="1" applyAlignment="1" applyProtection="1"/>
    <xf numFmtId="0" fontId="0" fillId="0" borderId="39" xfId="0" applyBorder="1" applyAlignment="1" applyProtection="1">
      <alignment horizontal="right"/>
    </xf>
    <xf numFmtId="0" fontId="40" fillId="0" borderId="39" xfId="0" applyFont="1" applyFill="1" applyBorder="1" applyAlignment="1" applyProtection="1">
      <alignment horizontal="right"/>
    </xf>
    <xf numFmtId="0" fontId="18" fillId="6" borderId="0" xfId="0" applyFont="1" applyFill="1" applyBorder="1" applyAlignment="1" applyProtection="1">
      <alignment horizontal="left"/>
    </xf>
    <xf numFmtId="0" fontId="0" fillId="6" borderId="0" xfId="0" applyFill="1" applyBorder="1" applyAlignment="1" applyProtection="1">
      <alignment horizontal="left"/>
    </xf>
    <xf numFmtId="0" fontId="23" fillId="6" borderId="0" xfId="0" applyFont="1" applyFill="1" applyAlignment="1" applyProtection="1"/>
    <xf numFmtId="0" fontId="11" fillId="6" borderId="0" xfId="0" applyFont="1" applyFill="1" applyAlignment="1" applyProtection="1">
      <alignment horizontal="center"/>
    </xf>
    <xf numFmtId="0" fontId="18" fillId="6" borderId="0" xfId="0" applyFont="1" applyFill="1" applyAlignment="1" applyProtection="1">
      <alignment horizontal="left"/>
    </xf>
    <xf numFmtId="0" fontId="18" fillId="6" borderId="0" xfId="0" applyFont="1" applyFill="1" applyAlignment="1" applyProtection="1">
      <alignment horizontal="center"/>
    </xf>
    <xf numFmtId="0" fontId="28" fillId="6" borderId="0" xfId="0" applyFont="1" applyFill="1" applyBorder="1" applyAlignment="1" applyProtection="1">
      <alignment horizontal="left" vertical="center"/>
    </xf>
    <xf numFmtId="0" fontId="11" fillId="6" borderId="0" xfId="0" applyFont="1" applyFill="1" applyAlignment="1" applyProtection="1">
      <alignment horizontal="right"/>
    </xf>
    <xf numFmtId="0" fontId="0" fillId="6" borderId="0" xfId="0" quotePrefix="1" applyFill="1" applyBorder="1" applyAlignment="1" applyProtection="1">
      <alignment horizontal="center"/>
    </xf>
    <xf numFmtId="9" fontId="0" fillId="6" borderId="0" xfId="0" applyNumberForma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right"/>
    </xf>
    <xf numFmtId="0" fontId="51" fillId="6" borderId="0" xfId="0" applyFont="1" applyFill="1" applyAlignment="1" applyProtection="1">
      <alignment horizontal="left"/>
    </xf>
    <xf numFmtId="0" fontId="11" fillId="6" borderId="0" xfId="0" applyFont="1" applyFill="1" applyBorder="1" applyAlignment="1" applyProtection="1">
      <alignment horizontal="center"/>
    </xf>
    <xf numFmtId="0" fontId="40" fillId="6" borderId="0" xfId="0" applyFont="1" applyFill="1" applyAlignment="1" applyProtection="1">
      <alignment horizontal="left"/>
    </xf>
    <xf numFmtId="0" fontId="11" fillId="6" borderId="6" xfId="0" applyFont="1" applyFill="1" applyBorder="1" applyAlignment="1" applyProtection="1">
      <alignment horizontal="center"/>
    </xf>
    <xf numFmtId="0" fontId="0" fillId="5" borderId="0" xfId="0" applyFill="1" applyProtection="1"/>
    <xf numFmtId="0" fontId="0" fillId="0" borderId="36" xfId="0" applyFill="1" applyBorder="1" applyAlignment="1" applyProtection="1">
      <alignment horizontal="left"/>
    </xf>
    <xf numFmtId="0" fontId="0" fillId="0" borderId="39" xfId="0" applyFill="1" applyBorder="1" applyProtection="1"/>
    <xf numFmtId="0" fontId="4" fillId="0" borderId="39" xfId="0" applyFont="1" applyBorder="1" applyAlignment="1" applyProtection="1"/>
    <xf numFmtId="0" fontId="64" fillId="0" borderId="39" xfId="0" applyFont="1" applyFill="1" applyBorder="1" applyAlignment="1" applyProtection="1">
      <alignment horizontal="right"/>
    </xf>
    <xf numFmtId="0" fontId="64" fillId="0" borderId="39" xfId="0" applyFont="1" applyBorder="1" applyAlignment="1" applyProtection="1">
      <alignment horizontal="right"/>
    </xf>
    <xf numFmtId="0" fontId="4" fillId="0" borderId="0" xfId="0" applyFont="1" applyAlignment="1" applyProtection="1"/>
    <xf numFmtId="0" fontId="0" fillId="0" borderId="36" xfId="0" applyBorder="1" applyProtection="1"/>
    <xf numFmtId="0" fontId="42" fillId="0" borderId="39" xfId="0" applyFont="1" applyBorder="1" applyAlignment="1" applyProtection="1">
      <alignment horizontal="left"/>
    </xf>
    <xf numFmtId="0" fontId="0" fillId="0" borderId="39" xfId="0" applyBorder="1" applyAlignment="1" applyProtection="1"/>
    <xf numFmtId="0" fontId="0" fillId="0" borderId="39" xfId="0" applyBorder="1" applyProtection="1"/>
    <xf numFmtId="0" fontId="4" fillId="0" borderId="39" xfId="0" applyFont="1" applyBorder="1" applyAlignment="1" applyProtection="1">
      <alignment horizontal="left"/>
    </xf>
    <xf numFmtId="0" fontId="45" fillId="0" borderId="39" xfId="0" applyFont="1" applyBorder="1" applyAlignment="1" applyProtection="1">
      <alignment horizontal="left"/>
    </xf>
    <xf numFmtId="0" fontId="45" fillId="0" borderId="41" xfId="0" applyFont="1" applyBorder="1" applyAlignment="1" applyProtection="1">
      <alignment horizontal="left"/>
    </xf>
    <xf numFmtId="0" fontId="67" fillId="0" borderId="0" xfId="0" applyFont="1" applyBorder="1" applyProtection="1"/>
    <xf numFmtId="0" fontId="0" fillId="6" borderId="0" xfId="0" applyFill="1"/>
    <xf numFmtId="0" fontId="45" fillId="6" borderId="0" xfId="0" applyFont="1" applyFill="1" applyAlignment="1" applyProtection="1">
      <alignment horizontal="left"/>
    </xf>
    <xf numFmtId="0" fontId="0" fillId="6" borderId="68" xfId="0" applyFill="1" applyBorder="1" applyAlignment="1" applyProtection="1">
      <alignment horizontal="left"/>
    </xf>
    <xf numFmtId="0" fontId="0" fillId="0" borderId="0" xfId="0" applyFill="1" applyProtection="1"/>
    <xf numFmtId="0" fontId="31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65" fillId="0" borderId="39" xfId="0" applyFont="1" applyBorder="1" applyAlignment="1" applyProtection="1">
      <alignment horizontal="right"/>
    </xf>
    <xf numFmtId="0" fontId="68" fillId="0" borderId="0" xfId="0" applyFont="1" applyFill="1" applyProtection="1"/>
    <xf numFmtId="0" fontId="0" fillId="0" borderId="0" xfId="0" applyFill="1" applyBorder="1" applyAlignment="1" applyProtection="1">
      <alignment vertical="top"/>
    </xf>
    <xf numFmtId="0" fontId="76" fillId="0" borderId="0" xfId="0" applyFont="1" applyFill="1" applyProtection="1"/>
    <xf numFmtId="0" fontId="77" fillId="0" borderId="0" xfId="0" applyFont="1" applyBorder="1" applyProtection="1"/>
    <xf numFmtId="0" fontId="1" fillId="4" borderId="17" xfId="0" applyFont="1" applyFill="1" applyBorder="1" applyAlignment="1" applyProtection="1">
      <alignment horizontal="center"/>
      <protection locked="0"/>
    </xf>
    <xf numFmtId="0" fontId="67" fillId="0" borderId="0" xfId="0" applyFont="1" applyBorder="1" applyAlignment="1" applyProtection="1">
      <alignment horizontal="center"/>
    </xf>
    <xf numFmtId="0" fontId="79" fillId="0" borderId="0" xfId="0" applyFont="1" applyFill="1" applyBorder="1" applyAlignment="1" applyProtection="1">
      <alignment horizontal="center"/>
    </xf>
    <xf numFmtId="9" fontId="40" fillId="6" borderId="0" xfId="5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80" fillId="0" borderId="0" xfId="0" applyFont="1" applyBorder="1" applyAlignment="1" applyProtection="1">
      <alignment horizontal="left"/>
    </xf>
    <xf numFmtId="0" fontId="0" fillId="6" borderId="0" xfId="0" applyFill="1" applyAlignment="1">
      <alignment horizontal="left"/>
    </xf>
    <xf numFmtId="0" fontId="40" fillId="6" borderId="0" xfId="3" applyFill="1" applyAlignment="1">
      <alignment horizontal="left"/>
    </xf>
    <xf numFmtId="0" fontId="40" fillId="6" borderId="0" xfId="3" applyFont="1" applyFill="1" applyAlignment="1">
      <alignment horizontal="left"/>
    </xf>
    <xf numFmtId="0" fontId="11" fillId="6" borderId="0" xfId="0" applyFont="1" applyFill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0" fontId="9" fillId="6" borderId="0" xfId="0" applyFont="1" applyFill="1" applyAlignment="1">
      <alignment horizontal="left"/>
    </xf>
    <xf numFmtId="0" fontId="44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9" fillId="6" borderId="0" xfId="0" applyFont="1" applyFill="1" applyAlignment="1">
      <alignment horizontal="right"/>
    </xf>
    <xf numFmtId="0" fontId="20" fillId="6" borderId="0" xfId="0" applyFont="1" applyFill="1" applyAlignment="1">
      <alignment horizontal="left"/>
    </xf>
    <xf numFmtId="0" fontId="0" fillId="6" borderId="0" xfId="0" applyFill="1" applyAlignment="1">
      <alignment horizontal="right"/>
    </xf>
    <xf numFmtId="2" fontId="0" fillId="6" borderId="26" xfId="0" applyNumberFormat="1" applyFill="1" applyBorder="1" applyAlignment="1">
      <alignment horizontal="center"/>
    </xf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2" fontId="0" fillId="6" borderId="17" xfId="0" applyNumberForma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10" fontId="0" fillId="6" borderId="0" xfId="0" applyNumberFormat="1" applyFill="1" applyAlignment="1">
      <alignment horizontal="center"/>
    </xf>
    <xf numFmtId="0" fontId="11" fillId="6" borderId="0" xfId="0" applyFont="1" applyFill="1" applyAlignment="1">
      <alignment horizontal="right"/>
    </xf>
    <xf numFmtId="2" fontId="0" fillId="6" borderId="0" xfId="0" quotePrefix="1" applyNumberFormat="1" applyFill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4" fillId="6" borderId="18" xfId="0" applyFont="1" applyFill="1" applyBorder="1" applyAlignment="1">
      <alignment horizontal="left"/>
    </xf>
    <xf numFmtId="0" fontId="0" fillId="6" borderId="19" xfId="0" applyFill="1" applyBorder="1" applyAlignment="1">
      <alignment horizontal="center"/>
    </xf>
    <xf numFmtId="0" fontId="4" fillId="6" borderId="0" xfId="0" applyFont="1" applyFill="1" applyAlignment="1">
      <alignment horizontal="left"/>
    </xf>
    <xf numFmtId="0" fontId="0" fillId="6" borderId="0" xfId="0" applyFill="1" applyAlignment="1"/>
    <xf numFmtId="0" fontId="0" fillId="6" borderId="0" xfId="0" applyFill="1" applyAlignment="1">
      <alignment horizontal="right" vertical="center"/>
    </xf>
    <xf numFmtId="2" fontId="11" fillId="6" borderId="25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left"/>
    </xf>
    <xf numFmtId="0" fontId="21" fillId="6" borderId="0" xfId="0" applyFont="1" applyFill="1" applyAlignment="1">
      <alignment horizontal="right" vertical="top"/>
    </xf>
    <xf numFmtId="0" fontId="0" fillId="6" borderId="0" xfId="0" applyFill="1" applyAlignment="1">
      <alignment horizontal="right" vertical="top"/>
    </xf>
    <xf numFmtId="0" fontId="24" fillId="6" borderId="0" xfId="0" applyFont="1" applyFill="1" applyAlignment="1">
      <alignment horizontal="center"/>
    </xf>
    <xf numFmtId="0" fontId="8" fillId="6" borderId="0" xfId="0" applyFont="1" applyFill="1" applyAlignment="1">
      <alignment horizontal="left"/>
    </xf>
    <xf numFmtId="0" fontId="0" fillId="6" borderId="5" xfId="0" applyFill="1" applyBorder="1" applyAlignment="1">
      <alignment horizontal="center"/>
    </xf>
    <xf numFmtId="38" fontId="40" fillId="6" borderId="0" xfId="1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6" borderId="6" xfId="0" applyFill="1" applyBorder="1" applyAlignment="1">
      <alignment horizontal="left"/>
    </xf>
    <xf numFmtId="0" fontId="4" fillId="6" borderId="0" xfId="0" applyFont="1" applyFill="1" applyAlignment="1">
      <alignment horizontal="right" vertical="center"/>
    </xf>
    <xf numFmtId="0" fontId="0" fillId="6" borderId="0" xfId="0" quotePrefix="1" applyFill="1" applyAlignment="1">
      <alignment horizontal="left"/>
    </xf>
    <xf numFmtId="0" fontId="25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left"/>
    </xf>
    <xf numFmtId="0" fontId="0" fillId="6" borderId="0" xfId="0" applyFill="1" applyBorder="1" applyAlignment="1"/>
    <xf numFmtId="0" fontId="8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vertical="center"/>
    </xf>
    <xf numFmtId="0" fontId="25" fillId="6" borderId="57" xfId="0" applyFont="1" applyFill="1" applyBorder="1" applyAlignment="1">
      <alignment horizontal="left"/>
    </xf>
    <xf numFmtId="0" fontId="0" fillId="6" borderId="58" xfId="0" applyFill="1" applyBorder="1" applyAlignment="1">
      <alignment horizontal="left"/>
    </xf>
    <xf numFmtId="0" fontId="0" fillId="6" borderId="58" xfId="0" applyFill="1" applyBorder="1" applyAlignment="1">
      <alignment horizontal="center"/>
    </xf>
    <xf numFmtId="0" fontId="0" fillId="6" borderId="59" xfId="0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25" fillId="6" borderId="60" xfId="0" applyFont="1" applyFill="1" applyBorder="1" applyAlignment="1">
      <alignment horizontal="left"/>
    </xf>
    <xf numFmtId="0" fontId="20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1" xfId="0" applyFill="1" applyBorder="1" applyAlignment="1">
      <alignment horizontal="left"/>
    </xf>
    <xf numFmtId="0" fontId="0" fillId="6" borderId="0" xfId="0" applyFill="1" applyAlignment="1">
      <alignment horizontal="left" vertical="center"/>
    </xf>
    <xf numFmtId="0" fontId="5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0" xfId="0" applyFont="1" applyFill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/>
    </xf>
    <xf numFmtId="0" fontId="8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1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9" fillId="6" borderId="0" xfId="0" applyFont="1" applyFill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8" fillId="6" borderId="0" xfId="0" applyFont="1" applyFill="1" applyBorder="1" applyAlignment="1"/>
    <xf numFmtId="0" fontId="8" fillId="6" borderId="0" xfId="0" applyFont="1" applyFill="1" applyBorder="1" applyAlignment="1">
      <alignment horizontal="right"/>
    </xf>
    <xf numFmtId="2" fontId="11" fillId="6" borderId="0" xfId="0" applyNumberFormat="1" applyFont="1" applyFill="1" applyBorder="1" applyAlignment="1">
      <alignment horizontal="center" vertical="center"/>
    </xf>
    <xf numFmtId="2" fontId="0" fillId="6" borderId="17" xfId="0" applyNumberForma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0" fontId="18" fillId="6" borderId="0" xfId="0" applyFont="1" applyFill="1" applyBorder="1" applyAlignment="1">
      <alignment horizontal="left"/>
    </xf>
    <xf numFmtId="0" fontId="18" fillId="6" borderId="0" xfId="0" applyFont="1" applyFill="1" applyBorder="1" applyAlignment="1">
      <alignment horizontal="center"/>
    </xf>
    <xf numFmtId="167" fontId="0" fillId="6" borderId="17" xfId="0" applyNumberFormat="1" applyFill="1" applyBorder="1" applyAlignment="1">
      <alignment horizontal="center"/>
    </xf>
    <xf numFmtId="167" fontId="0" fillId="6" borderId="20" xfId="0" applyNumberFormat="1" applyFill="1" applyBorder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0" fontId="25" fillId="6" borderId="61" xfId="0" applyFont="1" applyFill="1" applyBorder="1" applyAlignment="1">
      <alignment horizontal="left"/>
    </xf>
    <xf numFmtId="167" fontId="0" fillId="6" borderId="8" xfId="0" applyNumberForma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26" fillId="6" borderId="60" xfId="0" applyFont="1" applyFill="1" applyBorder="1" applyAlignment="1">
      <alignment horizontal="left"/>
    </xf>
    <xf numFmtId="0" fontId="11" fillId="6" borderId="0" xfId="0" quotePrefix="1" applyFont="1" applyFill="1" applyBorder="1" applyAlignment="1">
      <alignment horizontal="right"/>
    </xf>
    <xf numFmtId="2" fontId="0" fillId="6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11" fillId="6" borderId="0" xfId="0" quotePrefix="1" applyFont="1" applyFill="1" applyAlignment="1">
      <alignment horizontal="right"/>
    </xf>
    <xf numFmtId="165" fontId="0" fillId="6" borderId="0" xfId="0" applyNumberFormat="1" applyFill="1" applyAlignment="1">
      <alignment horizontal="center"/>
    </xf>
    <xf numFmtId="9" fontId="11" fillId="6" borderId="0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9" fontId="11" fillId="6" borderId="6" xfId="0" applyNumberFormat="1" applyFont="1" applyFill="1" applyBorder="1" applyAlignment="1">
      <alignment horizontal="center" vertical="center"/>
    </xf>
    <xf numFmtId="9" fontId="11" fillId="6" borderId="8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left" vertical="center"/>
    </xf>
    <xf numFmtId="165" fontId="0" fillId="6" borderId="17" xfId="0" applyNumberFormat="1" applyFill="1" applyBorder="1" applyAlignment="1">
      <alignment horizontal="center"/>
    </xf>
    <xf numFmtId="167" fontId="0" fillId="6" borderId="0" xfId="0" applyNumberForma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1" fontId="0" fillId="6" borderId="0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9" fontId="11" fillId="6" borderId="0" xfId="0" applyNumberFormat="1" applyFont="1" applyFill="1" applyAlignment="1">
      <alignment horizontal="center" vertical="top"/>
    </xf>
    <xf numFmtId="0" fontId="11" fillId="6" borderId="24" xfId="0" applyFont="1" applyFill="1" applyBorder="1" applyAlignment="1">
      <alignment horizontal="center"/>
    </xf>
    <xf numFmtId="9" fontId="11" fillId="6" borderId="6" xfId="0" applyNumberFormat="1" applyFont="1" applyFill="1" applyBorder="1" applyAlignment="1">
      <alignment horizontal="center"/>
    </xf>
    <xf numFmtId="9" fontId="11" fillId="6" borderId="8" xfId="0" applyNumberFormat="1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1" fontId="0" fillId="6" borderId="0" xfId="0" applyNumberFormat="1" applyFill="1" applyBorder="1" applyAlignment="1">
      <alignment horizontal="right" vertical="center"/>
    </xf>
    <xf numFmtId="1" fontId="0" fillId="6" borderId="6" xfId="0" applyNumberFormat="1" applyFill="1" applyBorder="1" applyAlignment="1">
      <alignment horizontal="right" vertical="center"/>
    </xf>
    <xf numFmtId="1" fontId="0" fillId="6" borderId="6" xfId="0" applyNumberFormat="1" applyFill="1" applyBorder="1" applyAlignment="1">
      <alignment horizontal="center" vertical="center"/>
    </xf>
    <xf numFmtId="1" fontId="0" fillId="6" borderId="8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right"/>
    </xf>
    <xf numFmtId="2" fontId="0" fillId="6" borderId="6" xfId="0" applyNumberFormat="1" applyFill="1" applyBorder="1" applyAlignment="1">
      <alignment horizontal="right"/>
    </xf>
    <xf numFmtId="2" fontId="0" fillId="6" borderId="6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0" fontId="25" fillId="6" borderId="62" xfId="0" applyFont="1" applyFill="1" applyBorder="1" applyAlignment="1">
      <alignment horizontal="left"/>
    </xf>
    <xf numFmtId="0" fontId="25" fillId="6" borderId="63" xfId="0" applyFont="1" applyFill="1" applyBorder="1" applyAlignment="1">
      <alignment horizontal="left"/>
    </xf>
    <xf numFmtId="0" fontId="25" fillId="6" borderId="64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38" fillId="6" borderId="0" xfId="0" applyFont="1" applyFill="1" applyAlignment="1" applyProtection="1">
      <alignment vertical="top" wrapText="1"/>
    </xf>
    <xf numFmtId="0" fontId="12" fillId="6" borderId="17" xfId="3" applyFont="1" applyFill="1" applyBorder="1" applyAlignment="1">
      <alignment horizontal="center"/>
    </xf>
    <xf numFmtId="0" fontId="40" fillId="6" borderId="0" xfId="3" applyFill="1" applyAlignment="1">
      <alignment horizontal="center"/>
    </xf>
    <xf numFmtId="1" fontId="11" fillId="6" borderId="25" xfId="0" applyNumberFormat="1" applyFont="1" applyFill="1" applyBorder="1" applyAlignment="1">
      <alignment horizontal="center" vertical="center"/>
    </xf>
    <xf numFmtId="0" fontId="14" fillId="6" borderId="0" xfId="0" applyFont="1" applyFill="1" applyAlignment="1" applyProtection="1">
      <alignment horizontal="center"/>
    </xf>
    <xf numFmtId="0" fontId="0" fillId="6" borderId="17" xfId="0" quotePrefix="1" applyFill="1" applyBorder="1" applyAlignment="1">
      <alignment horizontal="center"/>
    </xf>
    <xf numFmtId="9" fontId="58" fillId="6" borderId="0" xfId="5" quotePrefix="1" applyFont="1" applyFill="1" applyBorder="1" applyAlignment="1" applyProtection="1"/>
    <xf numFmtId="0" fontId="11" fillId="6" borderId="0" xfId="0" applyFont="1" applyFill="1" applyBorder="1" applyAlignment="1"/>
    <xf numFmtId="0" fontId="0" fillId="6" borderId="6" xfId="0" applyFill="1" applyBorder="1" applyAlignment="1">
      <alignment horizontal="center"/>
    </xf>
    <xf numFmtId="0" fontId="46" fillId="6" borderId="17" xfId="0" applyFont="1" applyFill="1" applyBorder="1" applyAlignment="1">
      <alignment horizontal="center"/>
    </xf>
    <xf numFmtId="0" fontId="46" fillId="6" borderId="0" xfId="0" applyFont="1" applyFill="1" applyBorder="1" applyAlignment="1" applyProtection="1">
      <alignment horizontal="center"/>
    </xf>
    <xf numFmtId="0" fontId="38" fillId="0" borderId="37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/>
    </xf>
    <xf numFmtId="0" fontId="0" fillId="0" borderId="38" xfId="0" applyFill="1" applyBorder="1" applyAlignment="1" applyProtection="1">
      <alignment horizontal="left"/>
    </xf>
    <xf numFmtId="0" fontId="38" fillId="0" borderId="40" xfId="0" applyFont="1" applyFill="1" applyBorder="1" applyAlignment="1" applyProtection="1">
      <alignment vertical="top" wrapText="1"/>
    </xf>
    <xf numFmtId="0" fontId="31" fillId="0" borderId="40" xfId="0" applyFont="1" applyFill="1" applyBorder="1" applyAlignment="1" applyProtection="1">
      <alignment horizontal="center"/>
    </xf>
    <xf numFmtId="0" fontId="14" fillId="0" borderId="40" xfId="0" applyFont="1" applyFill="1" applyBorder="1" applyAlignment="1" applyProtection="1">
      <alignment horizontal="center"/>
    </xf>
    <xf numFmtId="9" fontId="58" fillId="0" borderId="40" xfId="5" quotePrefix="1" applyFont="1" applyFill="1" applyBorder="1" applyAlignment="1" applyProtection="1"/>
    <xf numFmtId="0" fontId="0" fillId="0" borderId="40" xfId="0" applyFill="1" applyBorder="1" applyProtection="1"/>
    <xf numFmtId="0" fontId="0" fillId="0" borderId="40" xfId="0" applyFill="1" applyBorder="1"/>
    <xf numFmtId="0" fontId="0" fillId="0" borderId="43" xfId="0" applyFill="1" applyBorder="1"/>
    <xf numFmtId="0" fontId="0" fillId="5" borderId="0" xfId="0" applyFill="1" applyBorder="1" applyAlignment="1" applyProtection="1">
      <alignment horizontal="center"/>
    </xf>
    <xf numFmtId="38" fontId="0" fillId="5" borderId="27" xfId="0" applyNumberFormat="1" applyFill="1" applyBorder="1" applyAlignment="1" applyProtection="1">
      <alignment horizontal="center"/>
    </xf>
    <xf numFmtId="0" fontId="0" fillId="5" borderId="27" xfId="0" applyFill="1" applyBorder="1" applyAlignment="1" applyProtection="1">
      <alignment horizontal="center"/>
    </xf>
    <xf numFmtId="2" fontId="0" fillId="5" borderId="34" xfId="0" applyNumberFormat="1" applyFill="1" applyBorder="1" applyAlignment="1" applyProtection="1">
      <alignment horizontal="center"/>
    </xf>
    <xf numFmtId="2" fontId="29" fillId="5" borderId="0" xfId="0" applyNumberFormat="1" applyFont="1" applyFill="1" applyAlignment="1" applyProtection="1">
      <alignment horizontal="center"/>
    </xf>
    <xf numFmtId="2" fontId="4" fillId="5" borderId="0" xfId="0" applyNumberFormat="1" applyFont="1" applyFill="1" applyAlignment="1" applyProtection="1">
      <alignment horizontal="center"/>
    </xf>
    <xf numFmtId="0" fontId="9" fillId="5" borderId="0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0" fillId="5" borderId="17" xfId="0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0" fontId="29" fillId="5" borderId="2" xfId="0" applyFont="1" applyFill="1" applyBorder="1" applyAlignment="1" applyProtection="1">
      <alignment horizontal="center"/>
    </xf>
    <xf numFmtId="1" fontId="0" fillId="5" borderId="27" xfId="0" applyNumberFormat="1" applyFill="1" applyBorder="1" applyAlignment="1" applyProtection="1">
      <alignment horizontal="center"/>
    </xf>
    <xf numFmtId="2" fontId="0" fillId="5" borderId="27" xfId="0" applyNumberFormat="1" applyFill="1" applyBorder="1" applyAlignment="1" applyProtection="1">
      <alignment horizontal="center"/>
    </xf>
    <xf numFmtId="166" fontId="0" fillId="5" borderId="27" xfId="0" applyNumberFormat="1" applyFill="1" applyBorder="1" applyAlignment="1" applyProtection="1">
      <alignment horizontal="center"/>
    </xf>
    <xf numFmtId="0" fontId="0" fillId="5" borderId="34" xfId="0" applyFill="1" applyBorder="1" applyAlignment="1" applyProtection="1">
      <alignment horizontal="center"/>
    </xf>
    <xf numFmtId="2" fontId="9" fillId="5" borderId="0" xfId="0" applyNumberFormat="1" applyFont="1" applyFill="1" applyAlignment="1" applyProtection="1">
      <alignment horizontal="center"/>
    </xf>
    <xf numFmtId="0" fontId="0" fillId="5" borderId="0" xfId="0" applyFill="1" applyAlignment="1" applyProtection="1">
      <alignment horizontal="left"/>
    </xf>
    <xf numFmtId="0" fontId="11" fillId="5" borderId="0" xfId="0" applyFont="1" applyFill="1" applyAlignment="1" applyProtection="1">
      <alignment horizontal="center"/>
    </xf>
    <xf numFmtId="0" fontId="0" fillId="5" borderId="0" xfId="0" applyFill="1" applyAlignment="1" applyProtection="1"/>
    <xf numFmtId="0" fontId="84" fillId="2" borderId="0" xfId="0" applyFont="1" applyFill="1" applyAlignment="1" applyProtection="1">
      <alignment horizontal="left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5" borderId="65" xfId="0" applyFill="1" applyBorder="1" applyProtection="1"/>
    <xf numFmtId="0" fontId="0" fillId="5" borderId="66" xfId="0" applyFill="1" applyBorder="1" applyProtection="1"/>
    <xf numFmtId="0" fontId="63" fillId="5" borderId="66" xfId="0" applyFont="1" applyFill="1" applyBorder="1" applyAlignment="1" applyProtection="1"/>
    <xf numFmtId="0" fontId="0" fillId="5" borderId="67" xfId="0" applyFill="1" applyBorder="1" applyProtection="1"/>
    <xf numFmtId="0" fontId="0" fillId="5" borderId="68" xfId="0" applyFill="1" applyBorder="1" applyAlignment="1" applyProtection="1">
      <alignment horizontal="left" vertical="center"/>
    </xf>
    <xf numFmtId="0" fontId="0" fillId="5" borderId="0" xfId="0" applyFill="1" applyBorder="1" applyProtection="1"/>
    <xf numFmtId="0" fontId="63" fillId="5" borderId="0" xfId="0" applyFont="1" applyFill="1" applyBorder="1" applyAlignment="1" applyProtection="1"/>
    <xf numFmtId="0" fontId="0" fillId="5" borderId="69" xfId="0" applyFill="1" applyBorder="1" applyProtection="1"/>
    <xf numFmtId="0" fontId="0" fillId="5" borderId="0" xfId="0" applyFill="1" applyBorder="1" applyAlignment="1" applyProtection="1">
      <alignment horizontal="left"/>
    </xf>
    <xf numFmtId="0" fontId="0" fillId="5" borderId="0" xfId="0" applyFill="1" applyBorder="1" applyAlignment="1" applyProtection="1"/>
    <xf numFmtId="0" fontId="63" fillId="5" borderId="0" xfId="0" applyFont="1" applyFill="1" applyBorder="1" applyAlignment="1" applyProtection="1">
      <alignment horizontal="center"/>
    </xf>
    <xf numFmtId="0" fontId="0" fillId="5" borderId="69" xfId="0" applyFill="1" applyBorder="1" applyAlignment="1" applyProtection="1">
      <alignment horizontal="left"/>
    </xf>
    <xf numFmtId="0" fontId="0" fillId="5" borderId="68" xfId="0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left" vertical="center"/>
    </xf>
    <xf numFmtId="0" fontId="7" fillId="5" borderId="69" xfId="0" applyFont="1" applyFill="1" applyBorder="1" applyAlignment="1" applyProtection="1">
      <alignment horizontal="left"/>
    </xf>
    <xf numFmtId="0" fontId="0" fillId="5" borderId="68" xfId="0" applyFill="1" applyBorder="1" applyAlignment="1" applyProtection="1">
      <alignment horizontal="left"/>
    </xf>
    <xf numFmtId="0" fontId="0" fillId="5" borderId="68" xfId="0" applyFill="1" applyBorder="1" applyProtection="1"/>
    <xf numFmtId="0" fontId="4" fillId="5" borderId="0" xfId="0" applyFont="1" applyFill="1" applyBorder="1" applyAlignment="1" applyProtection="1">
      <alignment horizontal="right"/>
    </xf>
    <xf numFmtId="0" fontId="29" fillId="5" borderId="0" xfId="0" applyFont="1" applyFill="1" applyBorder="1" applyAlignment="1" applyProtection="1">
      <alignment horizontal="center"/>
    </xf>
    <xf numFmtId="0" fontId="67" fillId="5" borderId="0" xfId="0" applyFont="1" applyFill="1" applyBorder="1" applyAlignment="1" applyProtection="1">
      <alignment horizontal="left"/>
    </xf>
    <xf numFmtId="0" fontId="4" fillId="5" borderId="69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/>
    </xf>
    <xf numFmtId="0" fontId="67" fillId="5" borderId="0" xfId="0" applyFont="1" applyFill="1" applyBorder="1" applyAlignment="1" applyProtection="1"/>
    <xf numFmtId="0" fontId="72" fillId="5" borderId="0" xfId="0" applyFont="1" applyFill="1" applyBorder="1" applyAlignment="1" applyProtection="1">
      <alignment horizontal="left"/>
    </xf>
    <xf numFmtId="0" fontId="72" fillId="5" borderId="0" xfId="0" applyFont="1" applyFill="1" applyBorder="1" applyAlignment="1" applyProtection="1"/>
    <xf numFmtId="0" fontId="0" fillId="5" borderId="69" xfId="0" applyFill="1" applyBorder="1" applyAlignment="1" applyProtection="1"/>
    <xf numFmtId="0" fontId="66" fillId="5" borderId="68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left"/>
    </xf>
    <xf numFmtId="0" fontId="66" fillId="5" borderId="0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/>
    <xf numFmtId="0" fontId="4" fillId="5" borderId="69" xfId="0" applyFont="1" applyFill="1" applyBorder="1" applyAlignment="1" applyProtection="1"/>
    <xf numFmtId="0" fontId="0" fillId="5" borderId="24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right"/>
    </xf>
    <xf numFmtId="0" fontId="0" fillId="5" borderId="25" xfId="0" applyFill="1" applyBorder="1" applyAlignment="1" applyProtection="1">
      <alignment horizontal="center"/>
    </xf>
    <xf numFmtId="0" fontId="0" fillId="5" borderId="70" xfId="0" applyFill="1" applyBorder="1" applyProtection="1"/>
    <xf numFmtId="0" fontId="0" fillId="5" borderId="71" xfId="0" applyFill="1" applyBorder="1" applyAlignment="1" applyProtection="1">
      <alignment horizontal="left"/>
    </xf>
    <xf numFmtId="0" fontId="0" fillId="5" borderId="71" xfId="0" applyFill="1" applyBorder="1" applyAlignment="1" applyProtection="1"/>
    <xf numFmtId="0" fontId="14" fillId="5" borderId="71" xfId="0" applyFont="1" applyFill="1" applyBorder="1" applyAlignment="1" applyProtection="1">
      <alignment horizontal="left"/>
    </xf>
    <xf numFmtId="0" fontId="0" fillId="5" borderId="72" xfId="0" applyFill="1" applyBorder="1" applyAlignment="1" applyProtection="1">
      <alignment horizontal="left"/>
    </xf>
    <xf numFmtId="0" fontId="0" fillId="5" borderId="66" xfId="0" applyFill="1" applyBorder="1" applyAlignment="1" applyProtection="1">
      <alignment horizontal="left"/>
    </xf>
    <xf numFmtId="0" fontId="0" fillId="5" borderId="67" xfId="0" applyFill="1" applyBorder="1" applyAlignment="1" applyProtection="1">
      <alignment horizontal="left"/>
    </xf>
    <xf numFmtId="0" fontId="8" fillId="5" borderId="0" xfId="0" applyFont="1" applyFill="1" applyBorder="1" applyAlignment="1" applyProtection="1">
      <alignment horizontal="left"/>
    </xf>
    <xf numFmtId="0" fontId="23" fillId="5" borderId="68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left"/>
    </xf>
    <xf numFmtId="0" fontId="75" fillId="5" borderId="0" xfId="0" applyFont="1" applyFill="1" applyBorder="1" applyProtection="1"/>
    <xf numFmtId="0" fontId="12" fillId="5" borderId="0" xfId="0" applyFont="1" applyFill="1" applyBorder="1" applyAlignment="1" applyProtection="1">
      <alignment horizontal="right"/>
    </xf>
    <xf numFmtId="0" fontId="12" fillId="5" borderId="17" xfId="0" applyFont="1" applyFill="1" applyBorder="1" applyAlignment="1" applyProtection="1">
      <alignment horizontal="center"/>
    </xf>
    <xf numFmtId="0" fontId="73" fillId="5" borderId="0" xfId="0" applyFont="1" applyFill="1" applyBorder="1" applyAlignment="1" applyProtection="1">
      <alignment horizontal="left" vertical="top"/>
    </xf>
    <xf numFmtId="0" fontId="72" fillId="5" borderId="0" xfId="0" applyFont="1" applyFill="1" applyBorder="1" applyProtection="1"/>
    <xf numFmtId="0" fontId="27" fillId="5" borderId="0" xfId="0" applyFont="1" applyFill="1" applyBorder="1" applyProtection="1"/>
    <xf numFmtId="0" fontId="74" fillId="5" borderId="0" xfId="0" applyFont="1" applyFill="1" applyBorder="1" applyAlignment="1" applyProtection="1">
      <alignment horizontal="left"/>
    </xf>
    <xf numFmtId="0" fontId="11" fillId="5" borderId="0" xfId="0" applyFont="1" applyFill="1" applyBorder="1" applyProtection="1"/>
    <xf numFmtId="0" fontId="27" fillId="5" borderId="0" xfId="0" applyFont="1" applyFill="1" applyBorder="1" applyAlignment="1" applyProtection="1">
      <alignment horizontal="center"/>
    </xf>
    <xf numFmtId="0" fontId="34" fillId="5" borderId="0" xfId="0" applyFont="1" applyFill="1" applyBorder="1" applyAlignment="1" applyProtection="1">
      <alignment horizontal="center"/>
    </xf>
    <xf numFmtId="0" fontId="12" fillId="5" borderId="0" xfId="0" applyFont="1" applyFill="1" applyBorder="1" applyAlignment="1" applyProtection="1">
      <alignment horizontal="center"/>
    </xf>
    <xf numFmtId="0" fontId="40" fillId="5" borderId="0" xfId="0" applyFont="1" applyFill="1" applyBorder="1" applyAlignment="1" applyProtection="1">
      <alignment horizontal="right"/>
    </xf>
    <xf numFmtId="0" fontId="36" fillId="5" borderId="0" xfId="0" applyFont="1" applyFill="1" applyBorder="1" applyAlignment="1" applyProtection="1">
      <alignment horizontal="center"/>
    </xf>
    <xf numFmtId="0" fontId="12" fillId="5" borderId="0" xfId="0" applyFont="1" applyFill="1" applyBorder="1" applyAlignment="1" applyProtection="1">
      <alignment horizontal="left"/>
    </xf>
    <xf numFmtId="0" fontId="8" fillId="5" borderId="69" xfId="0" applyFont="1" applyFill="1" applyBorder="1" applyProtection="1"/>
    <xf numFmtId="0" fontId="23" fillId="5" borderId="0" xfId="0" applyFont="1" applyFill="1" applyBorder="1" applyAlignment="1" applyProtection="1">
      <alignment horizontal="left"/>
    </xf>
    <xf numFmtId="0" fontId="33" fillId="5" borderId="0" xfId="0" applyFont="1" applyFill="1" applyBorder="1" applyAlignment="1" applyProtection="1">
      <alignment horizontal="left"/>
    </xf>
    <xf numFmtId="0" fontId="37" fillId="5" borderId="0" xfId="0" applyFont="1" applyFill="1" applyBorder="1" applyAlignment="1" applyProtection="1">
      <alignment horizontal="right"/>
    </xf>
    <xf numFmtId="0" fontId="35" fillId="5" borderId="0" xfId="0" applyFont="1" applyFill="1" applyBorder="1" applyAlignment="1" applyProtection="1">
      <alignment horizontal="left"/>
    </xf>
    <xf numFmtId="0" fontId="34" fillId="5" borderId="0" xfId="0" applyFont="1" applyFill="1" applyBorder="1" applyAlignment="1" applyProtection="1">
      <alignment horizontal="left"/>
    </xf>
    <xf numFmtId="0" fontId="27" fillId="5" borderId="69" xfId="0" applyFont="1" applyFill="1" applyBorder="1" applyProtection="1"/>
    <xf numFmtId="0" fontId="0" fillId="5" borderId="0" xfId="0" applyFont="1" applyFill="1" applyBorder="1" applyAlignment="1" applyProtection="1">
      <alignment horizontal="left"/>
    </xf>
    <xf numFmtId="0" fontId="0" fillId="5" borderId="0" xfId="0" applyFont="1" applyFill="1" applyBorder="1" applyAlignment="1" applyProtection="1">
      <alignment horizontal="center"/>
    </xf>
    <xf numFmtId="0" fontId="40" fillId="5" borderId="0" xfId="0" applyFont="1" applyFill="1" applyBorder="1" applyProtection="1"/>
    <xf numFmtId="0" fontId="45" fillId="5" borderId="0" xfId="0" applyFont="1" applyFill="1" applyBorder="1" applyAlignment="1" applyProtection="1">
      <alignment horizontal="left"/>
    </xf>
    <xf numFmtId="0" fontId="35" fillId="5" borderId="0" xfId="0" applyFont="1" applyFill="1" applyBorder="1" applyAlignment="1" applyProtection="1">
      <alignment horizontal="center"/>
    </xf>
    <xf numFmtId="0" fontId="67" fillId="5" borderId="0" xfId="0" applyFont="1" applyFill="1" applyBorder="1" applyProtection="1"/>
    <xf numFmtId="0" fontId="8" fillId="5" borderId="0" xfId="0" applyFont="1" applyFill="1" applyBorder="1" applyProtection="1"/>
    <xf numFmtId="0" fontId="8" fillId="5" borderId="0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29" fillId="5" borderId="0" xfId="0" applyFont="1" applyFill="1" applyBorder="1" applyProtection="1"/>
    <xf numFmtId="0" fontId="7" fillId="5" borderId="0" xfId="0" applyFont="1" applyFill="1" applyBorder="1" applyAlignment="1" applyProtection="1">
      <alignment horizontal="center"/>
    </xf>
    <xf numFmtId="0" fontId="29" fillId="5" borderId="6" xfId="0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center"/>
    </xf>
    <xf numFmtId="0" fontId="38" fillId="5" borderId="0" xfId="0" applyFont="1" applyFill="1" applyBorder="1" applyAlignment="1" applyProtection="1">
      <alignment horizontal="left"/>
    </xf>
    <xf numFmtId="0" fontId="39" fillId="5" borderId="0" xfId="0" applyFont="1" applyFill="1" applyBorder="1" applyAlignment="1" applyProtection="1">
      <alignment horizontal="left"/>
    </xf>
    <xf numFmtId="2" fontId="4" fillId="5" borderId="17" xfId="0" applyNumberFormat="1" applyFont="1" applyFill="1" applyBorder="1" applyAlignment="1" applyProtection="1">
      <alignment horizontal="center"/>
    </xf>
    <xf numFmtId="0" fontId="0" fillId="5" borderId="71" xfId="0" applyFill="1" applyBorder="1" applyAlignment="1" applyProtection="1">
      <alignment horizontal="right"/>
    </xf>
    <xf numFmtId="2" fontId="4" fillId="5" borderId="71" xfId="0" applyNumberFormat="1" applyFont="1" applyFill="1" applyBorder="1" applyAlignment="1" applyProtection="1">
      <alignment horizontal="center"/>
    </xf>
    <xf numFmtId="0" fontId="88" fillId="5" borderId="0" xfId="0" applyFont="1" applyFill="1" applyBorder="1" applyAlignment="1" applyProtection="1"/>
    <xf numFmtId="0" fontId="87" fillId="5" borderId="69" xfId="0" applyFont="1" applyFill="1" applyBorder="1" applyAlignment="1" applyProtection="1">
      <alignment horizontal="left"/>
    </xf>
    <xf numFmtId="0" fontId="70" fillId="0" borderId="0" xfId="2" applyFont="1" applyFill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 vertical="center"/>
    </xf>
    <xf numFmtId="0" fontId="25" fillId="5" borderId="26" xfId="0" quotePrefix="1" applyFont="1" applyFill="1" applyBorder="1" applyAlignment="1" applyProtection="1">
      <alignment horizontal="center" vertical="center"/>
    </xf>
    <xf numFmtId="0" fontId="25" fillId="5" borderId="24" xfId="0" applyFont="1" applyFill="1" applyBorder="1" applyAlignment="1" applyProtection="1">
      <alignment horizontal="center" vertical="center"/>
    </xf>
    <xf numFmtId="0" fontId="25" fillId="0" borderId="26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</xf>
    <xf numFmtId="0" fontId="25" fillId="0" borderId="24" xfId="0" applyFont="1" applyFill="1" applyBorder="1" applyAlignment="1" applyProtection="1">
      <alignment horizontal="center" vertical="center"/>
    </xf>
    <xf numFmtId="168" fontId="0" fillId="0" borderId="0" xfId="0" applyNumberFormat="1" applyFill="1" applyBorder="1" applyAlignment="1" applyProtection="1">
      <alignment horizontal="center"/>
    </xf>
    <xf numFmtId="0" fontId="70" fillId="0" borderId="0" xfId="2" applyFont="1" applyBorder="1" applyAlignment="1" applyProtection="1">
      <alignment horizontal="left"/>
      <protection locked="0"/>
    </xf>
    <xf numFmtId="0" fontId="64" fillId="5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/>
      <protection locked="0"/>
    </xf>
    <xf numFmtId="0" fontId="81" fillId="0" borderId="0" xfId="0" applyFont="1" applyBorder="1" applyAlignment="1" applyProtection="1">
      <alignment horizontal="center" vertical="top"/>
    </xf>
    <xf numFmtId="0" fontId="81" fillId="0" borderId="0" xfId="0" applyFont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/>
    </xf>
    <xf numFmtId="0" fontId="76" fillId="0" borderId="0" xfId="0" applyFont="1" applyBorder="1" applyAlignment="1" applyProtection="1">
      <alignment horizontal="center" wrapText="1"/>
    </xf>
    <xf numFmtId="0" fontId="0" fillId="6" borderId="69" xfId="0" applyFill="1" applyBorder="1" applyAlignment="1" applyProtection="1">
      <alignment horizontal="center"/>
      <protection locked="0"/>
    </xf>
    <xf numFmtId="0" fontId="71" fillId="0" borderId="0" xfId="2" applyFont="1" applyBorder="1" applyAlignment="1" applyProtection="1">
      <alignment horizontal="left"/>
      <protection locked="0"/>
    </xf>
    <xf numFmtId="0" fontId="63" fillId="5" borderId="0" xfId="0" applyFont="1" applyFill="1" applyBorder="1" applyAlignment="1" applyProtection="1">
      <alignment horizontal="center"/>
    </xf>
    <xf numFmtId="0" fontId="63" fillId="5" borderId="69" xfId="0" applyFont="1" applyFill="1" applyBorder="1" applyAlignment="1" applyProtection="1">
      <alignment horizontal="center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top"/>
    </xf>
    <xf numFmtId="0" fontId="71" fillId="0" borderId="39" xfId="2" applyFont="1" applyBorder="1" applyAlignment="1" applyProtection="1">
      <alignment horizontal="right"/>
      <protection locked="0"/>
    </xf>
    <xf numFmtId="0" fontId="71" fillId="0" borderId="5" xfId="2" applyFont="1" applyBorder="1" applyAlignment="1" applyProtection="1">
      <alignment horizontal="right"/>
      <protection locked="0"/>
    </xf>
    <xf numFmtId="0" fontId="71" fillId="0" borderId="39" xfId="2" applyFont="1" applyBorder="1" applyAlignment="1" applyProtection="1">
      <alignment horizontal="left"/>
      <protection locked="0"/>
    </xf>
    <xf numFmtId="0" fontId="86" fillId="5" borderId="0" xfId="0" applyFont="1" applyFill="1" applyBorder="1" applyAlignment="1" applyProtection="1">
      <alignment horizontal="center"/>
    </xf>
    <xf numFmtId="0" fontId="20" fillId="6" borderId="2" xfId="0" applyFont="1" applyFill="1" applyBorder="1" applyAlignment="1">
      <alignment horizontal="center" wrapText="1"/>
    </xf>
    <xf numFmtId="0" fontId="20" fillId="6" borderId="0" xfId="0" applyFont="1" applyFill="1" applyBorder="1" applyAlignment="1">
      <alignment horizontal="center" wrapText="1"/>
    </xf>
    <xf numFmtId="0" fontId="41" fillId="0" borderId="0" xfId="0" applyFont="1" applyBorder="1" applyAlignment="1" applyProtection="1">
      <alignment horizontal="center"/>
    </xf>
    <xf numFmtId="0" fontId="30" fillId="0" borderId="6" xfId="0" applyFont="1" applyBorder="1" applyAlignment="1" applyProtection="1">
      <alignment horizontal="center"/>
    </xf>
    <xf numFmtId="0" fontId="62" fillId="0" borderId="0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textRotation="90"/>
    </xf>
    <xf numFmtId="0" fontId="11" fillId="6" borderId="0" xfId="0" applyFont="1" applyFill="1" applyBorder="1" applyAlignment="1">
      <alignment horizontal="center"/>
    </xf>
    <xf numFmtId="0" fontId="0" fillId="6" borderId="0" xfId="0" applyFill="1" applyAlignment="1">
      <alignment horizontal="left" vertical="center"/>
    </xf>
    <xf numFmtId="0" fontId="22" fillId="6" borderId="0" xfId="0" applyFont="1" applyFill="1" applyAlignment="1">
      <alignment horizontal="center" vertical="center"/>
    </xf>
    <xf numFmtId="0" fontId="3" fillId="0" borderId="2" xfId="2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40" xfId="0" applyFont="1" applyFill="1" applyBorder="1" applyAlignment="1" applyProtection="1">
      <alignment horizontal="center" vertical="center" wrapText="1"/>
    </xf>
    <xf numFmtId="0" fontId="0" fillId="0" borderId="0" xfId="0" quotePrefix="1" applyBorder="1" applyAlignment="1" applyProtection="1">
      <alignment horizontal="center" wrapText="1"/>
    </xf>
    <xf numFmtId="0" fontId="68" fillId="0" borderId="0" xfId="0" applyFont="1" applyBorder="1" applyAlignment="1" applyProtection="1">
      <alignment horizontal="center" wrapText="1"/>
    </xf>
    <xf numFmtId="0" fontId="54" fillId="0" borderId="0" xfId="4" applyFont="1" applyAlignment="1">
      <alignment horizontal="center" vertical="center"/>
    </xf>
    <xf numFmtId="0" fontId="52" fillId="0" borderId="0" xfId="4" applyFont="1" applyAlignment="1" applyProtection="1">
      <alignment horizontal="center" vertical="center"/>
      <protection locked="0"/>
    </xf>
    <xf numFmtId="0" fontId="53" fillId="0" borderId="47" xfId="4" applyFont="1" applyBorder="1" applyAlignment="1">
      <alignment horizontal="center" vertical="center" wrapText="1"/>
    </xf>
    <xf numFmtId="0" fontId="53" fillId="0" borderId="48" xfId="4" applyFont="1" applyBorder="1" applyAlignment="1">
      <alignment horizontal="center" vertical="center" wrapText="1"/>
    </xf>
    <xf numFmtId="0" fontId="53" fillId="0" borderId="49" xfId="4" applyFont="1" applyBorder="1" applyAlignment="1">
      <alignment horizontal="center" vertical="center" wrapText="1"/>
    </xf>
    <xf numFmtId="0" fontId="55" fillId="0" borderId="45" xfId="4" applyFont="1" applyBorder="1" applyAlignment="1">
      <alignment horizontal="center" vertical="center" wrapText="1"/>
    </xf>
    <xf numFmtId="0" fontId="55" fillId="0" borderId="46" xfId="4" applyFont="1" applyBorder="1" applyAlignment="1">
      <alignment horizontal="center" vertical="center" wrapText="1"/>
    </xf>
    <xf numFmtId="0" fontId="55" fillId="0" borderId="50" xfId="4" applyFont="1" applyBorder="1" applyAlignment="1">
      <alignment horizontal="center" vertical="center" wrapText="1"/>
    </xf>
    <xf numFmtId="0" fontId="55" fillId="0" borderId="51" xfId="4" applyFont="1" applyBorder="1" applyAlignment="1">
      <alignment horizontal="center" vertical="center" wrapText="1"/>
    </xf>
    <xf numFmtId="0" fontId="55" fillId="0" borderId="52" xfId="4" applyFont="1" applyBorder="1" applyAlignment="1">
      <alignment horizontal="center" vertical="center" wrapText="1"/>
    </xf>
    <xf numFmtId="0" fontId="55" fillId="0" borderId="53" xfId="4" applyFont="1" applyBorder="1" applyAlignment="1">
      <alignment horizontal="center" vertical="center" wrapText="1"/>
    </xf>
    <xf numFmtId="0" fontId="55" fillId="0" borderId="54" xfId="4" applyFont="1" applyBorder="1" applyAlignment="1">
      <alignment horizontal="center" vertical="center" wrapText="1"/>
    </xf>
    <xf numFmtId="0" fontId="55" fillId="0" borderId="55" xfId="4" applyFont="1" applyBorder="1" applyAlignment="1">
      <alignment horizontal="center" vertical="center" wrapText="1"/>
    </xf>
    <xf numFmtId="0" fontId="55" fillId="0" borderId="56" xfId="4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4" borderId="6" xfId="0" applyFont="1" applyFill="1" applyBorder="1" applyAlignment="1">
      <alignment horizontal="left"/>
    </xf>
    <xf numFmtId="0" fontId="48" fillId="0" borderId="2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8" fillId="4" borderId="19" xfId="0" applyFont="1" applyFill="1" applyBorder="1" applyAlignment="1">
      <alignment horizontal="center"/>
    </xf>
    <xf numFmtId="0" fontId="48" fillId="4" borderId="6" xfId="0" applyFont="1" applyFill="1" applyBorder="1" applyAlignment="1">
      <alignment horizontal="center"/>
    </xf>
    <xf numFmtId="0" fontId="48" fillId="4" borderId="6" xfId="0" applyFont="1" applyFill="1" applyBorder="1" applyAlignment="1"/>
  </cellXfs>
  <cellStyles count="6">
    <cellStyle name="Comma_SERWKSHT" xfId="1" xr:uid="{00000000-0005-0000-0000-000000000000}"/>
    <cellStyle name="Hyperlink" xfId="2" builtinId="8"/>
    <cellStyle name="Normal" xfId="0" builtinId="0"/>
    <cellStyle name="Normal_SWRWKSHT" xfId="3" xr:uid="{00000000-0005-0000-0000-000003000000}"/>
    <cellStyle name="Normal_USCS - SE" xfId="4" xr:uid="{00000000-0005-0000-0000-000004000000}"/>
    <cellStyle name="Percent" xfId="5" builtinId="5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19</xdr:row>
      <xdr:rowOff>85725</xdr:rowOff>
    </xdr:from>
    <xdr:to>
      <xdr:col>7</xdr:col>
      <xdr:colOff>561975</xdr:colOff>
      <xdr:row>19</xdr:row>
      <xdr:rowOff>85725</xdr:rowOff>
    </xdr:to>
    <xdr:sp macro="" textlink="">
      <xdr:nvSpPr>
        <xdr:cNvPr id="4989" name="Line 1">
          <a:extLst>
            <a:ext uri="{FF2B5EF4-FFF2-40B4-BE49-F238E27FC236}">
              <a16:creationId xmlns:a16="http://schemas.microsoft.com/office/drawing/2014/main" id="{00000000-0008-0000-0000-00007D130000}"/>
            </a:ext>
          </a:extLst>
        </xdr:cNvPr>
        <xdr:cNvSpPr>
          <a:spLocks noChangeShapeType="1"/>
        </xdr:cNvSpPr>
      </xdr:nvSpPr>
      <xdr:spPr bwMode="auto">
        <a:xfrm>
          <a:off x="10334625" y="3209925"/>
          <a:ext cx="1047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25</xdr:row>
      <xdr:rowOff>85725</xdr:rowOff>
    </xdr:from>
    <xdr:to>
      <xdr:col>9</xdr:col>
      <xdr:colOff>409575</xdr:colOff>
      <xdr:row>25</xdr:row>
      <xdr:rowOff>85725</xdr:rowOff>
    </xdr:to>
    <xdr:sp macro="" textlink="">
      <xdr:nvSpPr>
        <xdr:cNvPr id="4998" name="Line 10">
          <a:extLst>
            <a:ext uri="{FF2B5EF4-FFF2-40B4-BE49-F238E27FC236}">
              <a16:creationId xmlns:a16="http://schemas.microsoft.com/office/drawing/2014/main" id="{00000000-0008-0000-0000-000086130000}"/>
            </a:ext>
          </a:extLst>
        </xdr:cNvPr>
        <xdr:cNvSpPr>
          <a:spLocks noChangeShapeType="1"/>
        </xdr:cNvSpPr>
      </xdr:nvSpPr>
      <xdr:spPr bwMode="auto">
        <a:xfrm flipV="1">
          <a:off x="10658475" y="41814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72</xdr:row>
      <xdr:rowOff>66675</xdr:rowOff>
    </xdr:from>
    <xdr:to>
      <xdr:col>11</xdr:col>
      <xdr:colOff>0</xdr:colOff>
      <xdr:row>78</xdr:row>
      <xdr:rowOff>104775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85800" y="7210425"/>
          <a:ext cx="4638675" cy="895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33</xdr:row>
      <xdr:rowOff>66675</xdr:rowOff>
    </xdr:from>
    <xdr:to>
      <xdr:col>13</xdr:col>
      <xdr:colOff>381000</xdr:colOff>
      <xdr:row>33</xdr:row>
      <xdr:rowOff>66675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7153275" y="16383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504825</xdr:colOff>
      <xdr:row>79</xdr:row>
      <xdr:rowOff>85725</xdr:rowOff>
    </xdr:from>
    <xdr:to>
      <xdr:col>9</xdr:col>
      <xdr:colOff>66675</xdr:colOff>
      <xdr:row>81</xdr:row>
      <xdr:rowOff>76200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4086225" y="8229600"/>
          <a:ext cx="1428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80</xdr:row>
      <xdr:rowOff>123825</xdr:rowOff>
    </xdr:from>
    <xdr:to>
      <xdr:col>9</xdr:col>
      <xdr:colOff>266700</xdr:colOff>
      <xdr:row>81</xdr:row>
      <xdr:rowOff>66675</xdr:rowOff>
    </xdr:to>
    <xdr:sp macro="" textlink="">
      <xdr:nvSpPr>
        <xdr:cNvPr id="5" name="Line 3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4314825" y="8410575"/>
          <a:ext cx="11430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257175</xdr:colOff>
      <xdr:row>80</xdr:row>
      <xdr:rowOff>85725</xdr:rowOff>
    </xdr:from>
    <xdr:to>
      <xdr:col>8</xdr:col>
      <xdr:colOff>447675</xdr:colOff>
      <xdr:row>81</xdr:row>
      <xdr:rowOff>0</xdr:rowOff>
    </xdr:to>
    <xdr:sp macro="" textlink="">
      <xdr:nvSpPr>
        <xdr:cNvPr id="6" name="Line 3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3838575" y="8372475"/>
          <a:ext cx="19050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113</xdr:row>
      <xdr:rowOff>0</xdr:rowOff>
    </xdr:from>
    <xdr:to>
      <xdr:col>6</xdr:col>
      <xdr:colOff>266700</xdr:colOff>
      <xdr:row>113</xdr:row>
      <xdr:rowOff>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V="1">
          <a:off x="3267075" y="2271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113</xdr:row>
      <xdr:rowOff>0</xdr:rowOff>
    </xdr:from>
    <xdr:to>
      <xdr:col>8</xdr:col>
      <xdr:colOff>304800</xdr:colOff>
      <xdr:row>113</xdr:row>
      <xdr:rowOff>0</xdr:rowOff>
    </xdr:to>
    <xdr:sp macro="" textlink="">
      <xdr:nvSpPr>
        <xdr:cNvPr id="7" name="Line 2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4467225" y="2271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113</xdr:row>
      <xdr:rowOff>0</xdr:rowOff>
    </xdr:from>
    <xdr:to>
      <xdr:col>10</xdr:col>
      <xdr:colOff>304800</xdr:colOff>
      <xdr:row>113</xdr:row>
      <xdr:rowOff>0</xdr:rowOff>
    </xdr:to>
    <xdr:sp macro="" textlink="">
      <xdr:nvSpPr>
        <xdr:cNvPr id="8" name="Line 2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V="1">
          <a:off x="5629275" y="2271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113</xdr:row>
      <xdr:rowOff>0</xdr:rowOff>
    </xdr:from>
    <xdr:to>
      <xdr:col>10</xdr:col>
      <xdr:colOff>304800</xdr:colOff>
      <xdr:row>113</xdr:row>
      <xdr:rowOff>0</xdr:rowOff>
    </xdr:to>
    <xdr:sp macro="" textlink="">
      <xdr:nvSpPr>
        <xdr:cNvPr id="9" name="Line 2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629275" y="2271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113</xdr:row>
      <xdr:rowOff>0</xdr:rowOff>
    </xdr:from>
    <xdr:to>
      <xdr:col>10</xdr:col>
      <xdr:colOff>304800</xdr:colOff>
      <xdr:row>113</xdr:row>
      <xdr:rowOff>0</xdr:rowOff>
    </xdr:to>
    <xdr:sp macro="" textlink="">
      <xdr:nvSpPr>
        <xdr:cNvPr id="10" name="Line 2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V="1">
          <a:off x="5629275" y="2271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113</xdr:row>
      <xdr:rowOff>0</xdr:rowOff>
    </xdr:from>
    <xdr:to>
      <xdr:col>8</xdr:col>
      <xdr:colOff>304800</xdr:colOff>
      <xdr:row>113</xdr:row>
      <xdr:rowOff>0</xdr:rowOff>
    </xdr:to>
    <xdr:sp macro="" textlink="">
      <xdr:nvSpPr>
        <xdr:cNvPr id="11" name="Line 2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4467225" y="2271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113</xdr:row>
      <xdr:rowOff>0</xdr:rowOff>
    </xdr:from>
    <xdr:to>
      <xdr:col>8</xdr:col>
      <xdr:colOff>304800</xdr:colOff>
      <xdr:row>113</xdr:row>
      <xdr:rowOff>0</xdr:rowOff>
    </xdr:to>
    <xdr:sp macro="" textlink="">
      <xdr:nvSpPr>
        <xdr:cNvPr id="12" name="Line 2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 flipV="1">
          <a:off x="4467225" y="2271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113</xdr:row>
      <xdr:rowOff>0</xdr:rowOff>
    </xdr:from>
    <xdr:to>
      <xdr:col>6</xdr:col>
      <xdr:colOff>304800</xdr:colOff>
      <xdr:row>113</xdr:row>
      <xdr:rowOff>0</xdr:rowOff>
    </xdr:to>
    <xdr:sp macro="" textlink="">
      <xdr:nvSpPr>
        <xdr:cNvPr id="13" name="Line 3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3305175" y="2271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113</xdr:row>
      <xdr:rowOff>0</xdr:rowOff>
    </xdr:from>
    <xdr:to>
      <xdr:col>6</xdr:col>
      <xdr:colOff>304800</xdr:colOff>
      <xdr:row>113</xdr:row>
      <xdr:rowOff>0</xdr:rowOff>
    </xdr:to>
    <xdr:sp macro="" textlink="">
      <xdr:nvSpPr>
        <xdr:cNvPr id="14" name="Line 3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 flipV="1">
          <a:off x="3305175" y="2271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117</xdr:row>
      <xdr:rowOff>0</xdr:rowOff>
    </xdr:from>
    <xdr:to>
      <xdr:col>6</xdr:col>
      <xdr:colOff>266700</xdr:colOff>
      <xdr:row>117</xdr:row>
      <xdr:rowOff>0</xdr:rowOff>
    </xdr:to>
    <xdr:sp macro="" textlink="">
      <xdr:nvSpPr>
        <xdr:cNvPr id="15" name="Line 3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 flipV="1">
          <a:off x="3267075" y="2328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117</xdr:row>
      <xdr:rowOff>0</xdr:rowOff>
    </xdr:from>
    <xdr:to>
      <xdr:col>8</xdr:col>
      <xdr:colOff>304800</xdr:colOff>
      <xdr:row>117</xdr:row>
      <xdr:rowOff>0</xdr:rowOff>
    </xdr:to>
    <xdr:sp macro="" textlink="">
      <xdr:nvSpPr>
        <xdr:cNvPr id="16" name="Line 3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 flipV="1">
          <a:off x="4467225" y="2328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117</xdr:row>
      <xdr:rowOff>0</xdr:rowOff>
    </xdr:from>
    <xdr:to>
      <xdr:col>10</xdr:col>
      <xdr:colOff>304800</xdr:colOff>
      <xdr:row>117</xdr:row>
      <xdr:rowOff>0</xdr:rowOff>
    </xdr:to>
    <xdr:sp macro="" textlink="">
      <xdr:nvSpPr>
        <xdr:cNvPr id="17" name="Line 3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 flipV="1">
          <a:off x="5629275" y="2328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117</xdr:row>
      <xdr:rowOff>0</xdr:rowOff>
    </xdr:from>
    <xdr:to>
      <xdr:col>10</xdr:col>
      <xdr:colOff>304800</xdr:colOff>
      <xdr:row>117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5629275" y="2328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117</xdr:row>
      <xdr:rowOff>0</xdr:rowOff>
    </xdr:from>
    <xdr:to>
      <xdr:col>10</xdr:col>
      <xdr:colOff>304800</xdr:colOff>
      <xdr:row>117</xdr:row>
      <xdr:rowOff>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 flipV="1">
          <a:off x="5629275" y="2328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117</xdr:row>
      <xdr:rowOff>0</xdr:rowOff>
    </xdr:from>
    <xdr:to>
      <xdr:col>8</xdr:col>
      <xdr:colOff>304800</xdr:colOff>
      <xdr:row>117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467225" y="2328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117</xdr:row>
      <xdr:rowOff>0</xdr:rowOff>
    </xdr:from>
    <xdr:to>
      <xdr:col>8</xdr:col>
      <xdr:colOff>304800</xdr:colOff>
      <xdr:row>117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 flipV="1">
          <a:off x="4467225" y="2328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117</xdr:row>
      <xdr:rowOff>0</xdr:rowOff>
    </xdr:from>
    <xdr:to>
      <xdr:col>6</xdr:col>
      <xdr:colOff>304800</xdr:colOff>
      <xdr:row>117</xdr:row>
      <xdr:rowOff>0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3305175" y="2328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117</xdr:row>
      <xdr:rowOff>0</xdr:rowOff>
    </xdr:from>
    <xdr:to>
      <xdr:col>6</xdr:col>
      <xdr:colOff>304800</xdr:colOff>
      <xdr:row>117</xdr:row>
      <xdr:rowOff>0</xdr:rowOff>
    </xdr:to>
    <xdr:sp macro="" textlink="">
      <xdr:nvSpPr>
        <xdr:cNvPr id="23" name="Line 4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 flipV="1">
          <a:off x="3305175" y="2328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123</xdr:row>
      <xdr:rowOff>0</xdr:rowOff>
    </xdr:from>
    <xdr:to>
      <xdr:col>6</xdr:col>
      <xdr:colOff>266700</xdr:colOff>
      <xdr:row>123</xdr:row>
      <xdr:rowOff>0</xdr:rowOff>
    </xdr:to>
    <xdr:sp macro="" textlink="">
      <xdr:nvSpPr>
        <xdr:cNvPr id="24" name="Line 4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 flipV="1">
          <a:off x="326707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123</xdr:row>
      <xdr:rowOff>0</xdr:rowOff>
    </xdr:from>
    <xdr:to>
      <xdr:col>8</xdr:col>
      <xdr:colOff>304800</xdr:colOff>
      <xdr:row>123</xdr:row>
      <xdr:rowOff>0</xdr:rowOff>
    </xdr:to>
    <xdr:sp macro="" textlink="">
      <xdr:nvSpPr>
        <xdr:cNvPr id="25" name="Line 46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 flipV="1">
          <a:off x="446722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123</xdr:row>
      <xdr:rowOff>0</xdr:rowOff>
    </xdr:from>
    <xdr:to>
      <xdr:col>10</xdr:col>
      <xdr:colOff>304800</xdr:colOff>
      <xdr:row>123</xdr:row>
      <xdr:rowOff>0</xdr:rowOff>
    </xdr:to>
    <xdr:sp macro="" textlink="">
      <xdr:nvSpPr>
        <xdr:cNvPr id="26" name="Line 4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 flipV="1">
          <a:off x="562927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123</xdr:row>
      <xdr:rowOff>0</xdr:rowOff>
    </xdr:from>
    <xdr:to>
      <xdr:col>10</xdr:col>
      <xdr:colOff>304800</xdr:colOff>
      <xdr:row>123</xdr:row>
      <xdr:rowOff>0</xdr:rowOff>
    </xdr:to>
    <xdr:sp macro="" textlink="">
      <xdr:nvSpPr>
        <xdr:cNvPr id="27" name="Line 48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562927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123</xdr:row>
      <xdr:rowOff>0</xdr:rowOff>
    </xdr:from>
    <xdr:to>
      <xdr:col>10</xdr:col>
      <xdr:colOff>304800</xdr:colOff>
      <xdr:row>123</xdr:row>
      <xdr:rowOff>0</xdr:rowOff>
    </xdr:to>
    <xdr:sp macro="" textlink="">
      <xdr:nvSpPr>
        <xdr:cNvPr id="28" name="Line 49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 flipV="1">
          <a:off x="562927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123</xdr:row>
      <xdr:rowOff>0</xdr:rowOff>
    </xdr:from>
    <xdr:to>
      <xdr:col>8</xdr:col>
      <xdr:colOff>304800</xdr:colOff>
      <xdr:row>123</xdr:row>
      <xdr:rowOff>0</xdr:rowOff>
    </xdr:to>
    <xdr:sp macro="" textlink="">
      <xdr:nvSpPr>
        <xdr:cNvPr id="29" name="Line 50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446722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123</xdr:row>
      <xdr:rowOff>0</xdr:rowOff>
    </xdr:from>
    <xdr:to>
      <xdr:col>8</xdr:col>
      <xdr:colOff>304800</xdr:colOff>
      <xdr:row>123</xdr:row>
      <xdr:rowOff>0</xdr:rowOff>
    </xdr:to>
    <xdr:sp macro="" textlink="">
      <xdr:nvSpPr>
        <xdr:cNvPr id="30" name="Line 5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 flipV="1">
          <a:off x="446722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123</xdr:row>
      <xdr:rowOff>0</xdr:rowOff>
    </xdr:from>
    <xdr:to>
      <xdr:col>6</xdr:col>
      <xdr:colOff>304800</xdr:colOff>
      <xdr:row>123</xdr:row>
      <xdr:rowOff>0</xdr:rowOff>
    </xdr:to>
    <xdr:sp macro="" textlink="">
      <xdr:nvSpPr>
        <xdr:cNvPr id="31" name="Line 5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330517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123</xdr:row>
      <xdr:rowOff>0</xdr:rowOff>
    </xdr:from>
    <xdr:to>
      <xdr:col>6</xdr:col>
      <xdr:colOff>304800</xdr:colOff>
      <xdr:row>123</xdr:row>
      <xdr:rowOff>0</xdr:rowOff>
    </xdr:to>
    <xdr:sp macro="" textlink="">
      <xdr:nvSpPr>
        <xdr:cNvPr id="32" name="Line 53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 flipV="1">
          <a:off x="330517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123</xdr:row>
      <xdr:rowOff>0</xdr:rowOff>
    </xdr:from>
    <xdr:to>
      <xdr:col>9</xdr:col>
      <xdr:colOff>304800</xdr:colOff>
      <xdr:row>123</xdr:row>
      <xdr:rowOff>0</xdr:rowOff>
    </xdr:to>
    <xdr:sp macro="" textlink="">
      <xdr:nvSpPr>
        <xdr:cNvPr id="35" name="Line 5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 flipV="1">
          <a:off x="5048250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123</xdr:row>
      <xdr:rowOff>0</xdr:rowOff>
    </xdr:from>
    <xdr:to>
      <xdr:col>9</xdr:col>
      <xdr:colOff>304800</xdr:colOff>
      <xdr:row>123</xdr:row>
      <xdr:rowOff>0</xdr:rowOff>
    </xdr:to>
    <xdr:sp macro="" textlink="">
      <xdr:nvSpPr>
        <xdr:cNvPr id="36" name="Line 5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5048250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123</xdr:row>
      <xdr:rowOff>0</xdr:rowOff>
    </xdr:from>
    <xdr:to>
      <xdr:col>9</xdr:col>
      <xdr:colOff>304800</xdr:colOff>
      <xdr:row>123</xdr:row>
      <xdr:rowOff>0</xdr:rowOff>
    </xdr:to>
    <xdr:sp macro="" textlink="">
      <xdr:nvSpPr>
        <xdr:cNvPr id="37" name="Line 58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 flipV="1">
          <a:off x="5048250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438150</xdr:colOff>
      <xdr:row>36</xdr:row>
      <xdr:rowOff>0</xdr:rowOff>
    </xdr:from>
    <xdr:to>
      <xdr:col>3</xdr:col>
      <xdr:colOff>438150</xdr:colOff>
      <xdr:row>52</xdr:row>
      <xdr:rowOff>9525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 bwMode="auto">
        <a:xfrm>
          <a:off x="1981200" y="4400550"/>
          <a:ext cx="0" cy="26003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triangle"/>
          <a:tailEnd type="triangle"/>
        </a:ln>
        <a:effectLst/>
      </xdr:spPr>
    </xdr:cxnSp>
    <xdr:clientData/>
  </xdr:twoCellAnchor>
  <xdr:twoCellAnchor>
    <xdr:from>
      <xdr:col>3</xdr:col>
      <xdr:colOff>400050</xdr:colOff>
      <xdr:row>62</xdr:row>
      <xdr:rowOff>0</xdr:rowOff>
    </xdr:from>
    <xdr:to>
      <xdr:col>3</xdr:col>
      <xdr:colOff>400050</xdr:colOff>
      <xdr:row>71</xdr:row>
      <xdr:rowOff>9525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 bwMode="auto">
        <a:xfrm>
          <a:off x="1943100" y="8610600"/>
          <a:ext cx="0" cy="14668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triangle"/>
          <a:tailEnd type="triangle"/>
        </a:ln>
        <a:effectLst/>
      </xdr:spPr>
    </xdr:cxnSp>
    <xdr:clientData/>
  </xdr:twoCellAnchor>
  <xdr:twoCellAnchor>
    <xdr:from>
      <xdr:col>3</xdr:col>
      <xdr:colOff>409575</xdr:colOff>
      <xdr:row>91</xdr:row>
      <xdr:rowOff>0</xdr:rowOff>
    </xdr:from>
    <xdr:to>
      <xdr:col>3</xdr:col>
      <xdr:colOff>409575</xdr:colOff>
      <xdr:row>98</xdr:row>
      <xdr:rowOff>9525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 bwMode="auto">
        <a:xfrm>
          <a:off x="1952625" y="13525500"/>
          <a:ext cx="0" cy="11430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triangle"/>
          <a:tailEnd type="triangle"/>
        </a:ln>
        <a:effectLst/>
      </xdr:spPr>
    </xdr:cxnSp>
    <xdr:clientData/>
  </xdr:twoCellAnchor>
  <xdr:twoCellAnchor>
    <xdr:from>
      <xdr:col>4</xdr:col>
      <xdr:colOff>476251</xdr:colOff>
      <xdr:row>7</xdr:row>
      <xdr:rowOff>85725</xdr:rowOff>
    </xdr:from>
    <xdr:to>
      <xdr:col>5</xdr:col>
      <xdr:colOff>390525</xdr:colOff>
      <xdr:row>8</xdr:row>
      <xdr:rowOff>19050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 bwMode="auto">
        <a:xfrm flipH="1">
          <a:off x="2533651" y="1228725"/>
          <a:ext cx="428624" cy="952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152400</xdr:colOff>
      <xdr:row>7</xdr:row>
      <xdr:rowOff>85725</xdr:rowOff>
    </xdr:from>
    <xdr:to>
      <xdr:col>7</xdr:col>
      <xdr:colOff>0</xdr:colOff>
      <xdr:row>8</xdr:row>
      <xdr:rowOff>19050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 bwMode="auto">
        <a:xfrm>
          <a:off x="3238500" y="1228725"/>
          <a:ext cx="361950" cy="952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333374</xdr:colOff>
      <xdr:row>12</xdr:row>
      <xdr:rowOff>57150</xdr:rowOff>
    </xdr:from>
    <xdr:to>
      <xdr:col>18</xdr:col>
      <xdr:colOff>342899</xdr:colOff>
      <xdr:row>13</xdr:row>
      <xdr:rowOff>133350</xdr:rowOff>
    </xdr:to>
    <xdr:sp macro="" textlink="">
      <xdr:nvSpPr>
        <xdr:cNvPr id="2" name="Line 3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9591674" y="2000250"/>
          <a:ext cx="952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57</xdr:row>
      <xdr:rowOff>28575</xdr:rowOff>
    </xdr:from>
    <xdr:to>
      <xdr:col>6</xdr:col>
      <xdr:colOff>19050</xdr:colOff>
      <xdr:row>58</xdr:row>
      <xdr:rowOff>133350</xdr:rowOff>
    </xdr:to>
    <xdr:sp macro="" textlink="">
      <xdr:nvSpPr>
        <xdr:cNvPr id="3" name="Freeform 1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/>
        </xdr:cNvSpPr>
      </xdr:nvSpPr>
      <xdr:spPr bwMode="auto">
        <a:xfrm>
          <a:off x="2228850" y="43348275"/>
          <a:ext cx="209550" cy="247650"/>
        </a:xfrm>
        <a:custGeom>
          <a:avLst/>
          <a:gdLst>
            <a:gd name="T0" fmla="*/ 2147483646 w 22"/>
            <a:gd name="T1" fmla="*/ 0 h 21"/>
            <a:gd name="T2" fmla="*/ 2147483646 w 22"/>
            <a:gd name="T3" fmla="*/ 2147483646 h 21"/>
            <a:gd name="T4" fmla="*/ 2147483646 w 22"/>
            <a:gd name="T5" fmla="*/ 2147483646 h 21"/>
            <a:gd name="T6" fmla="*/ 2147483646 w 22"/>
            <a:gd name="T7" fmla="*/ 2147483646 h 21"/>
            <a:gd name="T8" fmla="*/ 2147483646 w 22"/>
            <a:gd name="T9" fmla="*/ 2147483646 h 21"/>
            <a:gd name="T10" fmla="*/ 2147483646 w 22"/>
            <a:gd name="T11" fmla="*/ 2147483646 h 21"/>
            <a:gd name="T12" fmla="*/ 2147483646 w 22"/>
            <a:gd name="T13" fmla="*/ 2147483646 h 21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22"/>
            <a:gd name="T22" fmla="*/ 0 h 21"/>
            <a:gd name="T23" fmla="*/ 22 w 22"/>
            <a:gd name="T24" fmla="*/ 21 h 21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2" h="21">
              <a:moveTo>
                <a:pt x="22" y="0"/>
              </a:moveTo>
              <a:cubicBezTo>
                <a:pt x="15" y="0"/>
                <a:pt x="9" y="0"/>
                <a:pt x="2" y="1"/>
              </a:cubicBezTo>
              <a:cubicBezTo>
                <a:pt x="0" y="1"/>
                <a:pt x="5" y="3"/>
                <a:pt x="7" y="4"/>
              </a:cubicBezTo>
              <a:cubicBezTo>
                <a:pt x="10" y="5"/>
                <a:pt x="14" y="10"/>
                <a:pt x="14" y="10"/>
              </a:cubicBezTo>
              <a:cubicBezTo>
                <a:pt x="11" y="13"/>
                <a:pt x="7" y="14"/>
                <a:pt x="4" y="17"/>
              </a:cubicBezTo>
              <a:cubicBezTo>
                <a:pt x="3" y="18"/>
                <a:pt x="1" y="20"/>
                <a:pt x="1" y="20"/>
              </a:cubicBezTo>
              <a:cubicBezTo>
                <a:pt x="8" y="21"/>
                <a:pt x="22" y="20"/>
                <a:pt x="22" y="20"/>
              </a:cubicBezTo>
            </a:path>
          </a:pathLst>
        </a:custGeom>
        <a:noFill/>
        <a:ln w="190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56</xdr:row>
      <xdr:rowOff>76200</xdr:rowOff>
    </xdr:from>
    <xdr:to>
      <xdr:col>7</xdr:col>
      <xdr:colOff>400050</xdr:colOff>
      <xdr:row>59</xdr:row>
      <xdr:rowOff>104775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3048000" y="43253025"/>
          <a:ext cx="352425" cy="45720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381000</xdr:colOff>
      <xdr:row>109</xdr:row>
      <xdr:rowOff>152400</xdr:rowOff>
    </xdr:from>
    <xdr:to>
      <xdr:col>20</xdr:col>
      <xdr:colOff>571500</xdr:colOff>
      <xdr:row>111</xdr:row>
      <xdr:rowOff>9525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/>
        </xdr:cNvSpPr>
      </xdr:nvSpPr>
      <xdr:spPr bwMode="auto">
        <a:xfrm>
          <a:off x="10972800" y="49891950"/>
          <a:ext cx="190500" cy="152400"/>
        </a:xfrm>
        <a:custGeom>
          <a:avLst/>
          <a:gdLst>
            <a:gd name="T0" fmla="*/ 2147483646 w 22"/>
            <a:gd name="T1" fmla="*/ 0 h 21"/>
            <a:gd name="T2" fmla="*/ 2147483646 w 22"/>
            <a:gd name="T3" fmla="*/ 2147483646 h 21"/>
            <a:gd name="T4" fmla="*/ 2147483646 w 22"/>
            <a:gd name="T5" fmla="*/ 2147483646 h 21"/>
            <a:gd name="T6" fmla="*/ 2147483646 w 22"/>
            <a:gd name="T7" fmla="*/ 2147483646 h 21"/>
            <a:gd name="T8" fmla="*/ 2147483646 w 22"/>
            <a:gd name="T9" fmla="*/ 2147483646 h 21"/>
            <a:gd name="T10" fmla="*/ 2147483646 w 22"/>
            <a:gd name="T11" fmla="*/ 2147483646 h 21"/>
            <a:gd name="T12" fmla="*/ 2147483646 w 22"/>
            <a:gd name="T13" fmla="*/ 2147483646 h 21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22"/>
            <a:gd name="T22" fmla="*/ 0 h 21"/>
            <a:gd name="T23" fmla="*/ 22 w 22"/>
            <a:gd name="T24" fmla="*/ 21 h 21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2" h="21">
              <a:moveTo>
                <a:pt x="22" y="0"/>
              </a:moveTo>
              <a:cubicBezTo>
                <a:pt x="15" y="0"/>
                <a:pt x="9" y="0"/>
                <a:pt x="2" y="1"/>
              </a:cubicBezTo>
              <a:cubicBezTo>
                <a:pt x="0" y="1"/>
                <a:pt x="5" y="3"/>
                <a:pt x="7" y="4"/>
              </a:cubicBezTo>
              <a:cubicBezTo>
                <a:pt x="10" y="5"/>
                <a:pt x="14" y="10"/>
                <a:pt x="14" y="10"/>
              </a:cubicBezTo>
              <a:cubicBezTo>
                <a:pt x="11" y="13"/>
                <a:pt x="7" y="14"/>
                <a:pt x="4" y="17"/>
              </a:cubicBezTo>
              <a:cubicBezTo>
                <a:pt x="3" y="18"/>
                <a:pt x="1" y="20"/>
                <a:pt x="1" y="20"/>
              </a:cubicBezTo>
              <a:cubicBezTo>
                <a:pt x="8" y="21"/>
                <a:pt x="22" y="20"/>
                <a:pt x="22" y="20"/>
              </a:cubicBezTo>
            </a:path>
          </a:pathLst>
        </a:cu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56</xdr:row>
      <xdr:rowOff>85725</xdr:rowOff>
    </xdr:from>
    <xdr:to>
      <xdr:col>5</xdr:col>
      <xdr:colOff>447675</xdr:colOff>
      <xdr:row>59</xdr:row>
      <xdr:rowOff>76200</xdr:rowOff>
    </xdr:to>
    <xdr:sp macro="" textlink="">
      <xdr:nvSpPr>
        <xdr:cNvPr id="6" name="Freeform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/>
        </xdr:cNvSpPr>
      </xdr:nvSpPr>
      <xdr:spPr bwMode="auto">
        <a:xfrm>
          <a:off x="2152650" y="43262550"/>
          <a:ext cx="133350" cy="419100"/>
        </a:xfrm>
        <a:custGeom>
          <a:avLst/>
          <a:gdLst>
            <a:gd name="T0" fmla="*/ 2147483646 w 13"/>
            <a:gd name="T1" fmla="*/ 0 h 46"/>
            <a:gd name="T2" fmla="*/ 2147483646 w 13"/>
            <a:gd name="T3" fmla="*/ 2147483646 h 46"/>
            <a:gd name="T4" fmla="*/ 2147483646 w 13"/>
            <a:gd name="T5" fmla="*/ 2147483646 h 46"/>
            <a:gd name="T6" fmla="*/ 2147483646 w 13"/>
            <a:gd name="T7" fmla="*/ 2147483646 h 46"/>
            <a:gd name="T8" fmla="*/ 0 60000 65536"/>
            <a:gd name="T9" fmla="*/ 0 60000 65536"/>
            <a:gd name="T10" fmla="*/ 0 60000 65536"/>
            <a:gd name="T11" fmla="*/ 0 60000 65536"/>
            <a:gd name="T12" fmla="*/ 0 w 13"/>
            <a:gd name="T13" fmla="*/ 0 h 46"/>
            <a:gd name="T14" fmla="*/ 13 w 13"/>
            <a:gd name="T15" fmla="*/ 46 h 4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3" h="46">
              <a:moveTo>
                <a:pt x="13" y="0"/>
              </a:moveTo>
              <a:cubicBezTo>
                <a:pt x="8" y="2"/>
                <a:pt x="4" y="5"/>
                <a:pt x="2" y="11"/>
              </a:cubicBezTo>
              <a:cubicBezTo>
                <a:pt x="0" y="17"/>
                <a:pt x="1" y="30"/>
                <a:pt x="2" y="36"/>
              </a:cubicBezTo>
              <a:cubicBezTo>
                <a:pt x="3" y="42"/>
                <a:pt x="10" y="42"/>
                <a:pt x="11" y="46"/>
              </a:cubicBezTo>
            </a:path>
          </a:pathLst>
        </a:cu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571500</xdr:colOff>
      <xdr:row>56</xdr:row>
      <xdr:rowOff>66675</xdr:rowOff>
    </xdr:from>
    <xdr:to>
      <xdr:col>7</xdr:col>
      <xdr:colOff>114300</xdr:colOff>
      <xdr:row>59</xdr:row>
      <xdr:rowOff>66675</xdr:rowOff>
    </xdr:to>
    <xdr:sp macro="" textlink="">
      <xdr:nvSpPr>
        <xdr:cNvPr id="7" name="Freeform 1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/>
        </xdr:cNvSpPr>
      </xdr:nvSpPr>
      <xdr:spPr bwMode="auto">
        <a:xfrm flipH="1">
          <a:off x="2990850" y="43243500"/>
          <a:ext cx="123825" cy="428625"/>
        </a:xfrm>
        <a:custGeom>
          <a:avLst/>
          <a:gdLst>
            <a:gd name="T0" fmla="*/ 2147483646 w 13"/>
            <a:gd name="T1" fmla="*/ 0 h 46"/>
            <a:gd name="T2" fmla="*/ 2147483646 w 13"/>
            <a:gd name="T3" fmla="*/ 2147483646 h 46"/>
            <a:gd name="T4" fmla="*/ 2147483646 w 13"/>
            <a:gd name="T5" fmla="*/ 2147483646 h 46"/>
            <a:gd name="T6" fmla="*/ 2147483646 w 13"/>
            <a:gd name="T7" fmla="*/ 2147483646 h 46"/>
            <a:gd name="T8" fmla="*/ 0 60000 65536"/>
            <a:gd name="T9" fmla="*/ 0 60000 65536"/>
            <a:gd name="T10" fmla="*/ 0 60000 65536"/>
            <a:gd name="T11" fmla="*/ 0 60000 65536"/>
            <a:gd name="T12" fmla="*/ 0 w 13"/>
            <a:gd name="T13" fmla="*/ 0 h 46"/>
            <a:gd name="T14" fmla="*/ 13 w 13"/>
            <a:gd name="T15" fmla="*/ 46 h 4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3" h="46">
              <a:moveTo>
                <a:pt x="13" y="0"/>
              </a:moveTo>
              <a:cubicBezTo>
                <a:pt x="8" y="2"/>
                <a:pt x="4" y="5"/>
                <a:pt x="2" y="11"/>
              </a:cubicBezTo>
              <a:cubicBezTo>
                <a:pt x="0" y="17"/>
                <a:pt x="1" y="30"/>
                <a:pt x="2" y="36"/>
              </a:cubicBezTo>
              <a:cubicBezTo>
                <a:pt x="3" y="42"/>
                <a:pt x="10" y="42"/>
                <a:pt x="11" y="46"/>
              </a:cubicBezTo>
            </a:path>
          </a:pathLst>
        </a:cu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314325</xdr:colOff>
      <xdr:row>91</xdr:row>
      <xdr:rowOff>0</xdr:rowOff>
    </xdr:from>
    <xdr:to>
      <xdr:col>15</xdr:col>
      <xdr:colOff>314325</xdr:colOff>
      <xdr:row>92</xdr:row>
      <xdr:rowOff>0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7962900" y="47177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116</xdr:row>
      <xdr:rowOff>28575</xdr:rowOff>
    </xdr:from>
    <xdr:to>
      <xdr:col>24</xdr:col>
      <xdr:colOff>266700</xdr:colOff>
      <xdr:row>126</xdr:row>
      <xdr:rowOff>114300</xdr:rowOff>
    </xdr:to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/>
        </xdr:cNvSpPr>
      </xdr:nvSpPr>
      <xdr:spPr bwMode="auto">
        <a:xfrm>
          <a:off x="12963525" y="50777775"/>
          <a:ext cx="257175" cy="151447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381000</xdr:colOff>
      <xdr:row>105</xdr:row>
      <xdr:rowOff>152400</xdr:rowOff>
    </xdr:from>
    <xdr:to>
      <xdr:col>35</xdr:col>
      <xdr:colOff>571500</xdr:colOff>
      <xdr:row>107</xdr:row>
      <xdr:rowOff>9525</xdr:rowOff>
    </xdr:to>
    <xdr:sp macro="" textlink="">
      <xdr:nvSpPr>
        <xdr:cNvPr id="10" name="Freeform 1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/>
        </xdr:cNvSpPr>
      </xdr:nvSpPr>
      <xdr:spPr bwMode="auto">
        <a:xfrm>
          <a:off x="10972800" y="56178450"/>
          <a:ext cx="190500" cy="152400"/>
        </a:xfrm>
        <a:custGeom>
          <a:avLst/>
          <a:gdLst>
            <a:gd name="T0" fmla="*/ 2147483646 w 22"/>
            <a:gd name="T1" fmla="*/ 0 h 21"/>
            <a:gd name="T2" fmla="*/ 2147483646 w 22"/>
            <a:gd name="T3" fmla="*/ 2147483646 h 21"/>
            <a:gd name="T4" fmla="*/ 2147483646 w 22"/>
            <a:gd name="T5" fmla="*/ 2147483646 h 21"/>
            <a:gd name="T6" fmla="*/ 2147483646 w 22"/>
            <a:gd name="T7" fmla="*/ 2147483646 h 21"/>
            <a:gd name="T8" fmla="*/ 2147483646 w 22"/>
            <a:gd name="T9" fmla="*/ 2147483646 h 21"/>
            <a:gd name="T10" fmla="*/ 2147483646 w 22"/>
            <a:gd name="T11" fmla="*/ 2147483646 h 21"/>
            <a:gd name="T12" fmla="*/ 2147483646 w 22"/>
            <a:gd name="T13" fmla="*/ 2147483646 h 21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22"/>
            <a:gd name="T22" fmla="*/ 0 h 21"/>
            <a:gd name="T23" fmla="*/ 22 w 22"/>
            <a:gd name="T24" fmla="*/ 21 h 21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2" h="21">
              <a:moveTo>
                <a:pt x="22" y="0"/>
              </a:moveTo>
              <a:cubicBezTo>
                <a:pt x="15" y="0"/>
                <a:pt x="9" y="0"/>
                <a:pt x="2" y="1"/>
              </a:cubicBezTo>
              <a:cubicBezTo>
                <a:pt x="0" y="1"/>
                <a:pt x="5" y="3"/>
                <a:pt x="7" y="4"/>
              </a:cubicBezTo>
              <a:cubicBezTo>
                <a:pt x="10" y="5"/>
                <a:pt x="14" y="10"/>
                <a:pt x="14" y="10"/>
              </a:cubicBezTo>
              <a:cubicBezTo>
                <a:pt x="11" y="13"/>
                <a:pt x="7" y="14"/>
                <a:pt x="4" y="17"/>
              </a:cubicBezTo>
              <a:cubicBezTo>
                <a:pt x="3" y="18"/>
                <a:pt x="1" y="20"/>
                <a:pt x="1" y="20"/>
              </a:cubicBezTo>
              <a:cubicBezTo>
                <a:pt x="8" y="21"/>
                <a:pt x="22" y="20"/>
                <a:pt x="22" y="20"/>
              </a:cubicBezTo>
            </a:path>
          </a:pathLst>
        </a:cu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314325</xdr:colOff>
      <xdr:row>91</xdr:row>
      <xdr:rowOff>0</xdr:rowOff>
    </xdr:from>
    <xdr:to>
      <xdr:col>30</xdr:col>
      <xdr:colOff>314325</xdr:colOff>
      <xdr:row>92</xdr:row>
      <xdr:rowOff>0</xdr:rowOff>
    </xdr:to>
    <xdr:sp macro="" textlink="">
      <xdr:nvSpPr>
        <xdr:cNvPr id="11" name="Line 1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7962900" y="54035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112</xdr:row>
      <xdr:rowOff>28575</xdr:rowOff>
    </xdr:from>
    <xdr:to>
      <xdr:col>39</xdr:col>
      <xdr:colOff>266700</xdr:colOff>
      <xdr:row>122</xdr:row>
      <xdr:rowOff>114300</xdr:rowOff>
    </xdr:to>
    <xdr:sp macro="" textlink="">
      <xdr:nvSpPr>
        <xdr:cNvPr id="12" name="AutoShape 2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/>
        </xdr:cNvSpPr>
      </xdr:nvSpPr>
      <xdr:spPr bwMode="auto">
        <a:xfrm>
          <a:off x="12963525" y="57064275"/>
          <a:ext cx="257175" cy="151447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</xdr:row>
      <xdr:rowOff>28575</xdr:rowOff>
    </xdr:from>
    <xdr:to>
      <xdr:col>8</xdr:col>
      <xdr:colOff>209550</xdr:colOff>
      <xdr:row>12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4429125" y="11410950"/>
          <a:ext cx="180975" cy="23812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228600</xdr:colOff>
      <xdr:row>11</xdr:row>
      <xdr:rowOff>28575</xdr:rowOff>
    </xdr:from>
    <xdr:to>
      <xdr:col>9</xdr:col>
      <xdr:colOff>200025</xdr:colOff>
      <xdr:row>11</xdr:row>
      <xdr:rowOff>28575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629150" y="11410950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11</xdr:row>
      <xdr:rowOff>28575</xdr:rowOff>
    </xdr:from>
    <xdr:to>
      <xdr:col>9</xdr:col>
      <xdr:colOff>419100</xdr:colOff>
      <xdr:row>12</xdr:row>
      <xdr:rowOff>114300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181600" y="11410950"/>
          <a:ext cx="219075" cy="247650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11</xdr:row>
      <xdr:rowOff>28576</xdr:rowOff>
    </xdr:from>
    <xdr:to>
      <xdr:col>8</xdr:col>
      <xdr:colOff>200024</xdr:colOff>
      <xdr:row>12</xdr:row>
      <xdr:rowOff>104775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H="1">
          <a:off x="4362450" y="1819276"/>
          <a:ext cx="466724" cy="238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200024</xdr:colOff>
      <xdr:row>11</xdr:row>
      <xdr:rowOff>28574</xdr:rowOff>
    </xdr:from>
    <xdr:to>
      <xdr:col>10</xdr:col>
      <xdr:colOff>152399</xdr:colOff>
      <xdr:row>12</xdr:row>
      <xdr:rowOff>123824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6296024" y="1819274"/>
          <a:ext cx="56197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12</xdr:row>
      <xdr:rowOff>104775</xdr:rowOff>
    </xdr:from>
    <xdr:to>
      <xdr:col>10</xdr:col>
      <xdr:colOff>152400</xdr:colOff>
      <xdr:row>12</xdr:row>
      <xdr:rowOff>123824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381500" y="2057400"/>
          <a:ext cx="142875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171450</xdr:colOff>
      <xdr:row>10</xdr:row>
      <xdr:rowOff>9525</xdr:rowOff>
    </xdr:from>
    <xdr:to>
      <xdr:col>9</xdr:col>
      <xdr:colOff>219075</xdr:colOff>
      <xdr:row>11</xdr:row>
      <xdr:rowOff>28575</xdr:rowOff>
    </xdr:to>
    <xdr:sp macro="" textlink="">
      <xdr:nvSpPr>
        <xdr:cNvPr id="10" name="AutoShape 1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5153025" y="11229975"/>
          <a:ext cx="47625" cy="180975"/>
        </a:xfrm>
        <a:prstGeom prst="leftArrowCallout">
          <a:avLst>
            <a:gd name="adj1" fmla="val 95000"/>
            <a:gd name="adj2" fmla="val 90004"/>
            <a:gd name="adj3" fmla="val 16667"/>
            <a:gd name="adj4" fmla="val 6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38100</xdr:rowOff>
    </xdr:from>
    <xdr:to>
      <xdr:col>5</xdr:col>
      <xdr:colOff>600075</xdr:colOff>
      <xdr:row>6</xdr:row>
      <xdr:rowOff>400050</xdr:rowOff>
    </xdr:to>
    <xdr:sp macro="" textlink="">
      <xdr:nvSpPr>
        <xdr:cNvPr id="3289" name="AutoShape 1">
          <a:extLst>
            <a:ext uri="{FF2B5EF4-FFF2-40B4-BE49-F238E27FC236}">
              <a16:creationId xmlns:a16="http://schemas.microsoft.com/office/drawing/2014/main" id="{00000000-0008-0000-0500-0000D90C0000}"/>
            </a:ext>
          </a:extLst>
        </xdr:cNvPr>
        <xdr:cNvSpPr>
          <a:spLocks/>
        </xdr:cNvSpPr>
      </xdr:nvSpPr>
      <xdr:spPr bwMode="auto">
        <a:xfrm>
          <a:off x="5915025" y="666750"/>
          <a:ext cx="457200" cy="2114550"/>
        </a:xfrm>
        <a:prstGeom prst="rightBrace">
          <a:avLst>
            <a:gd name="adj1" fmla="val 38542"/>
            <a:gd name="adj2" fmla="val 567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7</xdr:row>
      <xdr:rowOff>9525</xdr:rowOff>
    </xdr:from>
    <xdr:to>
      <xdr:col>5</xdr:col>
      <xdr:colOff>581025</xdr:colOff>
      <xdr:row>10</xdr:row>
      <xdr:rowOff>419100</xdr:rowOff>
    </xdr:to>
    <xdr:sp macro="" textlink="">
      <xdr:nvSpPr>
        <xdr:cNvPr id="3290" name="AutoShape 2">
          <a:extLst>
            <a:ext uri="{FF2B5EF4-FFF2-40B4-BE49-F238E27FC236}">
              <a16:creationId xmlns:a16="http://schemas.microsoft.com/office/drawing/2014/main" id="{00000000-0008-0000-0500-0000DA0C0000}"/>
            </a:ext>
          </a:extLst>
        </xdr:cNvPr>
        <xdr:cNvSpPr>
          <a:spLocks/>
        </xdr:cNvSpPr>
      </xdr:nvSpPr>
      <xdr:spPr bwMode="auto">
        <a:xfrm>
          <a:off x="5895975" y="2828925"/>
          <a:ext cx="476250" cy="1724025"/>
        </a:xfrm>
        <a:prstGeom prst="rightBrace">
          <a:avLst>
            <a:gd name="adj1" fmla="val 30167"/>
            <a:gd name="adj2" fmla="val 475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0</xdr:row>
      <xdr:rowOff>276225</xdr:rowOff>
    </xdr:from>
    <xdr:to>
      <xdr:col>6</xdr:col>
      <xdr:colOff>219075</xdr:colOff>
      <xdr:row>4</xdr:row>
      <xdr:rowOff>190500</xdr:rowOff>
    </xdr:to>
    <xdr:sp macro="" textlink="">
      <xdr:nvSpPr>
        <xdr:cNvPr id="3291" name="Line 3">
          <a:extLst>
            <a:ext uri="{FF2B5EF4-FFF2-40B4-BE49-F238E27FC236}">
              <a16:creationId xmlns:a16="http://schemas.microsoft.com/office/drawing/2014/main" id="{00000000-0008-0000-0500-0000DB0C0000}"/>
            </a:ext>
          </a:extLst>
        </xdr:cNvPr>
        <xdr:cNvSpPr>
          <a:spLocks noChangeShapeType="1"/>
        </xdr:cNvSpPr>
      </xdr:nvSpPr>
      <xdr:spPr bwMode="auto">
        <a:xfrm flipH="1">
          <a:off x="6553200" y="276225"/>
          <a:ext cx="3810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BG393"/>
  <sheetViews>
    <sheetView showGridLines="0" tabSelected="1" zoomScale="78" zoomScaleNormal="78" workbookViewId="0">
      <selection activeCell="E4" sqref="E4:G4"/>
    </sheetView>
  </sheetViews>
  <sheetFormatPr defaultRowHeight="12.75" customHeight="1" x14ac:dyDescent="0.2"/>
  <cols>
    <col min="1" max="1" width="4.5703125" style="64" customWidth="1"/>
    <col min="2" max="2" width="5.140625" style="1" customWidth="1"/>
    <col min="3" max="3" width="9.28515625" style="1" bestFit="1" customWidth="1"/>
    <col min="4" max="4" width="9.140625" style="1"/>
    <col min="5" max="6" width="9.28515625" style="1" bestFit="1" customWidth="1"/>
    <col min="7" max="7" width="9.140625" style="1"/>
    <col min="8" max="8" width="9.28515625" style="5" bestFit="1" customWidth="1"/>
    <col min="9" max="10" width="9.28515625" style="1" bestFit="1" customWidth="1"/>
    <col min="11" max="11" width="9.28515625" style="1" customWidth="1"/>
    <col min="12" max="12" width="5.85546875" style="1" customWidth="1"/>
    <col min="13" max="13" width="2.7109375" style="1" customWidth="1"/>
    <col min="14" max="23" width="6.7109375" style="64" customWidth="1"/>
    <col min="24" max="24" width="9.140625" style="64"/>
    <col min="25" max="25" width="7.85546875" style="64" customWidth="1"/>
    <col min="26" max="26" width="8.140625" style="64" customWidth="1"/>
    <col min="27" max="59" width="9.140625" style="64"/>
    <col min="60" max="16384" width="9.140625" style="1"/>
  </cols>
  <sheetData>
    <row r="1" spans="2:30" ht="12.75" customHeight="1" x14ac:dyDescent="0.2">
      <c r="B1" s="64"/>
      <c r="C1" s="64"/>
      <c r="D1" s="64"/>
      <c r="E1" s="64"/>
      <c r="F1" s="64"/>
      <c r="G1" s="64"/>
      <c r="H1" s="68"/>
      <c r="I1" s="64"/>
      <c r="J1" s="64"/>
      <c r="K1" s="64"/>
      <c r="L1" s="64"/>
      <c r="M1" s="64"/>
    </row>
    <row r="2" spans="2:30" ht="12.75" customHeight="1" x14ac:dyDescent="0.2">
      <c r="B2" s="64"/>
      <c r="C2" s="64"/>
      <c r="D2" s="64"/>
      <c r="E2" s="64"/>
      <c r="F2" s="64"/>
      <c r="G2" s="64"/>
      <c r="H2" s="68"/>
      <c r="I2" s="64"/>
      <c r="J2" s="64"/>
      <c r="K2" s="64"/>
      <c r="L2" s="64"/>
      <c r="M2" s="64"/>
    </row>
    <row r="3" spans="2:30" ht="16.5" customHeight="1" x14ac:dyDescent="0.2">
      <c r="C3" s="107"/>
      <c r="D3" s="107"/>
      <c r="E3" s="570"/>
      <c r="F3" s="570"/>
      <c r="G3" s="570"/>
      <c r="J3" s="572" t="s">
        <v>519</v>
      </c>
      <c r="K3" s="572"/>
      <c r="L3" s="572"/>
      <c r="M3" s="572"/>
    </row>
    <row r="4" spans="2:30" ht="12.75" customHeight="1" x14ac:dyDescent="0.2">
      <c r="C4" s="1" t="s">
        <v>252</v>
      </c>
      <c r="E4" s="571"/>
      <c r="F4" s="571"/>
      <c r="G4" s="571"/>
      <c r="H4" s="473"/>
      <c r="I4" s="474"/>
      <c r="J4" s="572"/>
      <c r="K4" s="572"/>
      <c r="L4" s="572"/>
      <c r="M4" s="572"/>
    </row>
    <row r="5" spans="2:30" ht="12.75" customHeight="1" x14ac:dyDescent="0.2">
      <c r="C5" s="1" t="s">
        <v>253</v>
      </c>
      <c r="E5" s="574"/>
      <c r="F5" s="574"/>
      <c r="G5" s="574"/>
      <c r="H5" s="574"/>
      <c r="I5" s="574"/>
      <c r="J5" s="573" t="s">
        <v>518</v>
      </c>
      <c r="K5" s="573"/>
      <c r="L5" s="573"/>
      <c r="M5" s="573"/>
    </row>
    <row r="6" spans="2:30" ht="12.75" customHeight="1" x14ac:dyDescent="0.2">
      <c r="E6" s="570"/>
      <c r="F6" s="570"/>
      <c r="G6" s="570"/>
      <c r="H6" s="23"/>
      <c r="I6" s="6"/>
      <c r="J6" s="573"/>
      <c r="K6" s="573"/>
      <c r="L6" s="573"/>
      <c r="M6" s="573"/>
    </row>
    <row r="7" spans="2:30" ht="12.75" customHeight="1" x14ac:dyDescent="0.2">
      <c r="E7" s="567"/>
      <c r="F7" s="567"/>
      <c r="G7" s="567"/>
      <c r="H7" s="23"/>
      <c r="I7" s="6"/>
    </row>
    <row r="8" spans="2:30" ht="12.75" customHeight="1" x14ac:dyDescent="0.2">
      <c r="D8" s="23"/>
      <c r="E8" s="23"/>
      <c r="F8" s="23"/>
      <c r="G8" s="69"/>
    </row>
    <row r="9" spans="2:30" ht="12.75" customHeight="1" x14ac:dyDescent="0.2">
      <c r="D9" s="471"/>
      <c r="E9" s="471"/>
      <c r="F9" s="569" t="s">
        <v>520</v>
      </c>
      <c r="G9" s="569"/>
      <c r="H9" s="569"/>
      <c r="I9" s="569"/>
      <c r="J9" s="469"/>
    </row>
    <row r="10" spans="2:30" ht="12.75" customHeight="1" x14ac:dyDescent="0.2">
      <c r="C10" s="4"/>
      <c r="D10" s="34"/>
      <c r="E10" s="34"/>
      <c r="F10" s="34"/>
      <c r="G10" s="34"/>
      <c r="H10" s="34"/>
      <c r="I10" s="70"/>
      <c r="J10" s="70"/>
      <c r="K10" s="70"/>
      <c r="L10" s="34"/>
    </row>
    <row r="11" spans="2:30" ht="12.75" customHeight="1" x14ac:dyDescent="0.2">
      <c r="C11" s="18"/>
      <c r="D11" s="2"/>
      <c r="H11" s="1"/>
      <c r="I11" s="5"/>
      <c r="J11" s="5"/>
      <c r="K11" s="23"/>
      <c r="L11" s="20"/>
    </row>
    <row r="12" spans="2:30" ht="12.75" customHeight="1" x14ac:dyDescent="0.2">
      <c r="C12" s="71"/>
      <c r="E12" s="2"/>
      <c r="F12" s="2"/>
      <c r="G12" s="2"/>
      <c r="H12" s="2"/>
      <c r="I12" s="5" t="s">
        <v>0</v>
      </c>
      <c r="J12" s="5"/>
      <c r="K12" s="23" t="s">
        <v>360</v>
      </c>
      <c r="L12" s="20"/>
      <c r="AA12" s="65"/>
    </row>
    <row r="13" spans="2:30" ht="12.75" customHeight="1" x14ac:dyDescent="0.2">
      <c r="B13" s="8"/>
      <c r="C13" s="71"/>
      <c r="E13" s="2"/>
      <c r="F13" s="2"/>
      <c r="G13" s="2"/>
      <c r="H13" s="2"/>
      <c r="I13" s="19" t="s">
        <v>2</v>
      </c>
      <c r="J13" s="19"/>
      <c r="K13" s="72" t="s">
        <v>2</v>
      </c>
      <c r="L13" s="20"/>
      <c r="AA13" s="65"/>
    </row>
    <row r="14" spans="2:30" ht="12.75" customHeight="1" x14ac:dyDescent="0.2">
      <c r="B14" s="8"/>
      <c r="C14" s="73"/>
      <c r="D14" s="568" t="s">
        <v>361</v>
      </c>
      <c r="E14" s="568"/>
      <c r="H14" s="1"/>
      <c r="I14" s="5"/>
      <c r="J14" s="5"/>
      <c r="K14" s="453"/>
      <c r="L14" s="20"/>
      <c r="AA14" s="74"/>
    </row>
    <row r="15" spans="2:30" ht="12.75" customHeight="1" x14ac:dyDescent="0.2">
      <c r="B15" s="8"/>
      <c r="C15" s="71"/>
      <c r="D15" s="6"/>
      <c r="E15" s="75" t="s">
        <v>362</v>
      </c>
      <c r="G15" s="17"/>
      <c r="H15" s="1"/>
      <c r="I15" s="5">
        <v>7</v>
      </c>
      <c r="J15" s="5"/>
      <c r="K15" s="454" t="str">
        <f>'Traffic &amp; Accidents'!L39</f>
        <v/>
      </c>
      <c r="L15" s="20"/>
      <c r="AA15" s="76"/>
      <c r="AB15" s="68"/>
    </row>
    <row r="16" spans="2:30" ht="12.75" customHeight="1" x14ac:dyDescent="0.2">
      <c r="C16" s="71"/>
      <c r="D16" s="6"/>
      <c r="E16" s="75" t="s">
        <v>363</v>
      </c>
      <c r="G16" s="17"/>
      <c r="H16" s="1"/>
      <c r="I16" s="5">
        <v>5</v>
      </c>
      <c r="J16" s="5"/>
      <c r="K16" s="455">
        <f>'Traffic &amp; Accidents'!I47</f>
        <v>0</v>
      </c>
      <c r="L16" s="20"/>
      <c r="AD16" s="63"/>
    </row>
    <row r="17" spans="3:30" ht="12.75" customHeight="1" x14ac:dyDescent="0.2">
      <c r="C17" s="71"/>
      <c r="D17" s="6"/>
      <c r="E17" s="75" t="s">
        <v>364</v>
      </c>
      <c r="G17" s="17"/>
      <c r="H17" s="1"/>
      <c r="I17" s="70">
        <v>10</v>
      </c>
      <c r="J17" s="23"/>
      <c r="K17" s="456">
        <f>'Traffic &amp; Accidents'!L84</f>
        <v>0</v>
      </c>
      <c r="L17" s="20"/>
      <c r="AD17" s="63"/>
    </row>
    <row r="18" spans="3:30" ht="12.75" customHeight="1" x14ac:dyDescent="0.2">
      <c r="C18" s="71"/>
      <c r="G18" s="17"/>
      <c r="H18" s="22" t="s">
        <v>4</v>
      </c>
      <c r="I18" s="16">
        <f>SUM(I15:I17)</f>
        <v>22</v>
      </c>
      <c r="J18" s="16"/>
      <c r="K18" s="457">
        <f>ROUND(SUM(K15:K17),2)</f>
        <v>0</v>
      </c>
      <c r="L18" s="20"/>
      <c r="AD18" s="63"/>
    </row>
    <row r="19" spans="3:30" ht="12.75" customHeight="1" x14ac:dyDescent="0.2">
      <c r="C19" s="71"/>
      <c r="G19" s="17"/>
      <c r="H19" s="22"/>
      <c r="I19" s="16"/>
      <c r="J19" s="16"/>
      <c r="K19" s="458"/>
      <c r="L19" s="20"/>
      <c r="AA19" s="78"/>
      <c r="AD19" s="79"/>
    </row>
    <row r="20" spans="3:30" ht="12.75" customHeight="1" x14ac:dyDescent="0.2">
      <c r="C20" s="71"/>
      <c r="D20" s="568" t="s">
        <v>9</v>
      </c>
      <c r="E20" s="568"/>
      <c r="F20" s="568"/>
      <c r="G20" s="69"/>
      <c r="H20" s="69"/>
      <c r="I20" s="9">
        <v>20</v>
      </c>
      <c r="J20" s="9"/>
      <c r="K20" s="459">
        <f>IF('Traffic &amp; Accidents'!G18&lt;&gt;"",20,0)</f>
        <v>0</v>
      </c>
      <c r="L20" s="20"/>
      <c r="AA20" s="78"/>
      <c r="AD20" s="79"/>
    </row>
    <row r="21" spans="3:30" ht="12.75" customHeight="1" x14ac:dyDescent="0.2">
      <c r="C21" s="71"/>
      <c r="D21" s="24"/>
      <c r="F21" s="69"/>
      <c r="G21" s="69"/>
      <c r="H21" s="69"/>
      <c r="I21" s="9"/>
      <c r="J21" s="9"/>
      <c r="K21" s="460"/>
      <c r="L21" s="20"/>
      <c r="N21" s="472"/>
      <c r="AA21" s="81"/>
      <c r="AD21" s="63"/>
    </row>
    <row r="22" spans="3:30" ht="12.75" customHeight="1" x14ac:dyDescent="0.2">
      <c r="C22" s="71"/>
      <c r="D22" s="568" t="s">
        <v>237</v>
      </c>
      <c r="E22" s="568"/>
      <c r="F22" s="568"/>
      <c r="H22" s="6"/>
      <c r="I22" s="23" t="s">
        <v>240</v>
      </c>
      <c r="K22" s="453" t="s">
        <v>257</v>
      </c>
      <c r="L22" s="25"/>
      <c r="N22" s="472"/>
      <c r="AA22" s="81"/>
      <c r="AD22" s="63"/>
    </row>
    <row r="23" spans="3:30" ht="12.75" customHeight="1" x14ac:dyDescent="0.2">
      <c r="C23" s="71"/>
      <c r="D23" s="24"/>
      <c r="E23" s="6"/>
      <c r="F23" s="6" t="s">
        <v>6</v>
      </c>
      <c r="H23" s="27">
        <v>5</v>
      </c>
      <c r="I23" s="564">
        <f>IF(Structure!D10&gt;20,20,Structure!D10)</f>
        <v>0</v>
      </c>
      <c r="J23" s="27">
        <v>2</v>
      </c>
      <c r="K23" s="562">
        <f>IF(I23&lt;&gt;0,0,N24)</f>
        <v>0</v>
      </c>
      <c r="L23" s="561" t="s">
        <v>242</v>
      </c>
      <c r="N23" s="472"/>
      <c r="AA23" s="81"/>
    </row>
    <row r="24" spans="3:30" ht="12.75" customHeight="1" x14ac:dyDescent="0.2">
      <c r="C24" s="71"/>
      <c r="D24" s="6"/>
      <c r="E24" s="6"/>
      <c r="F24" s="6" t="s">
        <v>7</v>
      </c>
      <c r="H24" s="28">
        <v>5</v>
      </c>
      <c r="I24" s="565"/>
      <c r="J24" s="27">
        <v>5</v>
      </c>
      <c r="K24" s="563"/>
      <c r="L24" s="561"/>
      <c r="N24" s="472">
        <f>IF(Structure!H10&gt;7,7,Structure!H10)</f>
        <v>0</v>
      </c>
      <c r="AA24" s="78"/>
    </row>
    <row r="25" spans="3:30" ht="12.75" customHeight="1" x14ac:dyDescent="0.2">
      <c r="C25" s="71"/>
      <c r="D25" s="6"/>
      <c r="E25" s="6"/>
      <c r="F25" s="6" t="s">
        <v>238</v>
      </c>
      <c r="H25" s="29">
        <v>10</v>
      </c>
      <c r="I25" s="566"/>
      <c r="J25" s="27">
        <v>5</v>
      </c>
      <c r="K25" s="461">
        <f>IF(I23&lt;&gt;0,0,N26)</f>
        <v>0</v>
      </c>
      <c r="L25" s="25" t="s">
        <v>243</v>
      </c>
      <c r="N25" s="472"/>
      <c r="AA25" s="78"/>
    </row>
    <row r="26" spans="3:30" ht="12.75" customHeight="1" x14ac:dyDescent="0.2">
      <c r="C26" s="71"/>
      <c r="D26" s="6"/>
      <c r="E26" s="6"/>
      <c r="F26" s="6" t="s">
        <v>239</v>
      </c>
      <c r="H26" s="1"/>
      <c r="J26" s="27">
        <v>8</v>
      </c>
      <c r="K26" s="461">
        <f>IF(I23&lt;&gt;0,0,N27)</f>
        <v>0</v>
      </c>
      <c r="L26" s="21" t="s">
        <v>244</v>
      </c>
      <c r="N26" s="472">
        <f>Structure!C25</f>
        <v>0</v>
      </c>
      <c r="AA26" s="65"/>
    </row>
    <row r="27" spans="3:30" ht="12.75" customHeight="1" x14ac:dyDescent="0.2">
      <c r="C27" s="71"/>
      <c r="D27" s="6"/>
      <c r="E27" s="6"/>
      <c r="F27" s="6"/>
      <c r="G27" s="7"/>
      <c r="I27" s="30">
        <f>I23</f>
        <v>0</v>
      </c>
      <c r="K27" s="462" t="str">
        <f>IF(SUM(K23:K26)=0,"",SUM(K23:K26))</f>
        <v/>
      </c>
      <c r="L27" s="20"/>
      <c r="N27" s="472">
        <f>Structure!K25</f>
        <v>0</v>
      </c>
      <c r="AA27" s="65"/>
    </row>
    <row r="28" spans="3:30" ht="12.75" customHeight="1" x14ac:dyDescent="0.2">
      <c r="C28" s="71"/>
      <c r="G28" s="31"/>
      <c r="H28" s="26" t="s">
        <v>4</v>
      </c>
      <c r="I28" s="84">
        <v>20</v>
      </c>
      <c r="J28" s="22"/>
      <c r="K28" s="463" t="str">
        <f>IF(I27&lt;&gt;0,I27,K27)</f>
        <v/>
      </c>
      <c r="L28" s="20"/>
      <c r="N28" s="472"/>
    </row>
    <row r="29" spans="3:30" ht="12.75" customHeight="1" x14ac:dyDescent="0.2">
      <c r="C29" s="71"/>
      <c r="H29" s="1"/>
      <c r="I29" s="9"/>
      <c r="J29" s="9"/>
      <c r="K29" s="453"/>
      <c r="L29" s="20"/>
    </row>
    <row r="30" spans="3:30" ht="12.75" customHeight="1" x14ac:dyDescent="0.2">
      <c r="C30" s="71"/>
      <c r="D30" s="568" t="s">
        <v>371</v>
      </c>
      <c r="E30" s="568"/>
      <c r="G30" s="2"/>
      <c r="H30" s="1"/>
      <c r="I30" s="5"/>
      <c r="J30" s="5"/>
      <c r="K30" s="453"/>
      <c r="L30" s="20"/>
    </row>
    <row r="31" spans="3:30" ht="12.75" customHeight="1" x14ac:dyDescent="0.2">
      <c r="C31" s="71"/>
      <c r="E31" s="1" t="s">
        <v>373</v>
      </c>
      <c r="H31" s="1"/>
      <c r="I31" s="77">
        <v>15</v>
      </c>
      <c r="J31" s="17"/>
      <c r="K31" s="464">
        <f>Geometry!Y8</f>
        <v>0</v>
      </c>
      <c r="L31" s="20"/>
    </row>
    <row r="32" spans="3:30" ht="12.75" customHeight="1" x14ac:dyDescent="0.2">
      <c r="C32" s="71"/>
      <c r="E32" s="1" t="s">
        <v>10</v>
      </c>
      <c r="G32" s="2"/>
      <c r="H32" s="1"/>
      <c r="I32" s="77">
        <v>5</v>
      </c>
      <c r="J32" s="17" t="str">
        <f>IF(Geometry!G28&lt;1,"Reduced","")</f>
        <v>Reduced</v>
      </c>
      <c r="K32" s="465">
        <f>Geometry!D28</f>
        <v>0</v>
      </c>
      <c r="L32" s="20"/>
    </row>
    <row r="33" spans="1:27" ht="12.75" customHeight="1" x14ac:dyDescent="0.2">
      <c r="A33" s="66"/>
      <c r="C33" s="71"/>
      <c r="E33" s="1" t="s">
        <v>11</v>
      </c>
      <c r="H33" s="1"/>
      <c r="I33" s="85">
        <v>5</v>
      </c>
      <c r="J33" s="17" t="str">
        <f>IF(Geometry!O28&lt;1,"Reduced","")</f>
        <v>Reduced</v>
      </c>
      <c r="K33" s="456">
        <f>Geometry!N28</f>
        <v>0</v>
      </c>
      <c r="L33" s="20"/>
      <c r="AA33" s="78"/>
    </row>
    <row r="34" spans="1:27" ht="12.75" customHeight="1" x14ac:dyDescent="0.2">
      <c r="C34" s="71"/>
      <c r="H34" s="22" t="s">
        <v>4</v>
      </c>
      <c r="I34" s="16">
        <f>SUM(I31:I33)</f>
        <v>25</v>
      </c>
      <c r="J34" s="16"/>
      <c r="K34" s="457">
        <f>ROUND(SUM(K31:K33),2)</f>
        <v>0</v>
      </c>
      <c r="L34" s="20"/>
      <c r="AA34" s="78"/>
    </row>
    <row r="35" spans="1:27" ht="12.75" customHeight="1" x14ac:dyDescent="0.2">
      <c r="C35" s="71"/>
      <c r="D35" s="2"/>
      <c r="E35" s="5" t="s">
        <v>376</v>
      </c>
      <c r="F35" s="5" t="s">
        <v>2</v>
      </c>
      <c r="K35" s="453"/>
      <c r="L35" s="20"/>
      <c r="AA35" s="78"/>
    </row>
    <row r="36" spans="1:27" ht="12.75" customHeight="1" x14ac:dyDescent="0.2">
      <c r="C36" s="71"/>
      <c r="E36" s="5" t="s">
        <v>117</v>
      </c>
      <c r="F36" s="5">
        <v>5</v>
      </c>
      <c r="I36" s="5"/>
      <c r="J36" s="5"/>
      <c r="K36" s="453"/>
      <c r="L36" s="20"/>
      <c r="AA36" s="78"/>
    </row>
    <row r="37" spans="1:27" ht="12.75" customHeight="1" x14ac:dyDescent="0.2">
      <c r="C37" s="71"/>
      <c r="E37" s="5" t="s">
        <v>120</v>
      </c>
      <c r="F37" s="5">
        <v>10</v>
      </c>
      <c r="I37" s="5"/>
      <c r="J37" s="5"/>
      <c r="K37" s="453"/>
      <c r="L37" s="20"/>
      <c r="AA37" s="65"/>
    </row>
    <row r="38" spans="1:27" ht="12.75" customHeight="1" x14ac:dyDescent="0.2">
      <c r="C38" s="71"/>
      <c r="E38" s="5" t="s">
        <v>379</v>
      </c>
      <c r="F38" s="5">
        <v>15</v>
      </c>
      <c r="I38" s="23"/>
      <c r="J38" s="23"/>
      <c r="K38" s="462"/>
      <c r="L38" s="20"/>
    </row>
    <row r="39" spans="1:27" ht="12.75" customHeight="1" x14ac:dyDescent="0.2">
      <c r="C39" s="71"/>
      <c r="H39" s="1"/>
      <c r="I39" s="9"/>
      <c r="J39" s="9"/>
      <c r="K39" s="453"/>
      <c r="L39" s="20"/>
      <c r="AA39" s="65"/>
    </row>
    <row r="40" spans="1:27" ht="12.75" customHeight="1" x14ac:dyDescent="0.2">
      <c r="C40" s="71"/>
      <c r="D40" s="568" t="s">
        <v>380</v>
      </c>
      <c r="E40" s="568"/>
      <c r="F40" s="60" t="s">
        <v>381</v>
      </c>
      <c r="G40" s="2"/>
      <c r="H40" s="1"/>
      <c r="I40" s="5"/>
      <c r="J40" s="5"/>
      <c r="K40" s="462"/>
      <c r="L40" s="20"/>
      <c r="AA40" s="78"/>
    </row>
    <row r="41" spans="1:27" ht="12.75" customHeight="1" x14ac:dyDescent="0.2">
      <c r="B41" s="7"/>
      <c r="C41" s="71"/>
      <c r="E41" s="278" t="s">
        <v>382</v>
      </c>
      <c r="H41" s="1"/>
      <c r="K41" s="453"/>
      <c r="L41" s="20"/>
      <c r="AA41" s="78"/>
    </row>
    <row r="42" spans="1:27" ht="12.75" customHeight="1" x14ac:dyDescent="0.2">
      <c r="B42" s="7"/>
      <c r="C42" s="71"/>
      <c r="E42" s="27">
        <v>1</v>
      </c>
      <c r="F42" s="32" t="s">
        <v>383</v>
      </c>
      <c r="I42" s="5">
        <v>25</v>
      </c>
      <c r="J42" s="5"/>
      <c r="K42" s="466">
        <f>IF('Traffic &amp; Accidents'!F13=0,0,IF(('3R Safety Checklist'!C10/'Traffic &amp; Accidents'!F13)*25&gt;25,25,('3R Safety Checklist'!C10/'Traffic &amp; Accidents'!F13)*25))</f>
        <v>0</v>
      </c>
      <c r="L42" s="20"/>
    </row>
    <row r="43" spans="1:27" ht="12.75" customHeight="1" x14ac:dyDescent="0.2">
      <c r="B43" s="11"/>
      <c r="C43" s="71"/>
      <c r="E43" s="27">
        <v>2</v>
      </c>
      <c r="F43" s="32" t="s">
        <v>385</v>
      </c>
      <c r="H43" s="23"/>
      <c r="I43" s="23">
        <v>5</v>
      </c>
      <c r="J43" s="23"/>
      <c r="K43" s="455">
        <f>IF('3R Safety Checklist'!C19&gt;5,5,'3R Safety Checklist'!C19)</f>
        <v>0</v>
      </c>
      <c r="L43" s="20"/>
    </row>
    <row r="44" spans="1:27" ht="12.75" customHeight="1" x14ac:dyDescent="0.2">
      <c r="C44" s="71"/>
      <c r="E44" s="27">
        <v>3</v>
      </c>
      <c r="F44" s="32" t="s">
        <v>386</v>
      </c>
      <c r="I44" s="5">
        <v>15</v>
      </c>
      <c r="J44" s="5"/>
      <c r="K44" s="455">
        <f>'3R Safety Checklist'!K30</f>
        <v>0</v>
      </c>
      <c r="L44" s="20"/>
    </row>
    <row r="45" spans="1:27" ht="12.75" customHeight="1" x14ac:dyDescent="0.2">
      <c r="C45" s="71"/>
      <c r="E45" s="27">
        <v>4</v>
      </c>
      <c r="F45" s="32" t="s">
        <v>387</v>
      </c>
      <c r="H45" s="23"/>
      <c r="I45" s="70">
        <v>5</v>
      </c>
      <c r="J45" s="23"/>
      <c r="K45" s="467">
        <f>IF('3R Safety Checklist'!C34&gt;5,5,'3R Safety Checklist'!C34)</f>
        <v>0</v>
      </c>
      <c r="L45" s="20"/>
    </row>
    <row r="46" spans="1:27" ht="12.75" customHeight="1" x14ac:dyDescent="0.2">
      <c r="C46" s="71"/>
      <c r="D46" s="6"/>
      <c r="H46" s="22" t="s">
        <v>4</v>
      </c>
      <c r="I46" s="9">
        <v>25</v>
      </c>
      <c r="J46" s="9"/>
      <c r="K46" s="468">
        <f>IF(SUM(K42:K45)&gt;25,25,SUM(K42:K45))</f>
        <v>0</v>
      </c>
      <c r="L46" s="20"/>
      <c r="AA46" s="65"/>
    </row>
    <row r="47" spans="1:27" ht="12.75" customHeight="1" x14ac:dyDescent="0.2">
      <c r="C47" s="71"/>
      <c r="K47" s="469"/>
      <c r="L47" s="20"/>
      <c r="AA47" s="78"/>
    </row>
    <row r="48" spans="1:27" ht="12.75" customHeight="1" x14ac:dyDescent="0.2">
      <c r="C48" s="71"/>
      <c r="E48" s="560" t="s">
        <v>388</v>
      </c>
      <c r="F48" s="560"/>
      <c r="G48" s="560"/>
      <c r="H48" s="560"/>
      <c r="I48" s="560"/>
      <c r="J48" s="87"/>
      <c r="K48" s="469"/>
      <c r="L48" s="20"/>
      <c r="AA48" s="78"/>
    </row>
    <row r="49" spans="1:27" ht="12.75" customHeight="1" x14ac:dyDescent="0.2">
      <c r="C49" s="88"/>
      <c r="E49" s="37">
        <v>1</v>
      </c>
      <c r="F49" s="89" t="s">
        <v>481</v>
      </c>
      <c r="G49" s="90"/>
      <c r="H49" s="91"/>
      <c r="I49" s="13">
        <v>10</v>
      </c>
      <c r="J49" s="13"/>
      <c r="K49" s="455">
        <f>IF('3R Safety Checklist'!I40&lt;&gt;0,10,0)</f>
        <v>0</v>
      </c>
      <c r="L49" s="20"/>
      <c r="AA49" s="78"/>
    </row>
    <row r="50" spans="1:27" ht="12.75" customHeight="1" x14ac:dyDescent="0.2">
      <c r="C50" s="88"/>
      <c r="E50" s="37">
        <v>2</v>
      </c>
      <c r="F50" s="89" t="s">
        <v>389</v>
      </c>
      <c r="G50" s="92"/>
      <c r="H50" s="91"/>
      <c r="I50" s="13">
        <v>2</v>
      </c>
      <c r="J50" s="13"/>
      <c r="K50" s="455">
        <f>IF('3R Safety Checklist'!I41&lt;&gt;0,2,0)</f>
        <v>0</v>
      </c>
      <c r="L50" s="20"/>
      <c r="AA50" s="65"/>
    </row>
    <row r="51" spans="1:27" ht="12.75" customHeight="1" x14ac:dyDescent="0.2">
      <c r="C51" s="88"/>
      <c r="E51" s="37">
        <v>3</v>
      </c>
      <c r="F51" s="89" t="s">
        <v>390</v>
      </c>
      <c r="G51" s="92"/>
      <c r="H51" s="87"/>
      <c r="I51" s="13">
        <v>4</v>
      </c>
      <c r="J51" s="13"/>
      <c r="K51" s="455">
        <f>IF('3R Safety Checklist'!I42&lt;&gt;0,4,0)</f>
        <v>0</v>
      </c>
      <c r="L51" s="20"/>
      <c r="AA51" s="78"/>
    </row>
    <row r="52" spans="1:27" ht="12.75" customHeight="1" x14ac:dyDescent="0.2">
      <c r="C52" s="88"/>
      <c r="E52" s="37">
        <v>4</v>
      </c>
      <c r="F52" s="89" t="s">
        <v>391</v>
      </c>
      <c r="G52" s="92"/>
      <c r="H52" s="87"/>
      <c r="I52" s="13">
        <v>6</v>
      </c>
      <c r="J52" s="13"/>
      <c r="K52" s="455">
        <f>IF('3R Safety Checklist'!I43&lt;&gt;0,6,0)</f>
        <v>0</v>
      </c>
      <c r="L52" s="20"/>
      <c r="AA52" s="65"/>
    </row>
    <row r="53" spans="1:27" ht="12.75" customHeight="1" x14ac:dyDescent="0.2">
      <c r="C53" s="88"/>
      <c r="E53" s="37">
        <v>5</v>
      </c>
      <c r="F53" s="89" t="s">
        <v>392</v>
      </c>
      <c r="G53" s="92"/>
      <c r="H53" s="87"/>
      <c r="I53" s="13">
        <v>8</v>
      </c>
      <c r="J53" s="13"/>
      <c r="K53" s="455">
        <f>IF('3R Safety Checklist'!I44&lt;&gt;0,8,0)</f>
        <v>0</v>
      </c>
      <c r="L53" s="20"/>
      <c r="AA53" s="78"/>
    </row>
    <row r="54" spans="1:27" ht="12.75" customHeight="1" x14ac:dyDescent="0.2">
      <c r="C54" s="88"/>
      <c r="E54" s="37">
        <v>6</v>
      </c>
      <c r="F54" s="89" t="s">
        <v>393</v>
      </c>
      <c r="G54" s="87"/>
      <c r="H54" s="12"/>
      <c r="I54" s="93">
        <v>10</v>
      </c>
      <c r="J54" s="94"/>
      <c r="K54" s="467">
        <f>IF('3R Safety Checklist'!I45&lt;&gt;0,10,0)</f>
        <v>0</v>
      </c>
      <c r="L54" s="20"/>
      <c r="AA54" s="78"/>
    </row>
    <row r="55" spans="1:27" ht="12.75" customHeight="1" x14ac:dyDescent="0.2">
      <c r="C55" s="88"/>
      <c r="D55" s="95"/>
      <c r="E55" s="87"/>
      <c r="F55" s="87"/>
      <c r="G55" s="87"/>
      <c r="H55" s="91" t="s">
        <v>4</v>
      </c>
      <c r="I55" s="96">
        <v>10</v>
      </c>
      <c r="J55" s="96"/>
      <c r="K55" s="468">
        <f>IF(SUM(K49:K54)&gt;10,10,SUM(K49:K54))</f>
        <v>0</v>
      </c>
      <c r="L55" s="20"/>
      <c r="AA55" s="65"/>
    </row>
    <row r="56" spans="1:27" ht="12.75" customHeight="1" x14ac:dyDescent="0.2">
      <c r="C56" s="88"/>
      <c r="D56" s="95"/>
      <c r="E56" s="87"/>
      <c r="F56" s="87"/>
      <c r="G56" s="87"/>
      <c r="H56" s="91"/>
      <c r="I56" s="96"/>
      <c r="J56" s="96"/>
      <c r="K56" s="470"/>
      <c r="L56" s="20"/>
      <c r="AA56" s="78"/>
    </row>
    <row r="57" spans="1:27" ht="12.75" customHeight="1" x14ac:dyDescent="0.2">
      <c r="B57" s="11"/>
      <c r="C57" s="97"/>
      <c r="D57" s="98"/>
      <c r="E57" s="98"/>
      <c r="F57" s="98"/>
      <c r="G57" s="98"/>
      <c r="H57" s="99" t="s">
        <v>394</v>
      </c>
      <c r="I57" s="100">
        <f>SUM(I18,I28,I20,I46,I34,I55)</f>
        <v>122</v>
      </c>
      <c r="J57" s="100"/>
      <c r="K57" s="101">
        <f>ROUND(SUM(K18,K20,K28,K34,K46,K55),2)</f>
        <v>0</v>
      </c>
      <c r="L57" s="35"/>
      <c r="AA57" s="78"/>
    </row>
    <row r="58" spans="1:27" ht="12.75" customHeight="1" x14ac:dyDescent="0.2">
      <c r="C58" s="3" t="s">
        <v>398</v>
      </c>
      <c r="H58" s="1"/>
      <c r="I58" s="5"/>
      <c r="J58" s="5"/>
      <c r="K58" s="5"/>
      <c r="AA58" s="65"/>
    </row>
    <row r="59" spans="1:27" ht="12.75" customHeight="1" x14ac:dyDescent="0.2">
      <c r="C59" s="1" t="s">
        <v>399</v>
      </c>
      <c r="H59" s="1"/>
      <c r="I59" s="5"/>
      <c r="J59" s="5"/>
      <c r="K59" s="5"/>
      <c r="AA59" s="78"/>
    </row>
    <row r="60" spans="1:27" ht="12.75" customHeight="1" x14ac:dyDescent="0.2">
      <c r="C60" s="1" t="s">
        <v>400</v>
      </c>
      <c r="H60" s="1"/>
      <c r="AA60" s="78"/>
    </row>
    <row r="61" spans="1:27" ht="12.75" customHeight="1" x14ac:dyDescent="0.2">
      <c r="A61" s="63"/>
      <c r="H61" s="1"/>
      <c r="AA61" s="65"/>
    </row>
    <row r="62" spans="1:27" ht="12.75" customHeight="1" x14ac:dyDescent="0.2">
      <c r="AA62" s="78"/>
    </row>
    <row r="63" spans="1:27" ht="12.75" customHeight="1" x14ac:dyDescent="0.2">
      <c r="AA63" s="65"/>
    </row>
    <row r="67" spans="14:14" ht="12.75" customHeight="1" x14ac:dyDescent="0.2">
      <c r="N67" s="67"/>
    </row>
    <row r="68" spans="14:14" ht="12.75" customHeight="1" x14ac:dyDescent="0.2">
      <c r="N68" s="67"/>
    </row>
    <row r="77" spans="14:14" ht="12.75" customHeight="1" x14ac:dyDescent="0.2">
      <c r="N77" s="65"/>
    </row>
    <row r="78" spans="14:14" ht="12.75" customHeight="1" x14ac:dyDescent="0.2">
      <c r="N78" s="109"/>
    </row>
    <row r="79" spans="14:14" ht="12.75" customHeight="1" x14ac:dyDescent="0.2">
      <c r="N79" s="110"/>
    </row>
    <row r="80" spans="14:14" ht="12.75" customHeight="1" x14ac:dyDescent="0.2">
      <c r="N80" s="110"/>
    </row>
    <row r="81" spans="14:14" ht="12.75" customHeight="1" x14ac:dyDescent="0.2">
      <c r="N81" s="110"/>
    </row>
    <row r="82" spans="14:14" ht="12.75" customHeight="1" x14ac:dyDescent="0.2">
      <c r="N82" s="78"/>
    </row>
    <row r="83" spans="14:14" ht="12.75" customHeight="1" x14ac:dyDescent="0.2">
      <c r="N83" s="78"/>
    </row>
    <row r="84" spans="14:14" ht="12.75" customHeight="1" x14ac:dyDescent="0.2">
      <c r="N84" s="111"/>
    </row>
    <row r="85" spans="14:14" ht="12.75" customHeight="1" x14ac:dyDescent="0.2">
      <c r="N85" s="111"/>
    </row>
    <row r="91" spans="14:14" ht="12.75" customHeight="1" x14ac:dyDescent="0.2">
      <c r="N91" s="111"/>
    </row>
    <row r="92" spans="14:14" ht="12.75" customHeight="1" x14ac:dyDescent="0.2">
      <c r="N92" s="65"/>
    </row>
    <row r="93" spans="14:14" ht="12.75" customHeight="1" x14ac:dyDescent="0.2">
      <c r="N93" s="65"/>
    </row>
    <row r="94" spans="14:14" ht="12.75" customHeight="1" x14ac:dyDescent="0.2">
      <c r="N94" s="65"/>
    </row>
    <row r="97" spans="14:14" ht="12.75" customHeight="1" x14ac:dyDescent="0.2">
      <c r="N97" s="78"/>
    </row>
    <row r="98" spans="14:14" ht="12.75" customHeight="1" x14ac:dyDescent="0.2">
      <c r="N98" s="78"/>
    </row>
    <row r="99" spans="14:14" ht="12.75" customHeight="1" x14ac:dyDescent="0.2">
      <c r="N99" s="78"/>
    </row>
    <row r="104" spans="14:14" ht="12.75" customHeight="1" x14ac:dyDescent="0.2">
      <c r="N104" s="78"/>
    </row>
    <row r="105" spans="14:14" ht="12.75" customHeight="1" x14ac:dyDescent="0.2">
      <c r="N105" s="78"/>
    </row>
    <row r="106" spans="14:14" ht="12.75" customHeight="1" x14ac:dyDescent="0.2">
      <c r="N106" s="78"/>
    </row>
    <row r="107" spans="14:14" ht="12.75" customHeight="1" x14ac:dyDescent="0.2">
      <c r="N107" s="78"/>
    </row>
    <row r="108" spans="14:14" ht="12.75" customHeight="1" x14ac:dyDescent="0.2">
      <c r="N108" s="78"/>
    </row>
    <row r="109" spans="14:14" ht="12.75" customHeight="1" x14ac:dyDescent="0.2">
      <c r="N109" s="78"/>
    </row>
    <row r="110" spans="14:14" ht="12.75" customHeight="1" x14ac:dyDescent="0.2">
      <c r="N110" s="78"/>
    </row>
    <row r="111" spans="14:14" ht="12.75" customHeight="1" x14ac:dyDescent="0.2">
      <c r="N111" s="78"/>
    </row>
    <row r="112" spans="14:14" ht="12.75" customHeight="1" x14ac:dyDescent="0.2">
      <c r="N112" s="78"/>
    </row>
    <row r="113" spans="2:14" ht="12.75" customHeight="1" x14ac:dyDescent="0.2">
      <c r="N113" s="78"/>
    </row>
    <row r="114" spans="2:14" ht="12.75" customHeight="1" x14ac:dyDescent="0.2">
      <c r="N114" s="78"/>
    </row>
    <row r="115" spans="2:14" ht="12.75" customHeight="1" x14ac:dyDescent="0.2">
      <c r="N115" s="78"/>
    </row>
    <row r="116" spans="2:14" ht="12.75" customHeight="1" x14ac:dyDescent="0.2">
      <c r="N116" s="78"/>
    </row>
    <row r="117" spans="2:14" ht="12.75" customHeight="1" x14ac:dyDescent="0.2">
      <c r="N117" s="78"/>
    </row>
    <row r="118" spans="2:14" ht="12.75" customHeight="1" x14ac:dyDescent="0.2">
      <c r="N118" s="78"/>
    </row>
    <row r="119" spans="2:14" ht="12.75" customHeight="1" x14ac:dyDescent="0.2">
      <c r="N119" s="78"/>
    </row>
    <row r="120" spans="2:14" ht="12.75" customHeight="1" x14ac:dyDescent="0.2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78"/>
    </row>
    <row r="121" spans="2:14" ht="12.75" customHeight="1" x14ac:dyDescent="0.2">
      <c r="B121" s="64"/>
      <c r="C121" s="64"/>
      <c r="D121" s="64"/>
      <c r="E121" s="64"/>
      <c r="F121" s="64"/>
      <c r="G121" s="64"/>
      <c r="H121" s="68"/>
      <c r="I121" s="64"/>
      <c r="J121" s="64"/>
      <c r="K121" s="64"/>
      <c r="L121" s="64"/>
      <c r="M121" s="64"/>
      <c r="N121" s="78"/>
    </row>
    <row r="122" spans="2:14" ht="12.75" customHeight="1" x14ac:dyDescent="0.2">
      <c r="B122" s="64"/>
      <c r="C122" s="64"/>
      <c r="D122" s="64"/>
      <c r="E122" s="64"/>
      <c r="F122" s="64"/>
      <c r="G122" s="64"/>
      <c r="H122" s="68"/>
      <c r="I122" s="64"/>
      <c r="J122" s="64"/>
      <c r="K122" s="64"/>
      <c r="L122" s="64"/>
      <c r="M122" s="64"/>
    </row>
    <row r="123" spans="2:14" ht="12.75" customHeight="1" x14ac:dyDescent="0.2">
      <c r="B123" s="64"/>
      <c r="C123" s="64"/>
      <c r="D123" s="64"/>
      <c r="E123" s="64"/>
      <c r="F123" s="64"/>
      <c r="G123" s="64"/>
      <c r="H123" s="68"/>
      <c r="I123" s="64"/>
      <c r="J123" s="64"/>
      <c r="K123" s="64"/>
      <c r="L123" s="64"/>
      <c r="M123" s="64"/>
    </row>
    <row r="124" spans="2:14" ht="12.75" customHeight="1" x14ac:dyDescent="0.2">
      <c r="B124" s="64"/>
      <c r="C124" s="64"/>
      <c r="D124" s="64"/>
      <c r="E124" s="64"/>
      <c r="F124" s="64"/>
      <c r="G124" s="64"/>
      <c r="H124" s="68"/>
      <c r="I124" s="64"/>
      <c r="J124" s="64"/>
      <c r="K124" s="64"/>
      <c r="L124" s="64"/>
      <c r="M124" s="64"/>
    </row>
    <row r="125" spans="2:14" ht="12.75" customHeight="1" x14ac:dyDescent="0.2">
      <c r="B125" s="64"/>
      <c r="C125" s="64"/>
      <c r="D125" s="64"/>
      <c r="E125" s="64"/>
      <c r="F125" s="64"/>
      <c r="G125" s="64"/>
      <c r="H125" s="68"/>
      <c r="I125" s="64"/>
      <c r="J125" s="64"/>
      <c r="K125" s="64"/>
      <c r="L125" s="64"/>
      <c r="M125" s="64"/>
    </row>
    <row r="126" spans="2:14" ht="12.75" customHeight="1" x14ac:dyDescent="0.2">
      <c r="B126" s="64"/>
      <c r="C126" s="64"/>
      <c r="D126" s="64"/>
      <c r="E126" s="64"/>
      <c r="F126" s="64"/>
      <c r="G126" s="64"/>
      <c r="H126" s="68"/>
      <c r="I126" s="64"/>
      <c r="J126" s="64"/>
      <c r="K126" s="64"/>
      <c r="L126" s="64"/>
      <c r="M126" s="64"/>
    </row>
    <row r="127" spans="2:14" ht="12.75" customHeight="1" x14ac:dyDescent="0.2">
      <c r="B127" s="64"/>
      <c r="C127" s="64"/>
      <c r="D127" s="64"/>
      <c r="E127" s="64"/>
      <c r="F127" s="64"/>
      <c r="G127" s="64"/>
      <c r="H127" s="68"/>
      <c r="I127" s="64"/>
      <c r="J127" s="64"/>
      <c r="K127" s="64"/>
      <c r="L127" s="64"/>
      <c r="M127" s="64"/>
    </row>
    <row r="128" spans="2:14" ht="12.75" customHeight="1" x14ac:dyDescent="0.2">
      <c r="B128" s="64"/>
      <c r="C128" s="64"/>
      <c r="D128" s="64"/>
      <c r="E128" s="64"/>
      <c r="F128" s="64"/>
      <c r="G128" s="64"/>
      <c r="H128" s="68"/>
      <c r="I128" s="64"/>
      <c r="J128" s="64"/>
      <c r="K128" s="64"/>
      <c r="L128" s="64"/>
      <c r="M128" s="64"/>
    </row>
    <row r="129" spans="8:8" s="64" customFormat="1" ht="12.75" customHeight="1" x14ac:dyDescent="0.2">
      <c r="H129" s="68"/>
    </row>
    <row r="130" spans="8:8" s="64" customFormat="1" ht="12.75" customHeight="1" x14ac:dyDescent="0.2">
      <c r="H130" s="68"/>
    </row>
    <row r="131" spans="8:8" s="64" customFormat="1" ht="12.75" customHeight="1" x14ac:dyDescent="0.2">
      <c r="H131" s="68"/>
    </row>
    <row r="132" spans="8:8" s="64" customFormat="1" ht="12.75" customHeight="1" x14ac:dyDescent="0.2">
      <c r="H132" s="68"/>
    </row>
    <row r="133" spans="8:8" s="64" customFormat="1" ht="12.75" customHeight="1" x14ac:dyDescent="0.2">
      <c r="H133" s="68"/>
    </row>
    <row r="134" spans="8:8" s="64" customFormat="1" ht="12.75" customHeight="1" x14ac:dyDescent="0.2">
      <c r="H134" s="68"/>
    </row>
    <row r="135" spans="8:8" s="64" customFormat="1" ht="12.75" customHeight="1" x14ac:dyDescent="0.2">
      <c r="H135" s="68"/>
    </row>
    <row r="136" spans="8:8" s="64" customFormat="1" ht="12.75" customHeight="1" x14ac:dyDescent="0.2">
      <c r="H136" s="68"/>
    </row>
    <row r="137" spans="8:8" s="64" customFormat="1" ht="12.75" customHeight="1" x14ac:dyDescent="0.2">
      <c r="H137" s="68"/>
    </row>
    <row r="138" spans="8:8" s="64" customFormat="1" ht="12.75" customHeight="1" x14ac:dyDescent="0.2">
      <c r="H138" s="68"/>
    </row>
    <row r="139" spans="8:8" s="64" customFormat="1" ht="12.75" customHeight="1" x14ac:dyDescent="0.2">
      <c r="H139" s="68"/>
    </row>
    <row r="140" spans="8:8" s="64" customFormat="1" ht="12.75" customHeight="1" x14ac:dyDescent="0.2">
      <c r="H140" s="68"/>
    </row>
    <row r="141" spans="8:8" s="64" customFormat="1" ht="12.75" customHeight="1" x14ac:dyDescent="0.2">
      <c r="H141" s="68"/>
    </row>
    <row r="142" spans="8:8" s="64" customFormat="1" ht="12.75" customHeight="1" x14ac:dyDescent="0.2">
      <c r="H142" s="68"/>
    </row>
    <row r="143" spans="8:8" s="64" customFormat="1" ht="12.75" customHeight="1" x14ac:dyDescent="0.2">
      <c r="H143" s="68"/>
    </row>
    <row r="144" spans="8:8" s="64" customFormat="1" ht="12.75" customHeight="1" x14ac:dyDescent="0.2">
      <c r="H144" s="68"/>
    </row>
    <row r="145" spans="8:8" s="64" customFormat="1" ht="12.75" customHeight="1" x14ac:dyDescent="0.2">
      <c r="H145" s="68"/>
    </row>
    <row r="146" spans="8:8" s="64" customFormat="1" ht="12.75" customHeight="1" x14ac:dyDescent="0.2">
      <c r="H146" s="68"/>
    </row>
    <row r="147" spans="8:8" s="64" customFormat="1" ht="12.75" customHeight="1" x14ac:dyDescent="0.2">
      <c r="H147" s="68"/>
    </row>
    <row r="148" spans="8:8" s="64" customFormat="1" ht="12.75" customHeight="1" x14ac:dyDescent="0.2">
      <c r="H148" s="68"/>
    </row>
    <row r="149" spans="8:8" s="64" customFormat="1" ht="12.75" customHeight="1" x14ac:dyDescent="0.2">
      <c r="H149" s="68"/>
    </row>
    <row r="150" spans="8:8" s="64" customFormat="1" ht="12.75" customHeight="1" x14ac:dyDescent="0.2">
      <c r="H150" s="68"/>
    </row>
    <row r="151" spans="8:8" s="64" customFormat="1" ht="12.75" customHeight="1" x14ac:dyDescent="0.2">
      <c r="H151" s="68"/>
    </row>
    <row r="152" spans="8:8" s="64" customFormat="1" ht="12.75" customHeight="1" x14ac:dyDescent="0.2">
      <c r="H152" s="68"/>
    </row>
    <row r="153" spans="8:8" s="64" customFormat="1" ht="12.75" customHeight="1" x14ac:dyDescent="0.2">
      <c r="H153" s="68"/>
    </row>
    <row r="154" spans="8:8" s="64" customFormat="1" ht="12.75" customHeight="1" x14ac:dyDescent="0.2">
      <c r="H154" s="68"/>
    </row>
    <row r="155" spans="8:8" s="64" customFormat="1" ht="12.75" customHeight="1" x14ac:dyDescent="0.2">
      <c r="H155" s="68"/>
    </row>
    <row r="156" spans="8:8" s="64" customFormat="1" ht="12.75" customHeight="1" x14ac:dyDescent="0.2">
      <c r="H156" s="68"/>
    </row>
    <row r="157" spans="8:8" s="64" customFormat="1" ht="12.75" customHeight="1" x14ac:dyDescent="0.2">
      <c r="H157" s="68"/>
    </row>
    <row r="158" spans="8:8" s="64" customFormat="1" ht="12.75" customHeight="1" x14ac:dyDescent="0.2">
      <c r="H158" s="68"/>
    </row>
    <row r="159" spans="8:8" s="64" customFormat="1" ht="12.75" customHeight="1" x14ac:dyDescent="0.2">
      <c r="H159" s="68"/>
    </row>
    <row r="160" spans="8:8" s="64" customFormat="1" ht="12.75" customHeight="1" x14ac:dyDescent="0.2">
      <c r="H160" s="68"/>
    </row>
    <row r="161" spans="8:8" s="64" customFormat="1" ht="12.75" customHeight="1" x14ac:dyDescent="0.2">
      <c r="H161" s="68"/>
    </row>
    <row r="162" spans="8:8" s="64" customFormat="1" ht="12.75" customHeight="1" x14ac:dyDescent="0.2">
      <c r="H162" s="68"/>
    </row>
    <row r="163" spans="8:8" s="64" customFormat="1" ht="12.75" customHeight="1" x14ac:dyDescent="0.2">
      <c r="H163" s="68"/>
    </row>
    <row r="164" spans="8:8" s="64" customFormat="1" ht="12.75" customHeight="1" x14ac:dyDescent="0.2">
      <c r="H164" s="68"/>
    </row>
    <row r="165" spans="8:8" s="64" customFormat="1" ht="12.75" customHeight="1" x14ac:dyDescent="0.2">
      <c r="H165" s="68"/>
    </row>
    <row r="166" spans="8:8" s="64" customFormat="1" ht="12.75" customHeight="1" x14ac:dyDescent="0.2">
      <c r="H166" s="68"/>
    </row>
    <row r="167" spans="8:8" s="64" customFormat="1" ht="12.75" customHeight="1" x14ac:dyDescent="0.2">
      <c r="H167" s="68"/>
    </row>
    <row r="168" spans="8:8" s="64" customFormat="1" ht="12.75" customHeight="1" x14ac:dyDescent="0.2">
      <c r="H168" s="68"/>
    </row>
    <row r="169" spans="8:8" s="64" customFormat="1" ht="12.75" customHeight="1" x14ac:dyDescent="0.2">
      <c r="H169" s="68"/>
    </row>
    <row r="170" spans="8:8" s="64" customFormat="1" ht="12.75" customHeight="1" x14ac:dyDescent="0.2">
      <c r="H170" s="68"/>
    </row>
    <row r="171" spans="8:8" s="64" customFormat="1" ht="12.75" customHeight="1" x14ac:dyDescent="0.2">
      <c r="H171" s="68"/>
    </row>
    <row r="172" spans="8:8" s="64" customFormat="1" ht="12.75" customHeight="1" x14ac:dyDescent="0.2">
      <c r="H172" s="68"/>
    </row>
    <row r="173" spans="8:8" s="64" customFormat="1" ht="12.75" customHeight="1" x14ac:dyDescent="0.2">
      <c r="H173" s="68"/>
    </row>
    <row r="174" spans="8:8" s="64" customFormat="1" ht="12.75" customHeight="1" x14ac:dyDescent="0.2">
      <c r="H174" s="68"/>
    </row>
    <row r="175" spans="8:8" s="64" customFormat="1" ht="12.75" customHeight="1" x14ac:dyDescent="0.2">
      <c r="H175" s="68"/>
    </row>
    <row r="176" spans="8:8" s="64" customFormat="1" ht="12.75" customHeight="1" x14ac:dyDescent="0.2">
      <c r="H176" s="68"/>
    </row>
    <row r="177" spans="8:8" s="64" customFormat="1" ht="12.75" customHeight="1" x14ac:dyDescent="0.2">
      <c r="H177" s="68"/>
    </row>
    <row r="178" spans="8:8" s="64" customFormat="1" ht="12.75" customHeight="1" x14ac:dyDescent="0.2">
      <c r="H178" s="68"/>
    </row>
    <row r="179" spans="8:8" s="64" customFormat="1" ht="12.75" customHeight="1" x14ac:dyDescent="0.2">
      <c r="H179" s="68"/>
    </row>
    <row r="180" spans="8:8" s="64" customFormat="1" ht="12.75" customHeight="1" x14ac:dyDescent="0.2">
      <c r="H180" s="68"/>
    </row>
    <row r="181" spans="8:8" s="64" customFormat="1" ht="12.75" customHeight="1" x14ac:dyDescent="0.2">
      <c r="H181" s="68"/>
    </row>
    <row r="182" spans="8:8" s="64" customFormat="1" ht="12.75" customHeight="1" x14ac:dyDescent="0.2">
      <c r="H182" s="68"/>
    </row>
    <row r="183" spans="8:8" s="64" customFormat="1" ht="12.75" customHeight="1" x14ac:dyDescent="0.2">
      <c r="H183" s="68"/>
    </row>
    <row r="184" spans="8:8" s="64" customFormat="1" ht="12.75" customHeight="1" x14ac:dyDescent="0.2">
      <c r="H184" s="68"/>
    </row>
    <row r="185" spans="8:8" s="64" customFormat="1" ht="12.75" customHeight="1" x14ac:dyDescent="0.2">
      <c r="H185" s="68"/>
    </row>
    <row r="186" spans="8:8" s="64" customFormat="1" ht="12.75" customHeight="1" x14ac:dyDescent="0.2">
      <c r="H186" s="68"/>
    </row>
    <row r="187" spans="8:8" s="64" customFormat="1" ht="12.75" customHeight="1" x14ac:dyDescent="0.2">
      <c r="H187" s="68"/>
    </row>
    <row r="188" spans="8:8" s="64" customFormat="1" ht="12.75" customHeight="1" x14ac:dyDescent="0.2">
      <c r="H188" s="68"/>
    </row>
    <row r="189" spans="8:8" s="64" customFormat="1" ht="12.75" customHeight="1" x14ac:dyDescent="0.2">
      <c r="H189" s="68"/>
    </row>
    <row r="190" spans="8:8" s="64" customFormat="1" ht="12.75" customHeight="1" x14ac:dyDescent="0.2">
      <c r="H190" s="68"/>
    </row>
    <row r="191" spans="8:8" s="64" customFormat="1" ht="12.75" customHeight="1" x14ac:dyDescent="0.2">
      <c r="H191" s="68"/>
    </row>
    <row r="192" spans="8:8" s="64" customFormat="1" ht="12.75" customHeight="1" x14ac:dyDescent="0.2">
      <c r="H192" s="68"/>
    </row>
    <row r="193" spans="8:8" s="64" customFormat="1" ht="12.75" customHeight="1" x14ac:dyDescent="0.2">
      <c r="H193" s="68"/>
    </row>
    <row r="194" spans="8:8" s="64" customFormat="1" ht="12.75" customHeight="1" x14ac:dyDescent="0.2">
      <c r="H194" s="68"/>
    </row>
    <row r="195" spans="8:8" s="64" customFormat="1" ht="12.75" customHeight="1" x14ac:dyDescent="0.2">
      <c r="H195" s="68"/>
    </row>
    <row r="196" spans="8:8" s="64" customFormat="1" ht="12.75" customHeight="1" x14ac:dyDescent="0.2">
      <c r="H196" s="68"/>
    </row>
    <row r="197" spans="8:8" s="64" customFormat="1" ht="12.75" customHeight="1" x14ac:dyDescent="0.2">
      <c r="H197" s="68"/>
    </row>
    <row r="198" spans="8:8" s="64" customFormat="1" ht="12.75" customHeight="1" x14ac:dyDescent="0.2">
      <c r="H198" s="68"/>
    </row>
    <row r="199" spans="8:8" s="64" customFormat="1" ht="12.75" customHeight="1" x14ac:dyDescent="0.2">
      <c r="H199" s="68"/>
    </row>
    <row r="200" spans="8:8" s="64" customFormat="1" ht="12.75" customHeight="1" x14ac:dyDescent="0.2">
      <c r="H200" s="68"/>
    </row>
    <row r="201" spans="8:8" s="64" customFormat="1" ht="12.75" customHeight="1" x14ac:dyDescent="0.2">
      <c r="H201" s="68"/>
    </row>
    <row r="202" spans="8:8" s="64" customFormat="1" ht="12.75" customHeight="1" x14ac:dyDescent="0.2">
      <c r="H202" s="68"/>
    </row>
    <row r="203" spans="8:8" s="64" customFormat="1" ht="12.75" customHeight="1" x14ac:dyDescent="0.2">
      <c r="H203" s="68"/>
    </row>
    <row r="204" spans="8:8" s="64" customFormat="1" ht="12.75" customHeight="1" x14ac:dyDescent="0.2">
      <c r="H204" s="68"/>
    </row>
    <row r="205" spans="8:8" s="64" customFormat="1" ht="12.75" customHeight="1" x14ac:dyDescent="0.2">
      <c r="H205" s="68"/>
    </row>
    <row r="206" spans="8:8" s="64" customFormat="1" ht="12.75" customHeight="1" x14ac:dyDescent="0.2">
      <c r="H206" s="68"/>
    </row>
    <row r="207" spans="8:8" s="64" customFormat="1" ht="12.75" customHeight="1" x14ac:dyDescent="0.2">
      <c r="H207" s="68"/>
    </row>
    <row r="208" spans="8:8" s="64" customFormat="1" ht="12.75" customHeight="1" x14ac:dyDescent="0.2">
      <c r="H208" s="68"/>
    </row>
    <row r="209" spans="8:8" s="64" customFormat="1" ht="12.75" customHeight="1" x14ac:dyDescent="0.2">
      <c r="H209" s="68"/>
    </row>
    <row r="210" spans="8:8" s="64" customFormat="1" ht="12.75" customHeight="1" x14ac:dyDescent="0.2">
      <c r="H210" s="68"/>
    </row>
    <row r="211" spans="8:8" s="64" customFormat="1" ht="12.75" customHeight="1" x14ac:dyDescent="0.2">
      <c r="H211" s="68"/>
    </row>
    <row r="212" spans="8:8" s="64" customFormat="1" ht="12.75" customHeight="1" x14ac:dyDescent="0.2">
      <c r="H212" s="68"/>
    </row>
    <row r="213" spans="8:8" s="64" customFormat="1" ht="12.75" customHeight="1" x14ac:dyDescent="0.2">
      <c r="H213" s="68"/>
    </row>
    <row r="214" spans="8:8" s="64" customFormat="1" ht="12.75" customHeight="1" x14ac:dyDescent="0.2">
      <c r="H214" s="68"/>
    </row>
    <row r="215" spans="8:8" s="64" customFormat="1" ht="12.75" customHeight="1" x14ac:dyDescent="0.2">
      <c r="H215" s="68"/>
    </row>
    <row r="216" spans="8:8" s="64" customFormat="1" ht="12.75" customHeight="1" x14ac:dyDescent="0.2">
      <c r="H216" s="68"/>
    </row>
    <row r="217" spans="8:8" s="64" customFormat="1" ht="12.75" customHeight="1" x14ac:dyDescent="0.2">
      <c r="H217" s="68"/>
    </row>
    <row r="218" spans="8:8" s="64" customFormat="1" ht="12.75" customHeight="1" x14ac:dyDescent="0.2">
      <c r="H218" s="68"/>
    </row>
    <row r="219" spans="8:8" s="64" customFormat="1" ht="12.75" customHeight="1" x14ac:dyDescent="0.2">
      <c r="H219" s="68"/>
    </row>
    <row r="220" spans="8:8" s="64" customFormat="1" ht="12.75" customHeight="1" x14ac:dyDescent="0.2">
      <c r="H220" s="68"/>
    </row>
    <row r="221" spans="8:8" s="64" customFormat="1" ht="12.75" customHeight="1" x14ac:dyDescent="0.2">
      <c r="H221" s="68"/>
    </row>
    <row r="222" spans="8:8" s="64" customFormat="1" ht="12.75" customHeight="1" x14ac:dyDescent="0.2">
      <c r="H222" s="68"/>
    </row>
    <row r="223" spans="8:8" s="64" customFormat="1" ht="12.75" customHeight="1" x14ac:dyDescent="0.2">
      <c r="H223" s="68"/>
    </row>
    <row r="224" spans="8:8" s="64" customFormat="1" ht="12.75" customHeight="1" x14ac:dyDescent="0.2">
      <c r="H224" s="68"/>
    </row>
    <row r="225" spans="8:8" s="64" customFormat="1" ht="12.75" customHeight="1" x14ac:dyDescent="0.2">
      <c r="H225" s="68"/>
    </row>
    <row r="226" spans="8:8" s="64" customFormat="1" ht="12.75" customHeight="1" x14ac:dyDescent="0.2">
      <c r="H226" s="68"/>
    </row>
    <row r="227" spans="8:8" s="64" customFormat="1" ht="12.75" customHeight="1" x14ac:dyDescent="0.2">
      <c r="H227" s="68"/>
    </row>
    <row r="228" spans="8:8" s="64" customFormat="1" ht="12.75" customHeight="1" x14ac:dyDescent="0.2">
      <c r="H228" s="68"/>
    </row>
    <row r="229" spans="8:8" s="64" customFormat="1" ht="12.75" customHeight="1" x14ac:dyDescent="0.2">
      <c r="H229" s="68"/>
    </row>
    <row r="230" spans="8:8" s="64" customFormat="1" ht="12.75" customHeight="1" x14ac:dyDescent="0.2">
      <c r="H230" s="68"/>
    </row>
    <row r="231" spans="8:8" s="64" customFormat="1" ht="12.75" customHeight="1" x14ac:dyDescent="0.2">
      <c r="H231" s="68"/>
    </row>
    <row r="232" spans="8:8" s="64" customFormat="1" ht="12.75" customHeight="1" x14ac:dyDescent="0.2">
      <c r="H232" s="68"/>
    </row>
    <row r="233" spans="8:8" s="64" customFormat="1" ht="12.75" customHeight="1" x14ac:dyDescent="0.2">
      <c r="H233" s="68"/>
    </row>
    <row r="234" spans="8:8" s="64" customFormat="1" ht="12.75" customHeight="1" x14ac:dyDescent="0.2">
      <c r="H234" s="68"/>
    </row>
    <row r="235" spans="8:8" s="64" customFormat="1" ht="12.75" customHeight="1" x14ac:dyDescent="0.2">
      <c r="H235" s="68"/>
    </row>
    <row r="236" spans="8:8" s="64" customFormat="1" ht="12.75" customHeight="1" x14ac:dyDescent="0.2">
      <c r="H236" s="68"/>
    </row>
    <row r="237" spans="8:8" s="64" customFormat="1" ht="12.75" customHeight="1" x14ac:dyDescent="0.2">
      <c r="H237" s="68"/>
    </row>
    <row r="238" spans="8:8" s="64" customFormat="1" ht="12.75" customHeight="1" x14ac:dyDescent="0.2">
      <c r="H238" s="68"/>
    </row>
    <row r="239" spans="8:8" s="64" customFormat="1" ht="12.75" customHeight="1" x14ac:dyDescent="0.2">
      <c r="H239" s="68"/>
    </row>
    <row r="240" spans="8:8" s="64" customFormat="1" ht="12.75" customHeight="1" x14ac:dyDescent="0.2">
      <c r="H240" s="68"/>
    </row>
    <row r="241" spans="8:8" s="64" customFormat="1" ht="12.75" customHeight="1" x14ac:dyDescent="0.2">
      <c r="H241" s="68"/>
    </row>
    <row r="242" spans="8:8" s="64" customFormat="1" ht="12.75" customHeight="1" x14ac:dyDescent="0.2">
      <c r="H242" s="68"/>
    </row>
    <row r="243" spans="8:8" s="64" customFormat="1" ht="12.75" customHeight="1" x14ac:dyDescent="0.2">
      <c r="H243" s="68"/>
    </row>
    <row r="244" spans="8:8" s="64" customFormat="1" ht="12.75" customHeight="1" x14ac:dyDescent="0.2">
      <c r="H244" s="68"/>
    </row>
    <row r="245" spans="8:8" s="64" customFormat="1" ht="12.75" customHeight="1" x14ac:dyDescent="0.2">
      <c r="H245" s="68"/>
    </row>
    <row r="246" spans="8:8" s="64" customFormat="1" ht="12.75" customHeight="1" x14ac:dyDescent="0.2">
      <c r="H246" s="68"/>
    </row>
    <row r="247" spans="8:8" s="64" customFormat="1" ht="12.75" customHeight="1" x14ac:dyDescent="0.2">
      <c r="H247" s="68"/>
    </row>
    <row r="248" spans="8:8" s="64" customFormat="1" ht="12.75" customHeight="1" x14ac:dyDescent="0.2">
      <c r="H248" s="68"/>
    </row>
    <row r="249" spans="8:8" s="64" customFormat="1" ht="12.75" customHeight="1" x14ac:dyDescent="0.2">
      <c r="H249" s="68"/>
    </row>
    <row r="250" spans="8:8" s="64" customFormat="1" ht="12.75" customHeight="1" x14ac:dyDescent="0.2">
      <c r="H250" s="68"/>
    </row>
    <row r="251" spans="8:8" s="64" customFormat="1" ht="12.75" customHeight="1" x14ac:dyDescent="0.2">
      <c r="H251" s="68"/>
    </row>
    <row r="252" spans="8:8" s="64" customFormat="1" ht="12.75" customHeight="1" x14ac:dyDescent="0.2">
      <c r="H252" s="68"/>
    </row>
    <row r="253" spans="8:8" s="64" customFormat="1" ht="12.75" customHeight="1" x14ac:dyDescent="0.2">
      <c r="H253" s="68"/>
    </row>
    <row r="254" spans="8:8" s="64" customFormat="1" ht="12.75" customHeight="1" x14ac:dyDescent="0.2">
      <c r="H254" s="68"/>
    </row>
    <row r="255" spans="8:8" s="64" customFormat="1" ht="12.75" customHeight="1" x14ac:dyDescent="0.2">
      <c r="H255" s="68"/>
    </row>
    <row r="256" spans="8:8" s="64" customFormat="1" ht="12.75" customHeight="1" x14ac:dyDescent="0.2">
      <c r="H256" s="68"/>
    </row>
    <row r="257" spans="8:8" s="64" customFormat="1" ht="12.75" customHeight="1" x14ac:dyDescent="0.2">
      <c r="H257" s="68"/>
    </row>
    <row r="258" spans="8:8" s="64" customFormat="1" ht="12.75" customHeight="1" x14ac:dyDescent="0.2">
      <c r="H258" s="68"/>
    </row>
    <row r="259" spans="8:8" s="64" customFormat="1" ht="12.75" customHeight="1" x14ac:dyDescent="0.2">
      <c r="H259" s="68"/>
    </row>
    <row r="260" spans="8:8" s="64" customFormat="1" ht="12.75" customHeight="1" x14ac:dyDescent="0.2">
      <c r="H260" s="68"/>
    </row>
    <row r="261" spans="8:8" s="64" customFormat="1" ht="12.75" customHeight="1" x14ac:dyDescent="0.2">
      <c r="H261" s="68"/>
    </row>
    <row r="262" spans="8:8" s="64" customFormat="1" ht="12.75" customHeight="1" x14ac:dyDescent="0.2">
      <c r="H262" s="68"/>
    </row>
    <row r="263" spans="8:8" s="64" customFormat="1" ht="12.75" customHeight="1" x14ac:dyDescent="0.2">
      <c r="H263" s="68"/>
    </row>
    <row r="264" spans="8:8" s="64" customFormat="1" ht="12.75" customHeight="1" x14ac:dyDescent="0.2">
      <c r="H264" s="68"/>
    </row>
    <row r="265" spans="8:8" s="64" customFormat="1" ht="12.75" customHeight="1" x14ac:dyDescent="0.2">
      <c r="H265" s="68"/>
    </row>
    <row r="266" spans="8:8" s="64" customFormat="1" ht="12.75" customHeight="1" x14ac:dyDescent="0.2">
      <c r="H266" s="68"/>
    </row>
    <row r="267" spans="8:8" s="64" customFormat="1" ht="12.75" customHeight="1" x14ac:dyDescent="0.2">
      <c r="H267" s="68"/>
    </row>
    <row r="268" spans="8:8" s="64" customFormat="1" ht="12.75" customHeight="1" x14ac:dyDescent="0.2">
      <c r="H268" s="68"/>
    </row>
    <row r="269" spans="8:8" s="64" customFormat="1" ht="12.75" customHeight="1" x14ac:dyDescent="0.2">
      <c r="H269" s="68"/>
    </row>
    <row r="270" spans="8:8" s="64" customFormat="1" ht="12.75" customHeight="1" x14ac:dyDescent="0.2">
      <c r="H270" s="68"/>
    </row>
    <row r="271" spans="8:8" s="64" customFormat="1" ht="12.75" customHeight="1" x14ac:dyDescent="0.2">
      <c r="H271" s="68"/>
    </row>
    <row r="272" spans="8:8" s="64" customFormat="1" ht="12.75" customHeight="1" x14ac:dyDescent="0.2">
      <c r="H272" s="68"/>
    </row>
    <row r="273" spans="8:8" s="64" customFormat="1" ht="12.75" customHeight="1" x14ac:dyDescent="0.2">
      <c r="H273" s="68"/>
    </row>
    <row r="274" spans="8:8" s="64" customFormat="1" ht="12.75" customHeight="1" x14ac:dyDescent="0.2">
      <c r="H274" s="68"/>
    </row>
    <row r="275" spans="8:8" s="64" customFormat="1" ht="12.75" customHeight="1" x14ac:dyDescent="0.2">
      <c r="H275" s="68"/>
    </row>
    <row r="276" spans="8:8" s="64" customFormat="1" ht="12.75" customHeight="1" x14ac:dyDescent="0.2">
      <c r="H276" s="68"/>
    </row>
    <row r="277" spans="8:8" s="64" customFormat="1" ht="12.75" customHeight="1" x14ac:dyDescent="0.2">
      <c r="H277" s="68"/>
    </row>
    <row r="278" spans="8:8" s="64" customFormat="1" ht="12.75" customHeight="1" x14ac:dyDescent="0.2">
      <c r="H278" s="68"/>
    </row>
    <row r="279" spans="8:8" s="64" customFormat="1" ht="12.75" customHeight="1" x14ac:dyDescent="0.2">
      <c r="H279" s="68"/>
    </row>
    <row r="280" spans="8:8" s="64" customFormat="1" ht="12.75" customHeight="1" x14ac:dyDescent="0.2">
      <c r="H280" s="68"/>
    </row>
    <row r="281" spans="8:8" s="64" customFormat="1" ht="12.75" customHeight="1" x14ac:dyDescent="0.2">
      <c r="H281" s="68"/>
    </row>
    <row r="282" spans="8:8" s="64" customFormat="1" ht="12.75" customHeight="1" x14ac:dyDescent="0.2">
      <c r="H282" s="68"/>
    </row>
    <row r="283" spans="8:8" s="64" customFormat="1" ht="12.75" customHeight="1" x14ac:dyDescent="0.2">
      <c r="H283" s="68"/>
    </row>
    <row r="284" spans="8:8" s="64" customFormat="1" ht="12.75" customHeight="1" x14ac:dyDescent="0.2">
      <c r="H284" s="68"/>
    </row>
    <row r="285" spans="8:8" s="64" customFormat="1" ht="12.75" customHeight="1" x14ac:dyDescent="0.2">
      <c r="H285" s="68"/>
    </row>
    <row r="286" spans="8:8" s="64" customFormat="1" ht="12.75" customHeight="1" x14ac:dyDescent="0.2">
      <c r="H286" s="68"/>
    </row>
    <row r="287" spans="8:8" s="64" customFormat="1" ht="12.75" customHeight="1" x14ac:dyDescent="0.2">
      <c r="H287" s="68"/>
    </row>
    <row r="288" spans="8:8" s="64" customFormat="1" ht="12.75" customHeight="1" x14ac:dyDescent="0.2">
      <c r="H288" s="68"/>
    </row>
    <row r="289" spans="8:8" s="64" customFormat="1" ht="12.75" customHeight="1" x14ac:dyDescent="0.2">
      <c r="H289" s="68"/>
    </row>
    <row r="290" spans="8:8" s="64" customFormat="1" ht="12.75" customHeight="1" x14ac:dyDescent="0.2">
      <c r="H290" s="68"/>
    </row>
    <row r="291" spans="8:8" s="64" customFormat="1" ht="12.75" customHeight="1" x14ac:dyDescent="0.2">
      <c r="H291" s="68"/>
    </row>
    <row r="292" spans="8:8" s="64" customFormat="1" ht="12.75" customHeight="1" x14ac:dyDescent="0.2">
      <c r="H292" s="68"/>
    </row>
    <row r="293" spans="8:8" s="64" customFormat="1" ht="12.75" customHeight="1" x14ac:dyDescent="0.2">
      <c r="H293" s="68"/>
    </row>
    <row r="294" spans="8:8" s="64" customFormat="1" ht="12.75" customHeight="1" x14ac:dyDescent="0.2">
      <c r="H294" s="68"/>
    </row>
    <row r="295" spans="8:8" s="64" customFormat="1" ht="12.75" customHeight="1" x14ac:dyDescent="0.2">
      <c r="H295" s="68"/>
    </row>
    <row r="296" spans="8:8" s="64" customFormat="1" ht="12.75" customHeight="1" x14ac:dyDescent="0.2">
      <c r="H296" s="68"/>
    </row>
    <row r="297" spans="8:8" s="64" customFormat="1" ht="12.75" customHeight="1" x14ac:dyDescent="0.2">
      <c r="H297" s="68"/>
    </row>
    <row r="298" spans="8:8" s="64" customFormat="1" ht="12.75" customHeight="1" x14ac:dyDescent="0.2">
      <c r="H298" s="68"/>
    </row>
    <row r="299" spans="8:8" s="64" customFormat="1" ht="12.75" customHeight="1" x14ac:dyDescent="0.2">
      <c r="H299" s="68"/>
    </row>
    <row r="300" spans="8:8" s="64" customFormat="1" ht="12.75" customHeight="1" x14ac:dyDescent="0.2">
      <c r="H300" s="68"/>
    </row>
    <row r="301" spans="8:8" s="64" customFormat="1" ht="12.75" customHeight="1" x14ac:dyDescent="0.2">
      <c r="H301" s="68"/>
    </row>
    <row r="302" spans="8:8" s="64" customFormat="1" ht="12.75" customHeight="1" x14ac:dyDescent="0.2">
      <c r="H302" s="68"/>
    </row>
    <row r="303" spans="8:8" s="64" customFormat="1" ht="12.75" customHeight="1" x14ac:dyDescent="0.2">
      <c r="H303" s="68"/>
    </row>
    <row r="304" spans="8:8" s="64" customFormat="1" ht="12.75" customHeight="1" x14ac:dyDescent="0.2">
      <c r="H304" s="68"/>
    </row>
    <row r="305" spans="8:8" s="64" customFormat="1" ht="12.75" customHeight="1" x14ac:dyDescent="0.2">
      <c r="H305" s="68"/>
    </row>
    <row r="306" spans="8:8" s="64" customFormat="1" ht="12.75" customHeight="1" x14ac:dyDescent="0.2">
      <c r="H306" s="68"/>
    </row>
    <row r="307" spans="8:8" s="64" customFormat="1" ht="12.75" customHeight="1" x14ac:dyDescent="0.2">
      <c r="H307" s="68"/>
    </row>
    <row r="308" spans="8:8" s="64" customFormat="1" ht="12.75" customHeight="1" x14ac:dyDescent="0.2">
      <c r="H308" s="68"/>
    </row>
    <row r="309" spans="8:8" s="64" customFormat="1" ht="12.75" customHeight="1" x14ac:dyDescent="0.2">
      <c r="H309" s="68"/>
    </row>
    <row r="310" spans="8:8" s="64" customFormat="1" ht="12.75" customHeight="1" x14ac:dyDescent="0.2">
      <c r="H310" s="68"/>
    </row>
    <row r="311" spans="8:8" s="64" customFormat="1" ht="12.75" customHeight="1" x14ac:dyDescent="0.2">
      <c r="H311" s="68"/>
    </row>
    <row r="312" spans="8:8" s="64" customFormat="1" ht="12.75" customHeight="1" x14ac:dyDescent="0.2">
      <c r="H312" s="68"/>
    </row>
    <row r="313" spans="8:8" s="64" customFormat="1" ht="12.75" customHeight="1" x14ac:dyDescent="0.2">
      <c r="H313" s="68"/>
    </row>
    <row r="314" spans="8:8" s="64" customFormat="1" ht="12.75" customHeight="1" x14ac:dyDescent="0.2">
      <c r="H314" s="68"/>
    </row>
    <row r="315" spans="8:8" s="64" customFormat="1" ht="12.75" customHeight="1" x14ac:dyDescent="0.2">
      <c r="H315" s="68"/>
    </row>
    <row r="316" spans="8:8" s="64" customFormat="1" ht="12.75" customHeight="1" x14ac:dyDescent="0.2">
      <c r="H316" s="68"/>
    </row>
    <row r="317" spans="8:8" s="64" customFormat="1" ht="12.75" customHeight="1" x14ac:dyDescent="0.2">
      <c r="H317" s="68"/>
    </row>
    <row r="318" spans="8:8" s="64" customFormat="1" ht="12.75" customHeight="1" x14ac:dyDescent="0.2">
      <c r="H318" s="68"/>
    </row>
    <row r="319" spans="8:8" s="64" customFormat="1" ht="12.75" customHeight="1" x14ac:dyDescent="0.2">
      <c r="H319" s="68"/>
    </row>
    <row r="320" spans="8:8" s="64" customFormat="1" ht="12.75" customHeight="1" x14ac:dyDescent="0.2">
      <c r="H320" s="68"/>
    </row>
    <row r="321" spans="8:8" s="64" customFormat="1" ht="12.75" customHeight="1" x14ac:dyDescent="0.2">
      <c r="H321" s="68"/>
    </row>
    <row r="322" spans="8:8" s="64" customFormat="1" ht="12.75" customHeight="1" x14ac:dyDescent="0.2">
      <c r="H322" s="68"/>
    </row>
    <row r="323" spans="8:8" s="64" customFormat="1" ht="12.75" customHeight="1" x14ac:dyDescent="0.2">
      <c r="H323" s="68"/>
    </row>
    <row r="324" spans="8:8" s="64" customFormat="1" ht="12.75" customHeight="1" x14ac:dyDescent="0.2">
      <c r="H324" s="68"/>
    </row>
    <row r="325" spans="8:8" s="64" customFormat="1" ht="12.75" customHeight="1" x14ac:dyDescent="0.2">
      <c r="H325" s="68"/>
    </row>
    <row r="326" spans="8:8" s="64" customFormat="1" ht="12.75" customHeight="1" x14ac:dyDescent="0.2">
      <c r="H326" s="68"/>
    </row>
    <row r="327" spans="8:8" s="64" customFormat="1" ht="12.75" customHeight="1" x14ac:dyDescent="0.2">
      <c r="H327" s="68"/>
    </row>
    <row r="328" spans="8:8" s="64" customFormat="1" ht="12.75" customHeight="1" x14ac:dyDescent="0.2">
      <c r="H328" s="68"/>
    </row>
    <row r="329" spans="8:8" s="64" customFormat="1" ht="12.75" customHeight="1" x14ac:dyDescent="0.2">
      <c r="H329" s="68"/>
    </row>
    <row r="330" spans="8:8" s="64" customFormat="1" ht="12.75" customHeight="1" x14ac:dyDescent="0.2">
      <c r="H330" s="68"/>
    </row>
    <row r="331" spans="8:8" s="64" customFormat="1" ht="12.75" customHeight="1" x14ac:dyDescent="0.2">
      <c r="H331" s="68"/>
    </row>
    <row r="332" spans="8:8" s="64" customFormat="1" ht="12.75" customHeight="1" x14ac:dyDescent="0.2">
      <c r="H332" s="68"/>
    </row>
    <row r="333" spans="8:8" s="64" customFormat="1" ht="12.75" customHeight="1" x14ac:dyDescent="0.2">
      <c r="H333" s="68"/>
    </row>
    <row r="334" spans="8:8" s="64" customFormat="1" ht="12.75" customHeight="1" x14ac:dyDescent="0.2">
      <c r="H334" s="68"/>
    </row>
    <row r="335" spans="8:8" s="64" customFormat="1" ht="12.75" customHeight="1" x14ac:dyDescent="0.2">
      <c r="H335" s="68"/>
    </row>
    <row r="336" spans="8:8" s="64" customFormat="1" ht="12.75" customHeight="1" x14ac:dyDescent="0.2">
      <c r="H336" s="68"/>
    </row>
    <row r="337" spans="8:8" s="64" customFormat="1" ht="12.75" customHeight="1" x14ac:dyDescent="0.2">
      <c r="H337" s="68"/>
    </row>
    <row r="338" spans="8:8" s="64" customFormat="1" ht="12.75" customHeight="1" x14ac:dyDescent="0.2">
      <c r="H338" s="68"/>
    </row>
    <row r="339" spans="8:8" s="64" customFormat="1" ht="12.75" customHeight="1" x14ac:dyDescent="0.2">
      <c r="H339" s="68"/>
    </row>
    <row r="340" spans="8:8" s="64" customFormat="1" ht="12.75" customHeight="1" x14ac:dyDescent="0.2">
      <c r="H340" s="68"/>
    </row>
    <row r="341" spans="8:8" s="64" customFormat="1" ht="12.75" customHeight="1" x14ac:dyDescent="0.2">
      <c r="H341" s="68"/>
    </row>
    <row r="342" spans="8:8" s="64" customFormat="1" ht="12.75" customHeight="1" x14ac:dyDescent="0.2">
      <c r="H342" s="68"/>
    </row>
    <row r="343" spans="8:8" s="64" customFormat="1" ht="12.75" customHeight="1" x14ac:dyDescent="0.2">
      <c r="H343" s="68"/>
    </row>
    <row r="344" spans="8:8" s="64" customFormat="1" ht="12.75" customHeight="1" x14ac:dyDescent="0.2">
      <c r="H344" s="68"/>
    </row>
    <row r="345" spans="8:8" s="64" customFormat="1" ht="12.75" customHeight="1" x14ac:dyDescent="0.2">
      <c r="H345" s="68"/>
    </row>
    <row r="346" spans="8:8" s="64" customFormat="1" ht="12.75" customHeight="1" x14ac:dyDescent="0.2">
      <c r="H346" s="68"/>
    </row>
    <row r="347" spans="8:8" s="64" customFormat="1" ht="12.75" customHeight="1" x14ac:dyDescent="0.2">
      <c r="H347" s="68"/>
    </row>
    <row r="348" spans="8:8" s="64" customFormat="1" ht="12.75" customHeight="1" x14ac:dyDescent="0.2">
      <c r="H348" s="68"/>
    </row>
    <row r="349" spans="8:8" s="64" customFormat="1" ht="12.75" customHeight="1" x14ac:dyDescent="0.2">
      <c r="H349" s="68"/>
    </row>
    <row r="350" spans="8:8" s="64" customFormat="1" ht="12.75" customHeight="1" x14ac:dyDescent="0.2">
      <c r="H350" s="68"/>
    </row>
    <row r="351" spans="8:8" s="64" customFormat="1" ht="12.75" customHeight="1" x14ac:dyDescent="0.2">
      <c r="H351" s="68"/>
    </row>
    <row r="352" spans="8:8" s="64" customFormat="1" ht="12.75" customHeight="1" x14ac:dyDescent="0.2">
      <c r="H352" s="68"/>
    </row>
    <row r="353" spans="8:8" s="64" customFormat="1" ht="12.75" customHeight="1" x14ac:dyDescent="0.2">
      <c r="H353" s="68"/>
    </row>
    <row r="354" spans="8:8" s="64" customFormat="1" ht="12.75" customHeight="1" x14ac:dyDescent="0.2">
      <c r="H354" s="68"/>
    </row>
    <row r="355" spans="8:8" s="64" customFormat="1" ht="12.75" customHeight="1" x14ac:dyDescent="0.2">
      <c r="H355" s="68"/>
    </row>
    <row r="356" spans="8:8" s="64" customFormat="1" ht="12.75" customHeight="1" x14ac:dyDescent="0.2">
      <c r="H356" s="68"/>
    </row>
    <row r="357" spans="8:8" s="64" customFormat="1" ht="12.75" customHeight="1" x14ac:dyDescent="0.2">
      <c r="H357" s="68"/>
    </row>
    <row r="358" spans="8:8" s="64" customFormat="1" ht="12.75" customHeight="1" x14ac:dyDescent="0.2">
      <c r="H358" s="68"/>
    </row>
    <row r="359" spans="8:8" s="64" customFormat="1" ht="12.75" customHeight="1" x14ac:dyDescent="0.2">
      <c r="H359" s="68"/>
    </row>
    <row r="360" spans="8:8" s="64" customFormat="1" ht="12.75" customHeight="1" x14ac:dyDescent="0.2">
      <c r="H360" s="68"/>
    </row>
    <row r="361" spans="8:8" s="64" customFormat="1" ht="12.75" customHeight="1" x14ac:dyDescent="0.2">
      <c r="H361" s="68"/>
    </row>
    <row r="362" spans="8:8" s="64" customFormat="1" ht="12.75" customHeight="1" x14ac:dyDescent="0.2">
      <c r="H362" s="68"/>
    </row>
    <row r="363" spans="8:8" s="64" customFormat="1" ht="12.75" customHeight="1" x14ac:dyDescent="0.2">
      <c r="H363" s="68"/>
    </row>
    <row r="364" spans="8:8" s="64" customFormat="1" ht="12.75" customHeight="1" x14ac:dyDescent="0.2">
      <c r="H364" s="68"/>
    </row>
    <row r="365" spans="8:8" s="64" customFormat="1" ht="12.75" customHeight="1" x14ac:dyDescent="0.2">
      <c r="H365" s="68"/>
    </row>
    <row r="366" spans="8:8" s="64" customFormat="1" ht="12.75" customHeight="1" x14ac:dyDescent="0.2">
      <c r="H366" s="68"/>
    </row>
    <row r="367" spans="8:8" s="64" customFormat="1" ht="12.75" customHeight="1" x14ac:dyDescent="0.2">
      <c r="H367" s="68"/>
    </row>
    <row r="368" spans="8:8" s="64" customFormat="1" ht="12.75" customHeight="1" x14ac:dyDescent="0.2">
      <c r="H368" s="68"/>
    </row>
    <row r="369" spans="8:8" s="64" customFormat="1" ht="12.75" customHeight="1" x14ac:dyDescent="0.2">
      <c r="H369" s="68"/>
    </row>
    <row r="370" spans="8:8" s="64" customFormat="1" ht="12.75" customHeight="1" x14ac:dyDescent="0.2">
      <c r="H370" s="68"/>
    </row>
    <row r="371" spans="8:8" s="64" customFormat="1" ht="12.75" customHeight="1" x14ac:dyDescent="0.2">
      <c r="H371" s="68"/>
    </row>
    <row r="372" spans="8:8" s="64" customFormat="1" ht="12.75" customHeight="1" x14ac:dyDescent="0.2">
      <c r="H372" s="68"/>
    </row>
    <row r="373" spans="8:8" s="64" customFormat="1" ht="12.75" customHeight="1" x14ac:dyDescent="0.2">
      <c r="H373" s="68"/>
    </row>
    <row r="374" spans="8:8" s="64" customFormat="1" ht="12.75" customHeight="1" x14ac:dyDescent="0.2">
      <c r="H374" s="68"/>
    </row>
    <row r="375" spans="8:8" s="64" customFormat="1" ht="12.75" customHeight="1" x14ac:dyDescent="0.2">
      <c r="H375" s="68"/>
    </row>
    <row r="376" spans="8:8" s="64" customFormat="1" ht="12.75" customHeight="1" x14ac:dyDescent="0.2">
      <c r="H376" s="68"/>
    </row>
    <row r="377" spans="8:8" s="64" customFormat="1" ht="12.75" customHeight="1" x14ac:dyDescent="0.2">
      <c r="H377" s="68"/>
    </row>
    <row r="378" spans="8:8" s="64" customFormat="1" ht="12.75" customHeight="1" x14ac:dyDescent="0.2">
      <c r="H378" s="68"/>
    </row>
    <row r="379" spans="8:8" s="64" customFormat="1" ht="12.75" customHeight="1" x14ac:dyDescent="0.2">
      <c r="H379" s="68"/>
    </row>
    <row r="380" spans="8:8" s="64" customFormat="1" ht="12.75" customHeight="1" x14ac:dyDescent="0.2">
      <c r="H380" s="68"/>
    </row>
    <row r="381" spans="8:8" s="64" customFormat="1" ht="12.75" customHeight="1" x14ac:dyDescent="0.2">
      <c r="H381" s="68"/>
    </row>
    <row r="382" spans="8:8" s="64" customFormat="1" ht="12.75" customHeight="1" x14ac:dyDescent="0.2">
      <c r="H382" s="68"/>
    </row>
    <row r="383" spans="8:8" s="64" customFormat="1" ht="12.75" customHeight="1" x14ac:dyDescent="0.2">
      <c r="H383" s="68"/>
    </row>
    <row r="384" spans="8:8" s="64" customFormat="1" ht="12.75" customHeight="1" x14ac:dyDescent="0.2">
      <c r="H384" s="68"/>
    </row>
    <row r="385" spans="8:8" s="64" customFormat="1" ht="12.75" customHeight="1" x14ac:dyDescent="0.2">
      <c r="H385" s="68"/>
    </row>
    <row r="386" spans="8:8" s="64" customFormat="1" ht="12.75" customHeight="1" x14ac:dyDescent="0.2">
      <c r="H386" s="68"/>
    </row>
    <row r="387" spans="8:8" s="64" customFormat="1" ht="12.75" customHeight="1" x14ac:dyDescent="0.2">
      <c r="H387" s="68"/>
    </row>
    <row r="388" spans="8:8" s="64" customFormat="1" ht="12.75" customHeight="1" x14ac:dyDescent="0.2">
      <c r="H388" s="68"/>
    </row>
    <row r="389" spans="8:8" s="64" customFormat="1" ht="12.75" customHeight="1" x14ac:dyDescent="0.2">
      <c r="H389" s="68"/>
    </row>
    <row r="390" spans="8:8" s="64" customFormat="1" ht="12.75" customHeight="1" x14ac:dyDescent="0.2">
      <c r="H390" s="68"/>
    </row>
    <row r="391" spans="8:8" s="64" customFormat="1" ht="12.75" customHeight="1" x14ac:dyDescent="0.2">
      <c r="H391" s="68"/>
    </row>
    <row r="392" spans="8:8" s="64" customFormat="1" ht="12.75" customHeight="1" x14ac:dyDescent="0.2">
      <c r="H392" s="68"/>
    </row>
    <row r="393" spans="8:8" s="64" customFormat="1" ht="12.75" customHeight="1" x14ac:dyDescent="0.2">
      <c r="H393" s="68"/>
    </row>
  </sheetData>
  <sheetProtection password="EC65" sheet="1" selectLockedCells="1"/>
  <mergeCells count="17">
    <mergeCell ref="E3:G3"/>
    <mergeCell ref="E4:G4"/>
    <mergeCell ref="E6:G6"/>
    <mergeCell ref="J3:M4"/>
    <mergeCell ref="J5:M6"/>
    <mergeCell ref="E5:I5"/>
    <mergeCell ref="E48:I48"/>
    <mergeCell ref="L23:L24"/>
    <mergeCell ref="K23:K24"/>
    <mergeCell ref="I23:I25"/>
    <mergeCell ref="E7:G7"/>
    <mergeCell ref="D22:F22"/>
    <mergeCell ref="D30:E30"/>
    <mergeCell ref="D40:E40"/>
    <mergeCell ref="D20:F20"/>
    <mergeCell ref="F9:I9"/>
    <mergeCell ref="D14:E14"/>
  </mergeCells>
  <phoneticPr fontId="0" type="noConversion"/>
  <conditionalFormatting sqref="K57">
    <cfRule type="expression" dxfId="25" priority="15" stopIfTrue="1">
      <formula>ISERROR($K$57)</formula>
    </cfRule>
  </conditionalFormatting>
  <conditionalFormatting sqref="K42">
    <cfRule type="expression" dxfId="24" priority="16" stopIfTrue="1">
      <formula>ISERROR($K$42)</formula>
    </cfRule>
  </conditionalFormatting>
  <conditionalFormatting sqref="K49:K54 K43 K45 I23:I25 I27 K23:K27 K31:K33 K15:K17">
    <cfRule type="cellIs" dxfId="23" priority="17" stopIfTrue="1" operator="equal">
      <formula>0</formula>
    </cfRule>
  </conditionalFormatting>
  <conditionalFormatting sqref="K46">
    <cfRule type="expression" dxfId="22" priority="18" stopIfTrue="1">
      <formula>ISERROR($K$46)</formula>
    </cfRule>
  </conditionalFormatting>
  <conditionalFormatting sqref="K44">
    <cfRule type="expression" dxfId="21" priority="19" stopIfTrue="1">
      <formula>ISERROR($K$44)</formula>
    </cfRule>
  </conditionalFormatting>
  <conditionalFormatting sqref="K34">
    <cfRule type="expression" dxfId="20" priority="20" stopIfTrue="1">
      <formula>ISERROR($K$34)</formula>
    </cfRule>
  </conditionalFormatting>
  <conditionalFormatting sqref="J33">
    <cfRule type="expression" dxfId="19" priority="25" stopIfTrue="1">
      <formula>ISERROR($J$35)</formula>
    </cfRule>
  </conditionalFormatting>
  <conditionalFormatting sqref="J32">
    <cfRule type="expression" dxfId="18" priority="26" stopIfTrue="1">
      <formula>ISERROR($J$34)</formula>
    </cfRule>
  </conditionalFormatting>
  <hyperlinks>
    <hyperlink ref="D14" location="'Traffic &amp; Accidents'!F11" display="TRAFFIC:" xr:uid="{00000000-0004-0000-0000-000000000000}"/>
    <hyperlink ref="D20:F20" location="'Traffic &amp; Accidents'!G18" display="LOCAL SIGNIFICANCE" xr:uid="{00000000-0004-0000-0000-000001000000}"/>
    <hyperlink ref="D22:F22" location="Structure!F7" display="STRUCTURAL CONDITION:" xr:uid="{00000000-0004-0000-0000-000002000000}"/>
    <hyperlink ref="D30:E30" location="Geometry!D6" display="GEOMETRY:" xr:uid="{00000000-0004-0000-0000-000003000000}"/>
    <hyperlink ref="D40:E40" location="'3R Safety Checklist'!C10" display="3R CHECKLIST:" xr:uid="{00000000-0004-0000-0000-000004000000}"/>
    <hyperlink ref="E48:H48" location="'3R Safety Checklist'!I40" display="Intersection Operation - Improvements " xr:uid="{00000000-0004-0000-0000-000005000000}"/>
  </hyperlinks>
  <pageMargins left="0.42" right="0.5" top="0.5" bottom="0.4" header="0.3" footer="0.25"/>
  <pageSetup orientation="portrait" horizontalDpi="4294967292" verticalDpi="4294967292" r:id="rId1"/>
  <headerFooter alignWithMargins="0">
    <oddFooter>&amp;L&amp;8http://www.crab.wa.gov/grants/SERWKSHT - 3R.xls&amp;C&amp;6
&amp;R7/14/04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R84"/>
  <sheetViews>
    <sheetView showGridLines="0" workbookViewId="0">
      <selection activeCell="F11" sqref="F11"/>
    </sheetView>
  </sheetViews>
  <sheetFormatPr defaultRowHeight="12.75" x14ac:dyDescent="0.2"/>
  <cols>
    <col min="1" max="256" width="7.7109375" style="196" customWidth="1"/>
    <col min="257" max="16384" width="9.140625" style="196"/>
  </cols>
  <sheetData>
    <row r="3" spans="2:18" ht="13.5" thickBot="1" x14ac:dyDescent="0.25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</row>
    <row r="4" spans="2:18" ht="15.75" customHeight="1" x14ac:dyDescent="0.25">
      <c r="B4" s="193"/>
      <c r="C4" s="119"/>
      <c r="D4" s="158"/>
      <c r="E4" s="159"/>
      <c r="F4" s="121"/>
      <c r="G4" s="159"/>
      <c r="H4" s="191"/>
      <c r="I4" s="191"/>
      <c r="J4" s="191"/>
      <c r="K4" s="191"/>
      <c r="L4" s="191"/>
      <c r="M4" s="191"/>
      <c r="N4" s="121"/>
      <c r="O4" s="121"/>
      <c r="P4" s="141"/>
      <c r="Q4" s="193"/>
      <c r="R4" s="193"/>
    </row>
    <row r="5" spans="2:18" ht="15.75" customHeight="1" x14ac:dyDescent="0.25">
      <c r="B5" s="193"/>
      <c r="C5" s="123"/>
      <c r="D5" s="59"/>
      <c r="E5" s="59"/>
      <c r="F5" s="160"/>
      <c r="G5" s="59"/>
      <c r="H5" s="192"/>
      <c r="I5" s="192"/>
      <c r="J5" s="192"/>
      <c r="K5" s="192"/>
      <c r="L5" s="192"/>
      <c r="M5" s="192"/>
      <c r="N5" s="6"/>
      <c r="O5" s="6"/>
      <c r="P5" s="144"/>
      <c r="Q5" s="193"/>
      <c r="R5" s="193"/>
    </row>
    <row r="6" spans="2:18" x14ac:dyDescent="0.2">
      <c r="B6" s="193"/>
      <c r="C6" s="123"/>
      <c r="D6" s="190" t="s">
        <v>358</v>
      </c>
      <c r="E6" s="59"/>
      <c r="F6" s="6"/>
      <c r="G6" s="6"/>
      <c r="H6" s="161"/>
      <c r="I6" s="161"/>
      <c r="J6" s="161"/>
      <c r="K6" s="161"/>
      <c r="L6" s="161"/>
      <c r="M6" s="190"/>
      <c r="N6" s="190" t="s">
        <v>249</v>
      </c>
      <c r="O6" s="190"/>
      <c r="P6" s="144"/>
      <c r="Q6" s="193"/>
      <c r="R6" s="193"/>
    </row>
    <row r="7" spans="2:18" ht="15.75" x14ac:dyDescent="0.25">
      <c r="B7" s="193"/>
      <c r="C7" s="123"/>
      <c r="D7" s="59"/>
      <c r="E7" s="59"/>
      <c r="F7" s="160"/>
      <c r="G7" s="6"/>
      <c r="H7" s="6"/>
      <c r="I7" s="6"/>
      <c r="J7" s="59"/>
      <c r="K7" s="59"/>
      <c r="L7" s="6"/>
      <c r="M7" s="59"/>
      <c r="N7" s="59"/>
      <c r="O7" s="6"/>
      <c r="P7" s="144"/>
      <c r="Q7" s="193"/>
      <c r="R7" s="193"/>
    </row>
    <row r="8" spans="2:18" x14ac:dyDescent="0.2">
      <c r="B8" s="193"/>
      <c r="C8" s="123"/>
      <c r="D8" s="7"/>
      <c r="E8" s="142"/>
      <c r="F8" s="142"/>
      <c r="G8" s="162"/>
      <c r="H8" s="6"/>
      <c r="I8" s="6"/>
      <c r="J8" s="6"/>
      <c r="K8" s="6"/>
      <c r="L8" s="6"/>
      <c r="M8" s="576" t="s">
        <v>521</v>
      </c>
      <c r="N8" s="576"/>
      <c r="O8" s="576"/>
      <c r="P8" s="144"/>
      <c r="Q8" s="193"/>
      <c r="R8" s="193"/>
    </row>
    <row r="9" spans="2:18" x14ac:dyDescent="0.2">
      <c r="B9" s="193"/>
      <c r="C9" s="123"/>
      <c r="D9" s="142"/>
      <c r="E9" s="58" t="s">
        <v>246</v>
      </c>
      <c r="F9" s="197"/>
      <c r="G9" s="163"/>
      <c r="H9" s="7"/>
      <c r="I9" s="58" t="s">
        <v>247</v>
      </c>
      <c r="J9" s="197"/>
      <c r="K9" s="117"/>
      <c r="L9" s="6"/>
      <c r="M9" s="576"/>
      <c r="N9" s="576"/>
      <c r="O9" s="576"/>
      <c r="P9" s="144"/>
      <c r="Q9" s="193"/>
      <c r="R9" s="193"/>
    </row>
    <row r="10" spans="2:18" x14ac:dyDescent="0.2">
      <c r="B10" s="193"/>
      <c r="C10" s="123"/>
      <c r="D10" s="59"/>
      <c r="E10" s="6"/>
      <c r="F10" s="6"/>
      <c r="G10" s="164"/>
      <c r="H10" s="6"/>
      <c r="I10" s="6"/>
      <c r="J10" s="23" t="s">
        <v>248</v>
      </c>
      <c r="K10" s="27"/>
      <c r="L10" s="6"/>
      <c r="M10" s="575"/>
      <c r="N10" s="575"/>
      <c r="O10" s="575"/>
      <c r="P10" s="127"/>
      <c r="Q10" s="194"/>
      <c r="R10" s="194"/>
    </row>
    <row r="11" spans="2:18" x14ac:dyDescent="0.2">
      <c r="B11" s="193"/>
      <c r="C11" s="123"/>
      <c r="D11" s="59"/>
      <c r="E11" s="165" t="s">
        <v>17</v>
      </c>
      <c r="F11" s="54"/>
      <c r="G11" s="59"/>
      <c r="H11" s="7"/>
      <c r="I11" s="166" t="s">
        <v>202</v>
      </c>
      <c r="J11" s="54"/>
      <c r="K11" s="12"/>
      <c r="L11" s="6"/>
      <c r="M11" s="182"/>
      <c r="N11" s="167"/>
      <c r="O11" s="183"/>
      <c r="P11" s="144"/>
      <c r="Q11" s="193"/>
      <c r="R11" s="193"/>
    </row>
    <row r="12" spans="2:18" x14ac:dyDescent="0.2">
      <c r="B12" s="193"/>
      <c r="C12" s="123"/>
      <c r="D12" s="59"/>
      <c r="E12" s="165" t="s">
        <v>174</v>
      </c>
      <c r="F12" s="54"/>
      <c r="G12" s="59"/>
      <c r="H12" s="7"/>
      <c r="I12" s="166" t="s">
        <v>203</v>
      </c>
      <c r="J12" s="56"/>
      <c r="K12" s="12"/>
      <c r="L12" s="6"/>
      <c r="M12" s="6"/>
      <c r="N12" s="165" t="s">
        <v>199</v>
      </c>
      <c r="O12" s="54"/>
      <c r="P12" s="168"/>
      <c r="Q12" s="195"/>
      <c r="R12" s="195"/>
    </row>
    <row r="13" spans="2:18" x14ac:dyDescent="0.2">
      <c r="B13" s="193"/>
      <c r="C13" s="123"/>
      <c r="D13" s="59"/>
      <c r="E13" s="165" t="s">
        <v>359</v>
      </c>
      <c r="F13" s="55"/>
      <c r="G13" s="128" t="s">
        <v>245</v>
      </c>
      <c r="H13" s="7"/>
      <c r="I13" s="166" t="s">
        <v>204</v>
      </c>
      <c r="J13" s="56"/>
      <c r="K13" s="12"/>
      <c r="L13" s="6"/>
      <c r="M13" s="6"/>
      <c r="N13" s="165" t="s">
        <v>258</v>
      </c>
      <c r="O13" s="54"/>
      <c r="P13" s="168"/>
      <c r="Q13" s="195"/>
      <c r="R13" s="195"/>
    </row>
    <row r="14" spans="2:18" x14ac:dyDescent="0.2">
      <c r="B14" s="193"/>
      <c r="C14" s="123"/>
      <c r="D14" s="59"/>
      <c r="E14" s="6"/>
      <c r="F14" s="6"/>
      <c r="G14" s="6"/>
      <c r="H14" s="7"/>
      <c r="I14" s="166" t="s">
        <v>205</v>
      </c>
      <c r="J14" s="54"/>
      <c r="K14" s="12"/>
      <c r="L14" s="6"/>
      <c r="M14" s="6"/>
      <c r="N14" s="165" t="s">
        <v>166</v>
      </c>
      <c r="O14" s="54"/>
      <c r="P14" s="168"/>
      <c r="Q14" s="195"/>
      <c r="R14" s="195"/>
    </row>
    <row r="15" spans="2:18" x14ac:dyDescent="0.2">
      <c r="B15" s="193"/>
      <c r="C15" s="123"/>
      <c r="D15" s="59"/>
      <c r="E15" s="165"/>
      <c r="F15" s="12"/>
      <c r="G15" s="116"/>
      <c r="H15" s="6"/>
      <c r="I15" s="6"/>
      <c r="J15" s="59"/>
      <c r="K15" s="59"/>
      <c r="L15" s="6"/>
      <c r="M15" s="6"/>
      <c r="N15" s="6"/>
      <c r="O15" s="6"/>
      <c r="P15" s="144"/>
      <c r="Q15" s="193"/>
      <c r="R15" s="193"/>
    </row>
    <row r="16" spans="2:18" x14ac:dyDescent="0.2">
      <c r="B16" s="193"/>
      <c r="C16" s="123"/>
      <c r="D16" s="59"/>
      <c r="E16" s="165"/>
      <c r="F16" s="12"/>
      <c r="G16" s="116"/>
      <c r="H16" s="6"/>
      <c r="I16" s="6"/>
      <c r="J16" s="59"/>
      <c r="K16" s="59"/>
      <c r="L16" s="6"/>
      <c r="M16" s="6"/>
      <c r="N16" s="6"/>
      <c r="O16" s="6"/>
      <c r="P16" s="144"/>
      <c r="Q16" s="193"/>
      <c r="R16" s="193"/>
    </row>
    <row r="17" spans="2:18" x14ac:dyDescent="0.2">
      <c r="B17" s="193"/>
      <c r="C17" s="123"/>
      <c r="D17" s="6"/>
      <c r="E17" s="6"/>
      <c r="F17" s="6"/>
      <c r="G17" s="23"/>
      <c r="H17" s="6"/>
      <c r="I17" s="6"/>
      <c r="J17" s="59"/>
      <c r="K17" s="59"/>
      <c r="L17" s="6"/>
      <c r="M17" s="6"/>
      <c r="N17" s="6"/>
      <c r="O17" s="6"/>
      <c r="P17" s="144"/>
      <c r="Q17" s="193"/>
      <c r="R17" s="193"/>
    </row>
    <row r="18" spans="2:18" x14ac:dyDescent="0.2">
      <c r="B18" s="193"/>
      <c r="C18" s="123"/>
      <c r="D18" s="175" t="s">
        <v>250</v>
      </c>
      <c r="E18" s="165"/>
      <c r="F18" s="12"/>
      <c r="G18" s="54"/>
      <c r="H18" s="304" t="s">
        <v>516</v>
      </c>
      <c r="I18" s="6"/>
      <c r="J18" s="59"/>
      <c r="K18" s="59"/>
      <c r="L18" s="6"/>
      <c r="M18" s="170"/>
      <c r="N18" s="6"/>
      <c r="O18" s="198"/>
      <c r="P18" s="144"/>
      <c r="Q18" s="193"/>
      <c r="R18" s="193"/>
    </row>
    <row r="19" spans="2:18" x14ac:dyDescent="0.2">
      <c r="B19" s="193"/>
      <c r="C19" s="123"/>
      <c r="D19" s="169"/>
      <c r="E19" s="165"/>
      <c r="F19" s="12"/>
      <c r="G19" s="12"/>
      <c r="H19" s="107"/>
      <c r="I19" s="6"/>
      <c r="J19" s="59"/>
      <c r="K19" s="59"/>
      <c r="L19" s="6"/>
      <c r="M19" s="170"/>
      <c r="N19" s="6"/>
      <c r="O19" s="198"/>
      <c r="P19" s="144"/>
      <c r="Q19" s="193"/>
      <c r="R19" s="193"/>
    </row>
    <row r="20" spans="2:18" x14ac:dyDescent="0.2">
      <c r="B20" s="193"/>
      <c r="C20" s="123"/>
      <c r="D20" s="169"/>
      <c r="E20" s="165"/>
      <c r="F20" s="12"/>
      <c r="G20" s="12"/>
      <c r="H20" s="107"/>
      <c r="I20" s="6"/>
      <c r="J20" s="59"/>
      <c r="K20" s="59"/>
      <c r="L20" s="6"/>
      <c r="M20" s="170"/>
      <c r="N20" s="6"/>
      <c r="O20" s="198"/>
      <c r="P20" s="144"/>
      <c r="Q20" s="193"/>
    </row>
    <row r="21" spans="2:18" ht="13.5" thickBot="1" x14ac:dyDescent="0.25">
      <c r="B21" s="193"/>
      <c r="C21" s="138"/>
      <c r="D21" s="186"/>
      <c r="E21" s="187"/>
      <c r="F21" s="188"/>
      <c r="G21" s="188"/>
      <c r="H21" s="139"/>
      <c r="I21" s="139"/>
      <c r="J21" s="140"/>
      <c r="K21" s="140"/>
      <c r="L21" s="139"/>
      <c r="M21" s="189"/>
      <c r="N21" s="139"/>
      <c r="O21" s="139"/>
      <c r="P21" s="157"/>
      <c r="Q21" s="193"/>
    </row>
    <row r="26" spans="2:18" x14ac:dyDescent="0.2">
      <c r="C26" s="199" t="s">
        <v>461</v>
      </c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</row>
    <row r="27" spans="2:18" x14ac:dyDescent="0.2"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200"/>
      <c r="O27" s="201" t="s">
        <v>12</v>
      </c>
      <c r="P27" s="201"/>
      <c r="R27" s="202"/>
    </row>
    <row r="28" spans="2:18" x14ac:dyDescent="0.2">
      <c r="C28" s="193"/>
      <c r="D28" s="193" t="s">
        <v>475</v>
      </c>
      <c r="E28" s="193"/>
      <c r="F28" s="193"/>
      <c r="G28" s="193" t="s">
        <v>13</v>
      </c>
      <c r="H28" s="203">
        <f>'Traffic &amp; Accidents'!F11</f>
        <v>0</v>
      </c>
      <c r="I28" s="193"/>
      <c r="J28" s="204" t="s">
        <v>14</v>
      </c>
      <c r="K28" s="203">
        <f>'Traffic &amp; Accidents'!F12</f>
        <v>0</v>
      </c>
      <c r="L28" s="193"/>
      <c r="M28" s="193"/>
      <c r="N28" s="200"/>
      <c r="O28" s="193"/>
      <c r="P28" s="193"/>
      <c r="R28" s="193"/>
    </row>
    <row r="29" spans="2:18" x14ac:dyDescent="0.2"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205"/>
      <c r="N29" s="206"/>
      <c r="O29" s="207" t="s">
        <v>15</v>
      </c>
      <c r="P29" s="207" t="s">
        <v>15</v>
      </c>
      <c r="R29" s="193"/>
    </row>
    <row r="30" spans="2:18" x14ac:dyDescent="0.2">
      <c r="C30" s="193"/>
      <c r="D30" s="193" t="s">
        <v>16</v>
      </c>
      <c r="E30" s="193"/>
      <c r="F30" s="193"/>
      <c r="G30" s="193"/>
      <c r="H30" s="193"/>
      <c r="I30" s="193"/>
      <c r="J30" s="193"/>
      <c r="K30" s="193"/>
      <c r="L30" s="193"/>
      <c r="M30" s="205"/>
      <c r="N30" s="208"/>
      <c r="O30" s="207" t="s">
        <v>17</v>
      </c>
      <c r="P30" s="207" t="s">
        <v>18</v>
      </c>
      <c r="R30" s="193"/>
    </row>
    <row r="31" spans="2:18" x14ac:dyDescent="0.2">
      <c r="C31" s="205"/>
      <c r="D31" s="193" t="s">
        <v>19</v>
      </c>
      <c r="E31" s="193"/>
      <c r="F31" s="193"/>
      <c r="G31" s="193"/>
      <c r="H31" s="193"/>
      <c r="I31" s="193"/>
      <c r="J31" s="193"/>
      <c r="K31" s="193"/>
      <c r="L31" s="193"/>
      <c r="M31" s="205"/>
      <c r="N31" s="193"/>
      <c r="O31" s="209" t="s">
        <v>20</v>
      </c>
      <c r="P31" s="209" t="s">
        <v>20</v>
      </c>
      <c r="R31" s="193"/>
    </row>
    <row r="32" spans="2:18" x14ac:dyDescent="0.2">
      <c r="C32" s="193" t="s">
        <v>21</v>
      </c>
      <c r="D32" s="193"/>
      <c r="E32" s="193"/>
      <c r="F32" s="193"/>
      <c r="G32" s="193"/>
      <c r="H32" s="193"/>
      <c r="I32" s="193"/>
      <c r="J32" s="193"/>
      <c r="K32" s="193"/>
      <c r="L32" s="193"/>
      <c r="M32" s="205"/>
      <c r="N32" s="193"/>
      <c r="O32" s="207"/>
      <c r="P32" s="207"/>
      <c r="R32" s="193"/>
    </row>
    <row r="33" spans="3:18" x14ac:dyDescent="0.2">
      <c r="C33" s="205"/>
      <c r="D33" s="210" t="s">
        <v>17</v>
      </c>
      <c r="E33" s="211" t="s">
        <v>22</v>
      </c>
      <c r="F33" s="211" t="s">
        <v>23</v>
      </c>
      <c r="G33" s="211" t="s">
        <v>24</v>
      </c>
      <c r="H33" s="211" t="s">
        <v>25</v>
      </c>
      <c r="I33" s="211" t="s">
        <v>26</v>
      </c>
      <c r="J33" s="211" t="s">
        <v>27</v>
      </c>
      <c r="K33" s="212" t="s">
        <v>28</v>
      </c>
      <c r="L33" s="205"/>
      <c r="M33" s="205"/>
      <c r="N33" s="193"/>
      <c r="O33" s="207" t="str">
        <f>IF(AND(H28&lt;101,H28&gt;0),E35,O34)</f>
        <v/>
      </c>
      <c r="P33" s="207" t="str">
        <f>IF(AND(K28&lt;11,K28&gt;0),E35,P34)</f>
        <v/>
      </c>
      <c r="R33" s="193"/>
    </row>
    <row r="34" spans="3:18" x14ac:dyDescent="0.2">
      <c r="C34" s="205"/>
      <c r="D34" s="213"/>
      <c r="E34" s="214"/>
      <c r="F34" s="214"/>
      <c r="G34" s="214"/>
      <c r="H34" s="214"/>
      <c r="I34" s="214"/>
      <c r="J34" s="214"/>
      <c r="K34" s="215"/>
      <c r="L34" s="193"/>
      <c r="M34" s="205"/>
      <c r="N34" s="193"/>
      <c r="O34" s="207" t="str">
        <f>IF(AND(H28&lt;201,H28&gt;100),F35,O35)</f>
        <v/>
      </c>
      <c r="P34" s="207" t="str">
        <f>IF(AND(K28&lt;21,K28&gt;10),F35,P35)</f>
        <v/>
      </c>
      <c r="R34" s="193"/>
    </row>
    <row r="35" spans="3:18" x14ac:dyDescent="0.2">
      <c r="C35" s="205"/>
      <c r="D35" s="213" t="s">
        <v>20</v>
      </c>
      <c r="E35" s="214">
        <v>1</v>
      </c>
      <c r="F35" s="214">
        <v>2</v>
      </c>
      <c r="G35" s="214">
        <v>3</v>
      </c>
      <c r="H35" s="214">
        <v>4</v>
      </c>
      <c r="I35" s="214">
        <v>5</v>
      </c>
      <c r="J35" s="214">
        <v>6</v>
      </c>
      <c r="K35" s="215">
        <v>7</v>
      </c>
      <c r="L35" s="193"/>
      <c r="M35" s="205"/>
      <c r="N35" s="193"/>
      <c r="O35" s="207" t="str">
        <f>IF(AND(H28&lt;301,H28&gt;200),G35,O36)</f>
        <v/>
      </c>
      <c r="P35" s="207" t="str">
        <f>IF(AND(K28&lt;31,K28&gt;20),G35,P36)</f>
        <v/>
      </c>
      <c r="R35" s="193"/>
    </row>
    <row r="36" spans="3:18" x14ac:dyDescent="0.2">
      <c r="C36" s="205"/>
      <c r="D36" s="213"/>
      <c r="E36" s="216"/>
      <c r="F36" s="216"/>
      <c r="G36" s="216"/>
      <c r="H36" s="216"/>
      <c r="I36" s="216"/>
      <c r="J36" s="216"/>
      <c r="K36" s="217"/>
      <c r="L36" s="193"/>
      <c r="M36" s="205"/>
      <c r="N36" s="193"/>
      <c r="O36" s="207" t="str">
        <f>IF(AND(H28&lt;451,H28&gt;300),H35,O37)</f>
        <v/>
      </c>
      <c r="P36" s="207" t="str">
        <f>IF(AND(K28&lt;46,K28&gt;30),H35,P37)</f>
        <v/>
      </c>
      <c r="R36" s="193"/>
    </row>
    <row r="37" spans="3:18" x14ac:dyDescent="0.2">
      <c r="C37" s="205"/>
      <c r="D37" s="218" t="s">
        <v>29</v>
      </c>
      <c r="E37" s="219" t="s">
        <v>30</v>
      </c>
      <c r="F37" s="219" t="s">
        <v>31</v>
      </c>
      <c r="G37" s="219" t="s">
        <v>32</v>
      </c>
      <c r="H37" s="219" t="s">
        <v>33</v>
      </c>
      <c r="I37" s="219" t="s">
        <v>34</v>
      </c>
      <c r="J37" s="219" t="s">
        <v>35</v>
      </c>
      <c r="K37" s="220" t="s">
        <v>36</v>
      </c>
      <c r="L37" s="193"/>
      <c r="M37" s="205"/>
      <c r="N37" s="193"/>
      <c r="O37" s="207" t="str">
        <f>IF(AND(H28&lt;601,H28&gt;450),I35,O38)</f>
        <v/>
      </c>
      <c r="P37" s="207" t="str">
        <f>IF(AND(K28&lt;61,K28&gt;45),I35,P38)</f>
        <v/>
      </c>
      <c r="R37" s="193"/>
    </row>
    <row r="38" spans="3:18" ht="13.5" thickBot="1" x14ac:dyDescent="0.25">
      <c r="C38" s="193"/>
      <c r="D38" s="193"/>
      <c r="E38" s="221"/>
      <c r="F38" s="185"/>
      <c r="G38" s="185"/>
      <c r="H38" s="185"/>
      <c r="I38" s="185"/>
      <c r="J38" s="185"/>
      <c r="K38" s="193"/>
      <c r="L38" s="193"/>
      <c r="M38" s="205"/>
      <c r="N38" s="193"/>
      <c r="O38" s="207" t="str">
        <f>IF(AND(H28&lt;751,H28&gt;600),J35,O39)</f>
        <v/>
      </c>
      <c r="P38" s="207" t="str">
        <f>IF(AND(K28&lt;76,K28&gt;60),J35,P39)</f>
        <v/>
      </c>
      <c r="R38" s="193"/>
    </row>
    <row r="39" spans="3:18" ht="13.5" thickBot="1" x14ac:dyDescent="0.25">
      <c r="C39" s="193"/>
      <c r="D39" s="193"/>
      <c r="E39" s="185"/>
      <c r="F39" s="185"/>
      <c r="G39" s="205"/>
      <c r="H39" s="205"/>
      <c r="I39" s="185"/>
      <c r="J39" s="205"/>
      <c r="K39" s="204" t="s">
        <v>37</v>
      </c>
      <c r="L39" s="222" t="str">
        <f>IF(H28&gt;K28*10,O33,P33)</f>
        <v/>
      </c>
      <c r="M39" s="205"/>
      <c r="N39" s="193"/>
      <c r="O39" s="207" t="str">
        <f>IF(H28&gt;750,K35,"")</f>
        <v/>
      </c>
      <c r="P39" s="207" t="str">
        <f>IF(K28&gt;75,K35,"")</f>
        <v/>
      </c>
      <c r="R39" s="193"/>
    </row>
    <row r="40" spans="3:18" x14ac:dyDescent="0.2"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207"/>
      <c r="R40" s="207"/>
    </row>
    <row r="41" spans="3:18" x14ac:dyDescent="0.2">
      <c r="C41" s="193"/>
      <c r="D41" s="199" t="s">
        <v>462</v>
      </c>
      <c r="E41" s="193"/>
      <c r="F41" s="193"/>
      <c r="G41" s="193"/>
      <c r="H41" s="185" t="s">
        <v>2</v>
      </c>
      <c r="I41" s="185" t="s">
        <v>2</v>
      </c>
      <c r="J41" s="193"/>
      <c r="K41" s="193"/>
      <c r="L41" s="193"/>
      <c r="M41" s="193"/>
      <c r="N41" s="193"/>
      <c r="O41" s="193"/>
      <c r="P41" s="193"/>
      <c r="Q41" s="207"/>
      <c r="R41" s="207"/>
    </row>
    <row r="42" spans="3:18" x14ac:dyDescent="0.2">
      <c r="C42" s="193"/>
      <c r="D42" s="193"/>
      <c r="E42" s="204" t="s">
        <v>38</v>
      </c>
      <c r="F42" s="193"/>
      <c r="G42" s="204" t="s">
        <v>39</v>
      </c>
      <c r="H42" s="223" t="s">
        <v>40</v>
      </c>
      <c r="I42" s="223" t="s">
        <v>41</v>
      </c>
      <c r="J42" s="193" t="s">
        <v>42</v>
      </c>
      <c r="K42" s="193"/>
      <c r="L42" s="193"/>
      <c r="M42" s="193"/>
      <c r="N42" s="193"/>
      <c r="O42" s="193"/>
      <c r="P42" s="193"/>
      <c r="Q42" s="207"/>
      <c r="R42" s="207"/>
    </row>
    <row r="43" spans="3:18" x14ac:dyDescent="0.2">
      <c r="C43" s="193"/>
      <c r="D43" s="185"/>
      <c r="E43" s="185"/>
      <c r="F43" s="204" t="s">
        <v>43</v>
      </c>
      <c r="G43" s="203">
        <f>'Traffic &amp; Accidents'!J11</f>
        <v>0</v>
      </c>
      <c r="H43" s="185">
        <v>2</v>
      </c>
      <c r="I43" s="185" t="str">
        <f>IF(G43&lt;&gt;0,2,"")</f>
        <v/>
      </c>
      <c r="J43" s="193"/>
      <c r="K43" s="193"/>
      <c r="L43" s="193"/>
      <c r="M43" s="193"/>
      <c r="N43" s="193"/>
      <c r="O43" s="193"/>
      <c r="P43" s="193"/>
      <c r="Q43" s="207"/>
      <c r="R43" s="200"/>
    </row>
    <row r="44" spans="3:18" x14ac:dyDescent="0.2">
      <c r="C44" s="193"/>
      <c r="D44" s="185"/>
      <c r="E44" s="185"/>
      <c r="F44" s="204" t="s">
        <v>44</v>
      </c>
      <c r="G44" s="203">
        <f>'Traffic &amp; Accidents'!J12</f>
        <v>0</v>
      </c>
      <c r="H44" s="185">
        <v>1</v>
      </c>
      <c r="I44" s="185" t="str">
        <f>IF(G44&lt;&gt;0,1,"")</f>
        <v/>
      </c>
      <c r="J44" s="193"/>
      <c r="K44" s="193"/>
      <c r="L44" s="193"/>
      <c r="M44" s="193"/>
      <c r="N44" s="193"/>
      <c r="O44" s="193"/>
      <c r="P44" s="193"/>
      <c r="Q44" s="207"/>
      <c r="R44" s="200"/>
    </row>
    <row r="45" spans="3:18" x14ac:dyDescent="0.2">
      <c r="C45" s="193"/>
      <c r="D45" s="185"/>
      <c r="E45" s="185"/>
      <c r="F45" s="204" t="s">
        <v>45</v>
      </c>
      <c r="G45" s="203">
        <f>'Traffic &amp; Accidents'!J13</f>
        <v>0</v>
      </c>
      <c r="H45" s="185">
        <v>1</v>
      </c>
      <c r="I45" s="185" t="str">
        <f>IF(G45&lt;&gt;0,1,"")</f>
        <v/>
      </c>
      <c r="J45" s="193"/>
      <c r="K45" s="193"/>
      <c r="L45" s="193"/>
      <c r="M45" s="193"/>
      <c r="N45" s="193"/>
      <c r="O45" s="193"/>
      <c r="P45" s="193"/>
      <c r="Q45" s="224"/>
      <c r="R45" s="207"/>
    </row>
    <row r="46" spans="3:18" x14ac:dyDescent="0.2">
      <c r="C46" s="193"/>
      <c r="D46" s="185"/>
      <c r="E46" s="185"/>
      <c r="F46" s="204" t="s">
        <v>46</v>
      </c>
      <c r="G46" s="203">
        <f>'Traffic &amp; Accidents'!J14</f>
        <v>0</v>
      </c>
      <c r="H46" s="225">
        <v>1</v>
      </c>
      <c r="I46" s="226" t="str">
        <f>IF(G46&lt;&gt;0,1,"")</f>
        <v/>
      </c>
      <c r="J46" s="193"/>
      <c r="K46" s="193"/>
      <c r="L46" s="193"/>
      <c r="M46" s="193"/>
      <c r="N46" s="193"/>
      <c r="O46" s="193"/>
      <c r="P46" s="193"/>
      <c r="Q46" s="204"/>
      <c r="R46" s="185"/>
    </row>
    <row r="47" spans="3:18" ht="13.5" thickBot="1" x14ac:dyDescent="0.25">
      <c r="C47" s="193" t="s">
        <v>47</v>
      </c>
      <c r="D47" s="193"/>
      <c r="E47" s="193"/>
      <c r="F47" s="193"/>
      <c r="G47" s="193"/>
      <c r="H47" s="185">
        <f>SUM(H43:H46)</f>
        <v>5</v>
      </c>
      <c r="I47" s="185">
        <f>SUM(I43:I46)</f>
        <v>0</v>
      </c>
      <c r="J47" s="193"/>
      <c r="K47" s="193"/>
      <c r="L47" s="193"/>
      <c r="M47" s="193"/>
      <c r="N47" s="193"/>
      <c r="O47" s="193"/>
      <c r="P47" s="193"/>
      <c r="Q47" s="204"/>
      <c r="R47" s="185"/>
    </row>
    <row r="48" spans="3:18" ht="13.5" thickBot="1" x14ac:dyDescent="0.25">
      <c r="C48" s="193"/>
      <c r="D48" s="193"/>
      <c r="E48" s="193"/>
      <c r="F48" s="193"/>
      <c r="G48" s="193"/>
      <c r="H48" s="193"/>
      <c r="I48" s="205"/>
      <c r="J48" s="193"/>
      <c r="K48" s="204" t="s">
        <v>48</v>
      </c>
      <c r="L48" s="227">
        <f>I47</f>
        <v>0</v>
      </c>
      <c r="M48" s="193"/>
      <c r="N48" s="193"/>
      <c r="O48" s="193"/>
      <c r="P48" s="193"/>
      <c r="Q48" s="204"/>
      <c r="R48" s="185"/>
    </row>
    <row r="49" spans="3:18" ht="13.5" thickBot="1" x14ac:dyDescent="0.25">
      <c r="C49" s="193" t="s">
        <v>49</v>
      </c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204"/>
      <c r="R49" s="185"/>
    </row>
    <row r="50" spans="3:18" ht="13.5" thickBot="1" x14ac:dyDescent="0.25">
      <c r="C50" s="193" t="s">
        <v>50</v>
      </c>
      <c r="D50" s="193"/>
      <c r="E50" s="193"/>
      <c r="F50" s="193"/>
      <c r="G50" s="193"/>
      <c r="H50" s="193"/>
      <c r="I50" s="205"/>
      <c r="J50" s="205"/>
      <c r="K50" s="204" t="s">
        <v>51</v>
      </c>
      <c r="L50" s="228">
        <f>SUM(L39,L48)</f>
        <v>0</v>
      </c>
      <c r="M50" s="193"/>
      <c r="N50" s="193"/>
      <c r="O50" s="193"/>
      <c r="P50" s="193"/>
      <c r="Q50" s="193"/>
      <c r="R50" s="193"/>
    </row>
    <row r="51" spans="3:18" x14ac:dyDescent="0.2">
      <c r="C51" s="193" t="s">
        <v>50</v>
      </c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85"/>
    </row>
    <row r="52" spans="3:18" x14ac:dyDescent="0.2"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204"/>
      <c r="R52" s="185"/>
    </row>
    <row r="53" spans="3:18" x14ac:dyDescent="0.2">
      <c r="C53" s="193" t="s">
        <v>50</v>
      </c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229"/>
      <c r="O53" s="193"/>
      <c r="P53" s="193"/>
      <c r="Q53" s="204"/>
      <c r="R53" s="185"/>
    </row>
    <row r="54" spans="3:18" x14ac:dyDescent="0.2">
      <c r="C54" s="199" t="s">
        <v>52</v>
      </c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204"/>
      <c r="R54" s="185"/>
    </row>
    <row r="55" spans="3:18" x14ac:dyDescent="0.2">
      <c r="C55" s="193"/>
      <c r="D55" s="193" t="s">
        <v>53</v>
      </c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204"/>
      <c r="R55" s="185"/>
    </row>
    <row r="56" spans="3:18" x14ac:dyDescent="0.2">
      <c r="C56" s="193"/>
      <c r="D56" s="193" t="s">
        <v>54</v>
      </c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85"/>
    </row>
    <row r="57" spans="3:18" x14ac:dyDescent="0.2">
      <c r="C57" s="205"/>
      <c r="D57" s="230"/>
      <c r="E57" s="231"/>
      <c r="F57" s="231"/>
      <c r="G57" s="231"/>
      <c r="H57" s="231"/>
      <c r="I57" s="231"/>
      <c r="J57" s="231"/>
      <c r="K57" s="232"/>
      <c r="L57" s="193"/>
      <c r="M57" s="193"/>
      <c r="N57" s="193"/>
      <c r="O57" s="193"/>
      <c r="P57" s="193"/>
      <c r="Q57" s="193"/>
      <c r="R57" s="193"/>
    </row>
    <row r="58" spans="3:18" x14ac:dyDescent="0.2">
      <c r="C58" s="205"/>
      <c r="D58" s="233"/>
      <c r="E58" s="234" t="s">
        <v>55</v>
      </c>
      <c r="F58" s="234" t="s">
        <v>56</v>
      </c>
      <c r="G58" s="234"/>
      <c r="H58" s="234" t="s">
        <v>57</v>
      </c>
      <c r="I58" s="235"/>
      <c r="J58" s="234" t="s">
        <v>58</v>
      </c>
      <c r="K58" s="236"/>
      <c r="L58" s="193"/>
      <c r="M58" s="193"/>
      <c r="N58" s="193"/>
      <c r="O58" s="193"/>
      <c r="P58" s="193"/>
      <c r="Q58" s="193"/>
      <c r="R58" s="193"/>
    </row>
    <row r="59" spans="3:18" x14ac:dyDescent="0.2">
      <c r="C59" s="205"/>
      <c r="D59" s="237"/>
      <c r="E59" s="193"/>
      <c r="F59" s="185" t="s">
        <v>59</v>
      </c>
      <c r="G59" s="193"/>
      <c r="H59" s="185" t="s">
        <v>59</v>
      </c>
      <c r="I59" s="193"/>
      <c r="J59" s="185" t="s">
        <v>59</v>
      </c>
      <c r="K59" s="236"/>
      <c r="L59" s="193"/>
      <c r="M59" s="193"/>
      <c r="N59" s="238"/>
      <c r="O59" s="193"/>
      <c r="P59" s="193"/>
      <c r="Q59" s="193"/>
      <c r="R59" s="193"/>
    </row>
    <row r="60" spans="3:18" x14ac:dyDescent="0.2">
      <c r="C60" s="205"/>
      <c r="D60" s="239"/>
      <c r="E60" s="238">
        <f ca="1">E61-365</f>
        <v>43638</v>
      </c>
      <c r="F60" s="240"/>
      <c r="G60" s="193"/>
      <c r="H60" s="240"/>
      <c r="I60" s="193"/>
      <c r="J60" s="240"/>
      <c r="K60" s="236"/>
      <c r="L60" s="193"/>
      <c r="M60" s="193"/>
      <c r="N60" s="238"/>
      <c r="O60" s="200"/>
      <c r="P60" s="193"/>
      <c r="Q60" s="193"/>
      <c r="R60" s="193"/>
    </row>
    <row r="61" spans="3:18" x14ac:dyDescent="0.2">
      <c r="C61" s="205"/>
      <c r="D61" s="239"/>
      <c r="E61" s="238">
        <f ca="1">E62-365</f>
        <v>44003</v>
      </c>
      <c r="F61" s="241"/>
      <c r="G61" s="193"/>
      <c r="H61" s="241"/>
      <c r="I61" s="193"/>
      <c r="J61" s="241"/>
      <c r="K61" s="236"/>
      <c r="L61" s="193"/>
      <c r="M61" s="193"/>
      <c r="N61" s="238"/>
      <c r="O61" s="200"/>
      <c r="P61" s="193"/>
      <c r="Q61" s="193"/>
      <c r="R61" s="204"/>
    </row>
    <row r="62" spans="3:18" x14ac:dyDescent="0.2">
      <c r="C62" s="205"/>
      <c r="D62" s="239"/>
      <c r="E62" s="238">
        <f ca="1">(TODAY()-365)</f>
        <v>44368</v>
      </c>
      <c r="F62" s="241">
        <v>1</v>
      </c>
      <c r="G62" s="193"/>
      <c r="H62" s="241"/>
      <c r="I62" s="193"/>
      <c r="J62" s="241"/>
      <c r="K62" s="236"/>
      <c r="L62" s="193"/>
      <c r="M62" s="193"/>
      <c r="N62" s="193"/>
      <c r="O62" s="193"/>
      <c r="P62" s="193"/>
      <c r="Q62" s="193"/>
      <c r="R62" s="242"/>
    </row>
    <row r="63" spans="3:18" x14ac:dyDescent="0.2">
      <c r="C63" s="205"/>
      <c r="D63" s="233" t="s">
        <v>60</v>
      </c>
      <c r="E63" s="193"/>
      <c r="F63" s="193"/>
      <c r="G63" s="193"/>
      <c r="H63" s="193"/>
      <c r="I63" s="193"/>
      <c r="J63" s="193"/>
      <c r="K63" s="236"/>
      <c r="L63" s="193"/>
      <c r="M63" s="193"/>
      <c r="N63" s="193"/>
      <c r="O63" s="193"/>
      <c r="P63" s="193"/>
      <c r="Q63" s="193"/>
      <c r="R63" s="193"/>
    </row>
    <row r="64" spans="3:18" x14ac:dyDescent="0.2">
      <c r="C64" s="205"/>
      <c r="D64" s="243"/>
      <c r="E64" s="185" t="s">
        <v>61</v>
      </c>
      <c r="F64" s="203">
        <f>'Traffic &amp; Accidents'!O12</f>
        <v>0</v>
      </c>
      <c r="G64" s="185"/>
      <c r="H64" s="203">
        <f>'Traffic &amp; Accidents'!O13</f>
        <v>0</v>
      </c>
      <c r="I64" s="185"/>
      <c r="J64" s="203">
        <f>'Traffic &amp; Accidents'!O14</f>
        <v>0</v>
      </c>
      <c r="K64" s="236"/>
      <c r="L64" s="193"/>
      <c r="M64" s="193"/>
      <c r="N64" s="193"/>
      <c r="O64" s="193"/>
      <c r="P64" s="193"/>
      <c r="Q64" s="193"/>
      <c r="R64" s="193"/>
    </row>
    <row r="65" spans="3:18" x14ac:dyDescent="0.2">
      <c r="C65" s="205"/>
      <c r="D65" s="233"/>
      <c r="E65" s="193"/>
      <c r="F65" s="193"/>
      <c r="G65" s="193"/>
      <c r="H65" s="193"/>
      <c r="I65" s="193"/>
      <c r="J65" s="193"/>
      <c r="K65" s="236"/>
      <c r="L65" s="193"/>
      <c r="M65" s="193"/>
      <c r="N65" s="193"/>
      <c r="O65" s="193"/>
      <c r="P65" s="193"/>
      <c r="Q65" s="193"/>
      <c r="R65" s="204"/>
    </row>
    <row r="66" spans="3:18" x14ac:dyDescent="0.2">
      <c r="C66" s="205"/>
      <c r="D66" s="244"/>
      <c r="E66" s="245" t="s">
        <v>62</v>
      </c>
      <c r="F66" s="226" t="s">
        <v>63</v>
      </c>
      <c r="G66" s="226"/>
      <c r="H66" s="226" t="s">
        <v>482</v>
      </c>
      <c r="I66" s="226"/>
      <c r="J66" s="226" t="s">
        <v>483</v>
      </c>
      <c r="K66" s="246"/>
      <c r="L66" s="193"/>
      <c r="M66" s="193"/>
      <c r="N66" s="193"/>
      <c r="O66" s="193"/>
      <c r="P66" s="193"/>
      <c r="Q66" s="193"/>
      <c r="R66" s="204"/>
    </row>
    <row r="67" spans="3:18" x14ac:dyDescent="0.2">
      <c r="C67" s="205"/>
      <c r="D67" s="193" t="s">
        <v>64</v>
      </c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204"/>
    </row>
    <row r="68" spans="3:18" x14ac:dyDescent="0.2">
      <c r="C68" s="205"/>
      <c r="D68" s="193"/>
      <c r="E68" s="185" t="s">
        <v>65</v>
      </c>
      <c r="F68" s="240">
        <f>F64*3</f>
        <v>0</v>
      </c>
      <c r="G68" s="185" t="s">
        <v>66</v>
      </c>
      <c r="H68" s="240">
        <f>H64*6</f>
        <v>0</v>
      </c>
      <c r="I68" s="185" t="s">
        <v>66</v>
      </c>
      <c r="J68" s="240">
        <f>J64*15</f>
        <v>0</v>
      </c>
      <c r="K68" s="185" t="s">
        <v>65</v>
      </c>
      <c r="L68" s="247">
        <f>SUM(F68,H68,J68)</f>
        <v>0</v>
      </c>
      <c r="M68" s="193"/>
      <c r="N68" s="193"/>
      <c r="O68" s="193"/>
      <c r="P68" s="193"/>
      <c r="Q68" s="193"/>
      <c r="R68" s="193"/>
    </row>
    <row r="69" spans="3:18" x14ac:dyDescent="0.2">
      <c r="C69" s="193"/>
      <c r="D69" s="193"/>
      <c r="E69" s="193"/>
      <c r="F69" s="193"/>
      <c r="G69" s="193"/>
      <c r="H69" s="193"/>
      <c r="I69" s="193"/>
      <c r="J69" s="193"/>
      <c r="K69" s="205"/>
      <c r="L69" s="185" t="s">
        <v>67</v>
      </c>
      <c r="M69" s="193"/>
      <c r="N69" s="193"/>
      <c r="O69" s="193"/>
      <c r="P69" s="193"/>
      <c r="Q69" s="193"/>
      <c r="R69" s="193"/>
    </row>
    <row r="70" spans="3:18" x14ac:dyDescent="0.2"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</row>
    <row r="71" spans="3:18" x14ac:dyDescent="0.2"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</row>
    <row r="72" spans="3:18" x14ac:dyDescent="0.2">
      <c r="C72" s="205"/>
      <c r="D72" s="193"/>
      <c r="E72" s="193"/>
      <c r="F72" s="193" t="s">
        <v>68</v>
      </c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</row>
    <row r="73" spans="3:18" x14ac:dyDescent="0.2">
      <c r="C73" s="205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</row>
    <row r="74" spans="3:18" x14ac:dyDescent="0.2">
      <c r="C74" s="205"/>
      <c r="D74" s="193" t="s">
        <v>69</v>
      </c>
      <c r="E74" s="193"/>
      <c r="F74" s="185">
        <v>0.01</v>
      </c>
      <c r="G74" s="185">
        <v>0.02</v>
      </c>
      <c r="H74" s="185">
        <v>0.04</v>
      </c>
      <c r="I74" s="185">
        <v>0.06</v>
      </c>
      <c r="J74" s="185">
        <v>0.08</v>
      </c>
      <c r="K74" s="185">
        <v>0.1</v>
      </c>
      <c r="L74" s="193"/>
      <c r="M74" s="193"/>
      <c r="N74" s="193"/>
      <c r="O74" s="193"/>
      <c r="P74" s="193"/>
      <c r="Q74" s="193"/>
      <c r="R74" s="193"/>
    </row>
    <row r="75" spans="3:18" x14ac:dyDescent="0.2">
      <c r="C75" s="205"/>
      <c r="D75" s="193" t="s">
        <v>70</v>
      </c>
      <c r="E75" s="193"/>
      <c r="F75" s="185"/>
      <c r="G75" s="185"/>
      <c r="H75" s="185"/>
      <c r="I75" s="185"/>
      <c r="J75" s="185"/>
      <c r="K75" s="185"/>
      <c r="L75" s="193"/>
      <c r="M75" s="193"/>
      <c r="N75" s="193"/>
      <c r="O75" s="193"/>
      <c r="P75" s="193"/>
      <c r="Q75" s="193"/>
      <c r="R75" s="193"/>
    </row>
    <row r="76" spans="3:18" x14ac:dyDescent="0.2">
      <c r="C76" s="205"/>
      <c r="D76" s="193" t="s">
        <v>71</v>
      </c>
      <c r="E76" s="193"/>
      <c r="F76" s="185">
        <v>1</v>
      </c>
      <c r="G76" s="185">
        <v>2</v>
      </c>
      <c r="H76" s="185">
        <v>4</v>
      </c>
      <c r="I76" s="185">
        <v>6</v>
      </c>
      <c r="J76" s="185">
        <v>8</v>
      </c>
      <c r="K76" s="185">
        <v>10</v>
      </c>
      <c r="L76" s="193"/>
      <c r="M76" s="193"/>
      <c r="N76" s="193"/>
      <c r="O76" s="193"/>
      <c r="P76" s="193"/>
      <c r="Q76" s="193"/>
      <c r="R76" s="193"/>
    </row>
    <row r="77" spans="3:18" x14ac:dyDescent="0.2">
      <c r="C77" s="205"/>
      <c r="D77" s="193" t="s">
        <v>70</v>
      </c>
      <c r="E77" s="193"/>
      <c r="F77" s="185"/>
      <c r="G77" s="185"/>
      <c r="H77" s="185"/>
      <c r="I77" s="185"/>
      <c r="J77" s="185"/>
      <c r="K77" s="185"/>
      <c r="L77" s="193"/>
      <c r="M77" s="193"/>
      <c r="N77" s="193"/>
      <c r="O77" s="193"/>
      <c r="P77" s="193"/>
      <c r="Q77" s="193"/>
      <c r="R77" s="193"/>
    </row>
    <row r="78" spans="3:18" x14ac:dyDescent="0.2">
      <c r="C78" s="205"/>
      <c r="D78" s="193" t="s">
        <v>72</v>
      </c>
      <c r="E78" s="193"/>
      <c r="F78" s="185">
        <v>0</v>
      </c>
      <c r="G78" s="185">
        <v>2</v>
      </c>
      <c r="H78" s="185">
        <v>4</v>
      </c>
      <c r="I78" s="185">
        <v>6</v>
      </c>
      <c r="J78" s="185">
        <v>8</v>
      </c>
      <c r="K78" s="185">
        <v>10</v>
      </c>
      <c r="L78" s="193"/>
      <c r="M78" s="193"/>
      <c r="N78" s="193"/>
      <c r="O78" s="193"/>
      <c r="P78" s="193"/>
      <c r="Q78" s="193"/>
      <c r="R78" s="193"/>
    </row>
    <row r="79" spans="3:18" x14ac:dyDescent="0.2">
      <c r="C79" s="193"/>
      <c r="D79" s="193"/>
      <c r="E79" s="193" t="s">
        <v>3</v>
      </c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</row>
    <row r="80" spans="3:18" x14ac:dyDescent="0.2">
      <c r="C80" s="193" t="s">
        <v>3</v>
      </c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</row>
    <row r="81" spans="3:18" x14ac:dyDescent="0.2">
      <c r="C81" s="193"/>
      <c r="D81" s="193" t="s">
        <v>73</v>
      </c>
      <c r="E81" s="193"/>
      <c r="F81" s="193" t="s">
        <v>74</v>
      </c>
      <c r="G81" s="193"/>
      <c r="H81" s="193"/>
      <c r="I81" s="204">
        <f>L68</f>
        <v>0</v>
      </c>
      <c r="J81" s="193">
        <f>H28</f>
        <v>0</v>
      </c>
      <c r="K81" s="185" t="s">
        <v>65</v>
      </c>
      <c r="L81" s="240">
        <f>IF(H28&lt;&gt;0,L68/H28,0)</f>
        <v>0</v>
      </c>
      <c r="M81" s="193"/>
      <c r="N81" s="193"/>
      <c r="O81" s="248"/>
      <c r="P81" s="193"/>
      <c r="Q81" s="193"/>
      <c r="R81" s="193"/>
    </row>
    <row r="82" spans="3:18" x14ac:dyDescent="0.2">
      <c r="C82" s="193"/>
      <c r="D82" s="193"/>
      <c r="E82" s="193"/>
      <c r="F82" s="193"/>
      <c r="G82" s="193"/>
      <c r="H82" s="193"/>
      <c r="I82" s="193" t="s">
        <v>463</v>
      </c>
      <c r="J82" s="204" t="s">
        <v>215</v>
      </c>
      <c r="K82" s="193"/>
      <c r="L82" s="193"/>
      <c r="M82" s="193"/>
      <c r="N82" s="193"/>
      <c r="O82" s="193"/>
      <c r="P82" s="193"/>
      <c r="Q82" s="193"/>
      <c r="R82" s="193"/>
    </row>
    <row r="83" spans="3:18" ht="13.5" thickBot="1" x14ac:dyDescent="0.25"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</row>
    <row r="84" spans="3:18" ht="13.5" thickBot="1" x14ac:dyDescent="0.25">
      <c r="C84" s="193"/>
      <c r="D84" s="193"/>
      <c r="E84" s="193"/>
      <c r="F84" s="193"/>
      <c r="G84" s="193"/>
      <c r="H84" s="205"/>
      <c r="I84" s="193"/>
      <c r="J84" s="193"/>
      <c r="K84" s="204" t="s">
        <v>75</v>
      </c>
      <c r="L84" s="249">
        <f>IF(L81*100&gt;10,10,L81*100)</f>
        <v>0</v>
      </c>
      <c r="M84" s="193"/>
      <c r="N84" s="193"/>
      <c r="O84" s="193"/>
      <c r="P84" s="193"/>
      <c r="Q84" s="193"/>
      <c r="R84" s="193"/>
    </row>
  </sheetData>
  <sheetProtection password="EC65" sheet="1" selectLockedCells="1"/>
  <mergeCells count="2">
    <mergeCell ref="M10:O10"/>
    <mergeCell ref="M8:O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38"/>
  <sheetViews>
    <sheetView showGridLines="0" workbookViewId="0">
      <selection activeCell="J24" sqref="J24"/>
    </sheetView>
  </sheetViews>
  <sheetFormatPr defaultColWidth="7.7109375" defaultRowHeight="12.75" x14ac:dyDescent="0.2"/>
  <cols>
    <col min="1" max="16384" width="7.7109375" style="196"/>
  </cols>
  <sheetData>
    <row r="2" spans="1:14" ht="13.5" thickBot="1" x14ac:dyDescent="0.25"/>
    <row r="3" spans="1:14" x14ac:dyDescent="0.2">
      <c r="A3" s="193"/>
      <c r="B3" s="279"/>
      <c r="C3" s="159"/>
      <c r="D3" s="159"/>
      <c r="E3" s="159"/>
      <c r="F3" s="159"/>
      <c r="G3" s="159"/>
      <c r="H3" s="159"/>
      <c r="I3" s="121"/>
      <c r="J3" s="121"/>
      <c r="K3" s="250"/>
      <c r="L3" s="141"/>
      <c r="M3" s="193"/>
      <c r="N3" s="193"/>
    </row>
    <row r="4" spans="1:14" x14ac:dyDescent="0.2">
      <c r="A4" s="193"/>
      <c r="B4" s="280" t="s">
        <v>365</v>
      </c>
      <c r="C4" s="102"/>
      <c r="D4" s="102"/>
      <c r="E4" s="59"/>
      <c r="F4" s="59"/>
      <c r="G4" s="59"/>
      <c r="H4" s="59"/>
      <c r="I4" s="171" t="s">
        <v>366</v>
      </c>
      <c r="J4" s="581"/>
      <c r="K4" s="582"/>
      <c r="L4" s="136"/>
    </row>
    <row r="5" spans="1:14" x14ac:dyDescent="0.2">
      <c r="A5" s="193"/>
      <c r="B5" s="281"/>
      <c r="C5" s="59"/>
      <c r="D5" s="59"/>
      <c r="E5" s="12"/>
      <c r="F5" s="59"/>
      <c r="G5" s="59"/>
      <c r="H5" s="59"/>
      <c r="I5" s="27" t="s">
        <v>254</v>
      </c>
      <c r="J5" s="6" t="s">
        <v>255</v>
      </c>
      <c r="K5" s="72"/>
      <c r="L5" s="136"/>
    </row>
    <row r="6" spans="1:14" x14ac:dyDescent="0.2">
      <c r="A6" s="193"/>
      <c r="B6" s="281"/>
      <c r="C6" s="59"/>
      <c r="D6" s="59"/>
      <c r="E6" s="12"/>
      <c r="F6" s="59"/>
      <c r="G6" s="59"/>
      <c r="H6" s="59"/>
      <c r="I6" s="27" t="s">
        <v>508</v>
      </c>
      <c r="J6" s="6" t="s">
        <v>256</v>
      </c>
      <c r="K6" s="72"/>
      <c r="L6" s="136"/>
    </row>
    <row r="7" spans="1:14" x14ac:dyDescent="0.2">
      <c r="A7" s="193"/>
      <c r="B7" s="281"/>
      <c r="C7" s="291" t="s">
        <v>367</v>
      </c>
      <c r="D7" s="297" t="s">
        <v>507</v>
      </c>
      <c r="E7" s="290"/>
      <c r="F7" s="292"/>
      <c r="G7" s="292"/>
      <c r="H7" s="290"/>
      <c r="I7" s="290"/>
      <c r="J7" s="6"/>
      <c r="K7" s="59"/>
      <c r="L7" s="136"/>
    </row>
    <row r="8" spans="1:14" x14ac:dyDescent="0.2">
      <c r="A8" s="193"/>
      <c r="B8" s="281"/>
      <c r="C8" s="291"/>
      <c r="D8" s="295"/>
      <c r="E8" s="290"/>
      <c r="F8" s="583" t="s">
        <v>241</v>
      </c>
      <c r="G8" s="583"/>
      <c r="H8" s="290"/>
      <c r="I8" s="290"/>
      <c r="J8" s="6"/>
      <c r="K8" s="59"/>
      <c r="L8" s="136"/>
    </row>
    <row r="9" spans="1:14" x14ac:dyDescent="0.2">
      <c r="A9" s="193"/>
      <c r="B9" s="282"/>
      <c r="C9" s="290"/>
      <c r="D9" s="107" t="s">
        <v>502</v>
      </c>
      <c r="E9" s="292"/>
      <c r="F9" s="296"/>
      <c r="G9" s="296"/>
      <c r="H9" s="107" t="s">
        <v>503</v>
      </c>
      <c r="I9" s="293"/>
      <c r="J9" s="6"/>
      <c r="K9" s="15"/>
      <c r="L9" s="136"/>
    </row>
    <row r="10" spans="1:14" x14ac:dyDescent="0.2">
      <c r="A10" s="193"/>
      <c r="B10" s="584" t="s">
        <v>498</v>
      </c>
      <c r="C10" s="585"/>
      <c r="D10" s="54"/>
      <c r="E10" s="173"/>
      <c r="F10" s="82"/>
      <c r="G10" s="290"/>
      <c r="H10" s="54"/>
      <c r="I10" s="586" t="s">
        <v>498</v>
      </c>
      <c r="J10" s="578"/>
      <c r="K10" s="59"/>
      <c r="L10" s="136"/>
    </row>
    <row r="11" spans="1:14" x14ac:dyDescent="0.2">
      <c r="A11" s="193"/>
      <c r="B11" s="282"/>
      <c r="C11" s="171"/>
      <c r="D11" s="82"/>
      <c r="E11" s="173"/>
      <c r="F11" s="82"/>
      <c r="G11" s="82"/>
      <c r="H11" s="59"/>
      <c r="I11" s="59"/>
      <c r="J11" s="6"/>
      <c r="K11" s="59"/>
      <c r="L11" s="136"/>
    </row>
    <row r="12" spans="1:14" x14ac:dyDescent="0.2">
      <c r="A12" s="193"/>
      <c r="B12" s="282"/>
      <c r="C12" s="171"/>
      <c r="D12" s="82"/>
      <c r="E12" s="173"/>
      <c r="F12" s="82"/>
      <c r="G12" s="82"/>
      <c r="H12" s="59"/>
      <c r="I12" s="59"/>
      <c r="J12" s="6"/>
      <c r="K12" s="59"/>
      <c r="L12" s="136"/>
    </row>
    <row r="13" spans="1:14" x14ac:dyDescent="0.2">
      <c r="A13" s="193"/>
      <c r="B13" s="282"/>
      <c r="C13" s="298" t="s">
        <v>510</v>
      </c>
      <c r="D13" s="298"/>
      <c r="E13" s="173"/>
      <c r="F13" s="82"/>
      <c r="G13" s="82"/>
      <c r="H13" s="59"/>
      <c r="I13" s="59"/>
      <c r="J13" s="6"/>
      <c r="K13" s="59"/>
      <c r="L13" s="136"/>
    </row>
    <row r="14" spans="1:14" x14ac:dyDescent="0.2">
      <c r="A14" s="193"/>
      <c r="B14" s="282"/>
      <c r="C14" s="171"/>
      <c r="D14" s="82"/>
      <c r="E14" s="173"/>
      <c r="F14" s="82"/>
      <c r="G14" s="82"/>
      <c r="H14" s="59"/>
      <c r="I14" s="59"/>
      <c r="J14" s="6"/>
      <c r="K14" s="59"/>
      <c r="L14" s="136"/>
    </row>
    <row r="15" spans="1:14" x14ac:dyDescent="0.2">
      <c r="A15" s="193"/>
      <c r="B15" s="294"/>
      <c r="C15" s="291" t="s">
        <v>504</v>
      </c>
      <c r="D15" s="297" t="s">
        <v>506</v>
      </c>
      <c r="E15" s="59"/>
      <c r="F15" s="6"/>
      <c r="G15" s="23"/>
      <c r="H15" s="6"/>
      <c r="I15" s="174" t="s">
        <v>368</v>
      </c>
      <c r="J15" s="59"/>
      <c r="K15" s="59"/>
      <c r="L15" s="136"/>
    </row>
    <row r="16" spans="1:14" x14ac:dyDescent="0.2">
      <c r="A16" s="193"/>
      <c r="B16" s="294"/>
      <c r="C16" s="59" t="s">
        <v>505</v>
      </c>
      <c r="D16" s="59"/>
      <c r="E16" s="59"/>
      <c r="F16" s="6"/>
      <c r="G16" s="6"/>
      <c r="H16" s="6"/>
      <c r="I16" s="174"/>
      <c r="J16" s="297" t="s">
        <v>506</v>
      </c>
      <c r="K16" s="59"/>
      <c r="L16" s="136"/>
    </row>
    <row r="17" spans="1:14" x14ac:dyDescent="0.2">
      <c r="A17" s="193"/>
      <c r="B17" s="294"/>
      <c r="C17" s="291"/>
      <c r="D17" s="59"/>
      <c r="E17" s="59"/>
      <c r="F17" s="6"/>
      <c r="G17" s="6"/>
      <c r="H17" s="6"/>
      <c r="I17" s="174"/>
      <c r="J17" s="59"/>
      <c r="K17" s="59"/>
      <c r="L17" s="136"/>
    </row>
    <row r="18" spans="1:14" x14ac:dyDescent="0.2">
      <c r="A18" s="193"/>
      <c r="B18" s="123"/>
      <c r="C18" s="173"/>
      <c r="D18" s="300" t="s">
        <v>513</v>
      </c>
      <c r="E18" s="59"/>
      <c r="F18" s="6"/>
      <c r="G18" s="6"/>
      <c r="H18" s="83"/>
      <c r="I18" s="173"/>
      <c r="J18" s="6"/>
      <c r="K18" s="59"/>
      <c r="L18" s="136"/>
    </row>
    <row r="19" spans="1:14" x14ac:dyDescent="0.2">
      <c r="A19" s="193"/>
      <c r="B19" s="283"/>
      <c r="C19" s="131" t="s">
        <v>20</v>
      </c>
      <c r="D19" s="301" t="s">
        <v>512</v>
      </c>
      <c r="E19" s="59"/>
      <c r="F19" s="578" t="s">
        <v>509</v>
      </c>
      <c r="G19" s="578"/>
      <c r="H19" s="6"/>
      <c r="I19" s="6"/>
      <c r="J19" s="286" t="s">
        <v>513</v>
      </c>
      <c r="K19" s="59"/>
      <c r="L19" s="136"/>
    </row>
    <row r="20" spans="1:14" x14ac:dyDescent="0.2">
      <c r="A20" s="193"/>
      <c r="B20" s="284" t="str">
        <f>IF(D20="","",1)</f>
        <v/>
      </c>
      <c r="C20" s="33" t="str">
        <f>IF(AND(H10&lt;&gt;0,D20&lt;&gt;0),1,"")</f>
        <v/>
      </c>
      <c r="D20" s="299"/>
      <c r="E20" s="128" t="s">
        <v>369</v>
      </c>
      <c r="F20" s="42" t="s">
        <v>304</v>
      </c>
      <c r="G20" s="42"/>
      <c r="H20" s="6"/>
      <c r="I20" s="176" t="s">
        <v>222</v>
      </c>
      <c r="J20" s="301" t="s">
        <v>511</v>
      </c>
      <c r="K20" s="131" t="s">
        <v>115</v>
      </c>
      <c r="L20" s="136"/>
    </row>
    <row r="21" spans="1:14" x14ac:dyDescent="0.2">
      <c r="A21" s="193"/>
      <c r="B21" s="284" t="str">
        <f>IF(D21="","",1)</f>
        <v/>
      </c>
      <c r="C21" s="33" t="str">
        <f>IF(AND(H10&lt;&gt;0,D21&lt;&gt;0),2,"")</f>
        <v/>
      </c>
      <c r="D21" s="57"/>
      <c r="E21" s="42" t="s">
        <v>300</v>
      </c>
      <c r="F21" s="42" t="s">
        <v>305</v>
      </c>
      <c r="G21" s="42"/>
      <c r="H21" s="6"/>
      <c r="I21" s="94" t="s">
        <v>224</v>
      </c>
      <c r="J21" s="57"/>
      <c r="K21" s="126" t="str">
        <f>IF(AND(H10&lt;&gt;0,J21&lt;&gt;0),2,"")</f>
        <v/>
      </c>
      <c r="L21" s="177" t="str">
        <f>IF(K21="","",1)</f>
        <v/>
      </c>
      <c r="M21" s="288"/>
      <c r="N21" s="288"/>
    </row>
    <row r="22" spans="1:14" x14ac:dyDescent="0.2">
      <c r="A22" s="193"/>
      <c r="B22" s="284" t="str">
        <f>IF(D22="","",1)</f>
        <v/>
      </c>
      <c r="C22" s="33" t="str">
        <f>IF(AND(H10&lt;&gt;0,D22&lt;&gt;0),3,"")</f>
        <v/>
      </c>
      <c r="D22" s="57"/>
      <c r="E22" s="128" t="s">
        <v>370</v>
      </c>
      <c r="F22" s="42" t="s">
        <v>306</v>
      </c>
      <c r="G22" s="42"/>
      <c r="H22" s="6"/>
      <c r="I22" s="94" t="s">
        <v>225</v>
      </c>
      <c r="J22" s="57"/>
      <c r="K22" s="126" t="str">
        <f>IF(AND(H10&lt;&gt;0,J22&lt;&gt;0),4,"")</f>
        <v/>
      </c>
      <c r="L22" s="177" t="str">
        <f>IF(K22="","",1)</f>
        <v/>
      </c>
      <c r="M22" s="288"/>
      <c r="N22" s="288"/>
    </row>
    <row r="23" spans="1:14" x14ac:dyDescent="0.2">
      <c r="A23" s="193"/>
      <c r="B23" s="284" t="str">
        <f>IF(D23="","",1)</f>
        <v/>
      </c>
      <c r="C23" s="33" t="str">
        <f>IF(AND(H10&lt;&gt;0,D23&lt;&gt;0),4,"")</f>
        <v/>
      </c>
      <c r="D23" s="57"/>
      <c r="E23" s="128" t="s">
        <v>301</v>
      </c>
      <c r="F23" s="42" t="s">
        <v>307</v>
      </c>
      <c r="G23" s="42"/>
      <c r="H23" s="6"/>
      <c r="I23" s="94" t="s">
        <v>226</v>
      </c>
      <c r="J23" s="57"/>
      <c r="K23" s="126" t="str">
        <f>IF(AND(H10&lt;&gt;0,J23&lt;&gt;0),6,"")</f>
        <v/>
      </c>
      <c r="L23" s="177" t="str">
        <f>IF(K23="","",1)</f>
        <v/>
      </c>
      <c r="M23" s="288"/>
      <c r="N23" s="288"/>
    </row>
    <row r="24" spans="1:14" x14ac:dyDescent="0.2">
      <c r="A24" s="193"/>
      <c r="B24" s="284" t="str">
        <f>IF(D24="","",1)</f>
        <v/>
      </c>
      <c r="C24" s="33" t="str">
        <f>IF(AND(H10&lt;&gt;0,D24&lt;&gt;0),5,"")</f>
        <v/>
      </c>
      <c r="D24" s="299"/>
      <c r="E24" s="128" t="s">
        <v>302</v>
      </c>
      <c r="F24" s="42" t="s">
        <v>308</v>
      </c>
      <c r="G24" s="42"/>
      <c r="H24" s="59"/>
      <c r="I24" s="94" t="s">
        <v>372</v>
      </c>
      <c r="J24" s="299"/>
      <c r="K24" s="126" t="str">
        <f>IF(AND(H10&lt;&gt;0,J24&lt;&gt;0),8,"")</f>
        <v/>
      </c>
      <c r="L24" s="177" t="str">
        <f>IF(K24="","",1)</f>
        <v/>
      </c>
      <c r="M24" s="288"/>
      <c r="N24" s="288"/>
    </row>
    <row r="25" spans="1:14" ht="13.5" thickBot="1" x14ac:dyDescent="0.25">
      <c r="A25" s="193"/>
      <c r="B25" s="285">
        <f>SUM(B20:B24)</f>
        <v>0</v>
      </c>
      <c r="C25" s="178">
        <f>IF(B25&gt;1,0,SUM(C20:C24))</f>
        <v>0</v>
      </c>
      <c r="D25" s="179"/>
      <c r="E25" s="140"/>
      <c r="F25" s="139"/>
      <c r="G25" s="139"/>
      <c r="H25" s="139"/>
      <c r="I25" s="140"/>
      <c r="J25" s="140"/>
      <c r="K25" s="178">
        <f>IF(L25&gt;1,0,SUM(K21:K24))</f>
        <v>0</v>
      </c>
      <c r="L25" s="180">
        <f>SUM(L22:L24)</f>
        <v>0</v>
      </c>
      <c r="M25" s="288"/>
      <c r="N25" s="288"/>
    </row>
    <row r="29" spans="1:14" ht="13.5" thickBot="1" x14ac:dyDescent="0.25"/>
    <row r="30" spans="1:14" ht="12.75" customHeight="1" x14ac:dyDescent="0.45">
      <c r="B30" s="475"/>
      <c r="C30" s="476"/>
      <c r="D30" s="476"/>
      <c r="E30" s="476"/>
      <c r="F30" s="476"/>
      <c r="G30" s="476"/>
      <c r="H30" s="476"/>
      <c r="I30" s="476"/>
      <c r="J30" s="477"/>
      <c r="K30" s="477"/>
      <c r="L30" s="478"/>
    </row>
    <row r="31" spans="1:14" ht="12.75" customHeight="1" x14ac:dyDescent="0.45">
      <c r="A31" s="577"/>
      <c r="B31" s="479" t="s">
        <v>497</v>
      </c>
      <c r="C31" s="480"/>
      <c r="D31" s="480"/>
      <c r="E31" s="480"/>
      <c r="F31" s="480"/>
      <c r="G31" s="480"/>
      <c r="H31" s="480"/>
      <c r="I31" s="481"/>
      <c r="J31" s="579" t="s">
        <v>485</v>
      </c>
      <c r="K31" s="579"/>
      <c r="L31" s="482"/>
    </row>
    <row r="32" spans="1:14" ht="12.75" customHeight="1" x14ac:dyDescent="0.45">
      <c r="A32" s="577"/>
      <c r="B32" s="479" t="s">
        <v>499</v>
      </c>
      <c r="C32" s="483"/>
      <c r="D32" s="483"/>
      <c r="E32" s="483"/>
      <c r="F32" s="483"/>
      <c r="G32" s="483"/>
      <c r="H32" s="484"/>
      <c r="I32" s="485"/>
      <c r="J32" s="579"/>
      <c r="K32" s="579"/>
      <c r="L32" s="486"/>
    </row>
    <row r="33" spans="1:12" ht="12.75" customHeight="1" x14ac:dyDescent="0.45">
      <c r="A33" s="577"/>
      <c r="B33" s="479"/>
      <c r="C33" s="483"/>
      <c r="D33" s="483"/>
      <c r="E33" s="483"/>
      <c r="F33" s="483"/>
      <c r="G33" s="483"/>
      <c r="H33" s="484"/>
      <c r="I33" s="485"/>
      <c r="J33" s="485"/>
      <c r="K33" s="485"/>
      <c r="L33" s="486"/>
    </row>
    <row r="34" spans="1:12" ht="12.75" customHeight="1" x14ac:dyDescent="0.2">
      <c r="A34" s="577"/>
      <c r="B34" s="487" t="s">
        <v>486</v>
      </c>
      <c r="C34" s="488"/>
      <c r="D34" s="488"/>
      <c r="E34" s="488"/>
      <c r="F34" s="488"/>
      <c r="G34" s="587" t="s">
        <v>489</v>
      </c>
      <c r="H34" s="587"/>
      <c r="I34" s="587"/>
      <c r="J34" s="587"/>
      <c r="K34" s="480"/>
      <c r="L34" s="489"/>
    </row>
    <row r="35" spans="1:12" ht="12.75" customHeight="1" x14ac:dyDescent="0.2">
      <c r="A35" s="577"/>
      <c r="B35" s="490"/>
      <c r="C35" s="483"/>
      <c r="D35" s="483"/>
      <c r="E35" s="483"/>
      <c r="F35" s="483"/>
      <c r="G35" s="587"/>
      <c r="H35" s="587"/>
      <c r="I35" s="587"/>
      <c r="J35" s="587"/>
      <c r="K35" s="480"/>
      <c r="L35" s="486"/>
    </row>
    <row r="36" spans="1:12" x14ac:dyDescent="0.2">
      <c r="A36" s="577"/>
      <c r="B36" s="491"/>
      <c r="C36" s="483"/>
      <c r="D36" s="483"/>
      <c r="E36" s="483"/>
      <c r="F36" s="483"/>
      <c r="G36" s="483"/>
      <c r="H36" s="483"/>
      <c r="I36" s="483"/>
      <c r="J36" s="483"/>
      <c r="K36" s="483"/>
      <c r="L36" s="486"/>
    </row>
    <row r="37" spans="1:12" x14ac:dyDescent="0.2">
      <c r="A37" s="577"/>
      <c r="B37" s="491"/>
      <c r="C37" s="492" t="s">
        <v>77</v>
      </c>
      <c r="D37" s="493">
        <v>0</v>
      </c>
      <c r="E37" s="483" t="s">
        <v>77</v>
      </c>
      <c r="F37" s="272"/>
      <c r="G37" s="494" t="s">
        <v>78</v>
      </c>
      <c r="H37" s="483"/>
      <c r="I37" s="483"/>
      <c r="J37" s="483"/>
      <c r="K37" s="483"/>
      <c r="L37" s="495"/>
    </row>
    <row r="38" spans="1:12" x14ac:dyDescent="0.2">
      <c r="A38" s="577"/>
      <c r="B38" s="491"/>
      <c r="C38" s="496"/>
      <c r="D38" s="493"/>
      <c r="E38" s="483"/>
      <c r="F38" s="272"/>
      <c r="G38" s="494" t="s">
        <v>79</v>
      </c>
      <c r="H38" s="483"/>
      <c r="I38" s="483"/>
      <c r="J38" s="483"/>
      <c r="K38" s="483"/>
      <c r="L38" s="495"/>
    </row>
    <row r="39" spans="1:12" x14ac:dyDescent="0.2">
      <c r="A39" s="577"/>
      <c r="B39" s="491"/>
      <c r="C39" s="483"/>
      <c r="D39" s="493"/>
      <c r="E39" s="484"/>
      <c r="F39" s="272"/>
      <c r="G39" s="497"/>
      <c r="H39" s="483"/>
      <c r="I39" s="483"/>
      <c r="J39" s="483"/>
      <c r="K39" s="483"/>
      <c r="L39" s="486"/>
    </row>
    <row r="40" spans="1:12" x14ac:dyDescent="0.2">
      <c r="A40" s="577"/>
      <c r="B40" s="491"/>
      <c r="C40" s="496" t="s">
        <v>80</v>
      </c>
      <c r="D40" s="493">
        <v>1</v>
      </c>
      <c r="E40" s="483" t="s">
        <v>80</v>
      </c>
      <c r="F40" s="272"/>
      <c r="G40" s="498" t="s">
        <v>81</v>
      </c>
      <c r="H40" s="483"/>
      <c r="I40" s="483"/>
      <c r="J40" s="483"/>
      <c r="K40" s="483"/>
      <c r="L40" s="495"/>
    </row>
    <row r="41" spans="1:12" x14ac:dyDescent="0.2">
      <c r="A41" s="577"/>
      <c r="B41" s="491"/>
      <c r="C41" s="496"/>
      <c r="D41" s="493"/>
      <c r="E41" s="484"/>
      <c r="F41" s="272"/>
      <c r="G41" s="499"/>
      <c r="H41" s="484"/>
      <c r="I41" s="484"/>
      <c r="J41" s="483"/>
      <c r="K41" s="483"/>
      <c r="L41" s="495"/>
    </row>
    <row r="42" spans="1:12" x14ac:dyDescent="0.2">
      <c r="A42" s="577"/>
      <c r="B42" s="491"/>
      <c r="C42" s="483"/>
      <c r="D42" s="493"/>
      <c r="E42" s="484"/>
      <c r="F42" s="272"/>
      <c r="G42" s="499"/>
      <c r="H42" s="483"/>
      <c r="I42" s="483"/>
      <c r="J42" s="483"/>
      <c r="K42" s="483"/>
      <c r="L42" s="486"/>
    </row>
    <row r="43" spans="1:12" x14ac:dyDescent="0.2">
      <c r="A43" s="577"/>
      <c r="B43" s="491"/>
      <c r="C43" s="492" t="s">
        <v>82</v>
      </c>
      <c r="D43" s="493">
        <v>2</v>
      </c>
      <c r="E43" s="483" t="s">
        <v>82</v>
      </c>
      <c r="F43" s="272"/>
      <c r="G43" s="498" t="s">
        <v>83</v>
      </c>
      <c r="H43" s="483"/>
      <c r="I43" s="483"/>
      <c r="J43" s="483"/>
      <c r="K43" s="483"/>
      <c r="L43" s="495"/>
    </row>
    <row r="44" spans="1:12" x14ac:dyDescent="0.2">
      <c r="A44" s="577"/>
      <c r="B44" s="491"/>
      <c r="C44" s="496"/>
      <c r="D44" s="493"/>
      <c r="E44" s="484"/>
      <c r="F44" s="272"/>
      <c r="G44" s="498" t="s">
        <v>84</v>
      </c>
      <c r="H44" s="483"/>
      <c r="I44" s="483"/>
      <c r="J44" s="483"/>
      <c r="K44" s="483"/>
      <c r="L44" s="495"/>
    </row>
    <row r="45" spans="1:12" x14ac:dyDescent="0.2">
      <c r="A45" s="577"/>
      <c r="B45" s="491"/>
      <c r="C45" s="496"/>
      <c r="D45" s="493"/>
      <c r="E45" s="484"/>
      <c r="F45" s="272"/>
      <c r="G45" s="498" t="s">
        <v>85</v>
      </c>
      <c r="H45" s="483"/>
      <c r="I45" s="483"/>
      <c r="J45" s="483"/>
      <c r="K45" s="483"/>
      <c r="L45" s="495"/>
    </row>
    <row r="46" spans="1:12" x14ac:dyDescent="0.2">
      <c r="A46" s="577"/>
      <c r="B46" s="491"/>
      <c r="C46" s="496" t="s">
        <v>86</v>
      </c>
      <c r="D46" s="493">
        <v>3</v>
      </c>
      <c r="E46" s="483" t="s">
        <v>86</v>
      </c>
      <c r="F46" s="272"/>
      <c r="G46" s="498" t="s">
        <v>87</v>
      </c>
      <c r="H46" s="483"/>
      <c r="I46" s="483"/>
      <c r="J46" s="483"/>
      <c r="K46" s="483"/>
      <c r="L46" s="495"/>
    </row>
    <row r="47" spans="1:12" x14ac:dyDescent="0.2">
      <c r="A47" s="577"/>
      <c r="B47" s="491"/>
      <c r="C47" s="496"/>
      <c r="D47" s="493"/>
      <c r="E47" s="484"/>
      <c r="F47" s="272"/>
      <c r="G47" s="498" t="s">
        <v>88</v>
      </c>
      <c r="H47" s="483"/>
      <c r="I47" s="483"/>
      <c r="J47" s="483"/>
      <c r="K47" s="483"/>
      <c r="L47" s="495"/>
    </row>
    <row r="48" spans="1:12" x14ac:dyDescent="0.2">
      <c r="A48" s="577"/>
      <c r="B48" s="491"/>
      <c r="C48" s="496"/>
      <c r="D48" s="493"/>
      <c r="E48" s="484"/>
      <c r="F48" s="272"/>
      <c r="G48" s="498" t="s">
        <v>89</v>
      </c>
      <c r="H48" s="483"/>
      <c r="I48" s="483"/>
      <c r="J48" s="483"/>
      <c r="K48" s="483"/>
      <c r="L48" s="495"/>
    </row>
    <row r="49" spans="1:12" x14ac:dyDescent="0.2">
      <c r="A49" s="577"/>
      <c r="B49" s="491"/>
      <c r="C49" s="496" t="s">
        <v>90</v>
      </c>
      <c r="D49" s="493">
        <v>4</v>
      </c>
      <c r="E49" s="483" t="s">
        <v>90</v>
      </c>
      <c r="F49" s="272"/>
      <c r="G49" s="498" t="s">
        <v>91</v>
      </c>
      <c r="H49" s="483"/>
      <c r="I49" s="483"/>
      <c r="J49" s="483"/>
      <c r="K49" s="483"/>
      <c r="L49" s="495"/>
    </row>
    <row r="50" spans="1:12" x14ac:dyDescent="0.2">
      <c r="A50" s="577"/>
      <c r="B50" s="491"/>
      <c r="C50" s="496"/>
      <c r="D50" s="493"/>
      <c r="E50" s="484"/>
      <c r="F50" s="272"/>
      <c r="G50" s="498" t="s">
        <v>92</v>
      </c>
      <c r="H50" s="483"/>
      <c r="I50" s="483"/>
      <c r="J50" s="483"/>
      <c r="K50" s="483"/>
      <c r="L50" s="495"/>
    </row>
    <row r="51" spans="1:12" x14ac:dyDescent="0.2">
      <c r="A51" s="577"/>
      <c r="B51" s="491"/>
      <c r="C51" s="496"/>
      <c r="D51" s="493"/>
      <c r="E51" s="483"/>
      <c r="F51" s="272"/>
      <c r="G51" s="498" t="s">
        <v>93</v>
      </c>
      <c r="H51" s="483"/>
      <c r="I51" s="483"/>
      <c r="J51" s="483"/>
      <c r="K51" s="483"/>
      <c r="L51" s="495"/>
    </row>
    <row r="52" spans="1:12" x14ac:dyDescent="0.2">
      <c r="A52" s="577"/>
      <c r="B52" s="491"/>
      <c r="C52" s="496" t="s">
        <v>94</v>
      </c>
      <c r="D52" s="493">
        <v>5</v>
      </c>
      <c r="E52" s="483" t="s">
        <v>94</v>
      </c>
      <c r="F52" s="272"/>
      <c r="G52" s="498" t="s">
        <v>95</v>
      </c>
      <c r="H52" s="483"/>
      <c r="I52" s="483"/>
      <c r="J52" s="483"/>
      <c r="K52" s="483"/>
      <c r="L52" s="495"/>
    </row>
    <row r="53" spans="1:12" x14ac:dyDescent="0.2">
      <c r="A53" s="577"/>
      <c r="B53" s="491"/>
      <c r="C53" s="496"/>
      <c r="D53" s="483"/>
      <c r="E53" s="484"/>
      <c r="F53" s="272"/>
      <c r="G53" s="498" t="s">
        <v>96</v>
      </c>
      <c r="H53" s="483"/>
      <c r="I53" s="483"/>
      <c r="J53" s="483"/>
      <c r="K53" s="483"/>
      <c r="L53" s="495"/>
    </row>
    <row r="54" spans="1:12" x14ac:dyDescent="0.2">
      <c r="A54" s="577"/>
      <c r="B54" s="491"/>
      <c r="C54" s="496"/>
      <c r="D54" s="484"/>
      <c r="E54" s="484"/>
      <c r="F54" s="272"/>
      <c r="G54" s="498" t="s">
        <v>97</v>
      </c>
      <c r="H54" s="483"/>
      <c r="I54" s="483"/>
      <c r="J54" s="483"/>
      <c r="K54" s="483"/>
      <c r="L54" s="495"/>
    </row>
    <row r="55" spans="1:12" x14ac:dyDescent="0.2">
      <c r="A55" s="577"/>
      <c r="B55" s="491"/>
      <c r="C55" s="496"/>
      <c r="D55" s="483"/>
      <c r="E55" s="483"/>
      <c r="F55" s="483"/>
      <c r="G55" s="483"/>
      <c r="H55" s="483"/>
      <c r="I55" s="483"/>
      <c r="J55" s="483"/>
      <c r="K55" s="483"/>
      <c r="L55" s="495"/>
    </row>
    <row r="56" spans="1:12" x14ac:dyDescent="0.2">
      <c r="A56" s="577"/>
      <c r="B56" s="491"/>
      <c r="C56" s="484"/>
      <c r="D56" s="484"/>
      <c r="E56" s="484"/>
      <c r="F56" s="483"/>
      <c r="G56" s="483"/>
      <c r="H56" s="483"/>
      <c r="I56" s="483"/>
      <c r="J56" s="483"/>
      <c r="K56" s="483"/>
      <c r="L56" s="500"/>
    </row>
    <row r="57" spans="1:12" x14ac:dyDescent="0.2">
      <c r="A57" s="577"/>
      <c r="B57" s="501" t="s">
        <v>487</v>
      </c>
      <c r="C57" s="272"/>
      <c r="D57" s="502"/>
      <c r="E57" s="502"/>
      <c r="F57" s="483" t="s">
        <v>476</v>
      </c>
      <c r="G57" s="483"/>
      <c r="H57" s="484"/>
      <c r="I57" s="483" t="s">
        <v>477</v>
      </c>
      <c r="J57" s="483"/>
      <c r="K57" s="483" t="s">
        <v>478</v>
      </c>
      <c r="L57" s="489"/>
    </row>
    <row r="58" spans="1:12" x14ac:dyDescent="0.2">
      <c r="A58" s="577"/>
      <c r="B58" s="491"/>
      <c r="C58" s="502"/>
      <c r="D58" s="483"/>
      <c r="E58" s="483"/>
      <c r="F58" s="483"/>
      <c r="G58" s="483"/>
      <c r="H58" s="483"/>
      <c r="I58" s="483"/>
      <c r="J58" s="483"/>
      <c r="K58" s="483"/>
      <c r="L58" s="489"/>
    </row>
    <row r="59" spans="1:12" x14ac:dyDescent="0.2">
      <c r="A59" s="577"/>
      <c r="B59" s="491"/>
      <c r="C59" s="483"/>
      <c r="D59" s="483"/>
      <c r="E59" s="483"/>
      <c r="F59" s="483"/>
      <c r="G59" s="483"/>
      <c r="H59" s="483"/>
      <c r="I59" s="483"/>
      <c r="J59" s="483"/>
      <c r="K59" s="483"/>
      <c r="L59" s="486"/>
    </row>
    <row r="60" spans="1:12" x14ac:dyDescent="0.2">
      <c r="A60" s="577"/>
      <c r="B60" s="501" t="s">
        <v>488</v>
      </c>
      <c r="C60" s="503"/>
      <c r="D60" s="502"/>
      <c r="E60" s="502"/>
      <c r="F60" s="502"/>
      <c r="G60" s="502"/>
      <c r="H60" s="483"/>
      <c r="I60" s="483"/>
      <c r="J60" s="483"/>
      <c r="K60" s="483"/>
      <c r="L60" s="489"/>
    </row>
    <row r="61" spans="1:12" x14ac:dyDescent="0.2">
      <c r="A61" s="577"/>
      <c r="B61" s="491"/>
      <c r="C61" s="483"/>
      <c r="D61" s="483"/>
      <c r="E61" s="483"/>
      <c r="F61" s="483"/>
      <c r="G61" s="483"/>
      <c r="H61" s="483"/>
      <c r="I61" s="483"/>
      <c r="J61" s="483"/>
      <c r="K61" s="483"/>
      <c r="L61" s="486"/>
    </row>
    <row r="62" spans="1:12" x14ac:dyDescent="0.2">
      <c r="A62" s="577"/>
      <c r="B62" s="491"/>
      <c r="C62" s="483" t="s">
        <v>1</v>
      </c>
      <c r="D62" s="483"/>
      <c r="E62" s="483"/>
      <c r="F62" s="483"/>
      <c r="G62" s="483"/>
      <c r="H62" s="483"/>
      <c r="I62" s="483"/>
      <c r="J62" s="483"/>
      <c r="K62" s="483"/>
      <c r="L62" s="486"/>
    </row>
    <row r="63" spans="1:12" x14ac:dyDescent="0.2">
      <c r="A63" s="577"/>
      <c r="B63" s="491"/>
      <c r="C63" s="492" t="s">
        <v>77</v>
      </c>
      <c r="D63" s="459">
        <v>0</v>
      </c>
      <c r="E63" s="483" t="s">
        <v>77</v>
      </c>
      <c r="F63" s="272"/>
      <c r="G63" s="498" t="s">
        <v>98</v>
      </c>
      <c r="H63" s="483"/>
      <c r="I63" s="483"/>
      <c r="J63" s="483"/>
      <c r="K63" s="483"/>
      <c r="L63" s="495"/>
    </row>
    <row r="64" spans="1:12" x14ac:dyDescent="0.2">
      <c r="A64" s="577"/>
      <c r="B64" s="491"/>
      <c r="C64" s="496"/>
      <c r="D64" s="459"/>
      <c r="E64" s="483"/>
      <c r="F64" s="272"/>
      <c r="G64" s="498"/>
      <c r="H64" s="483"/>
      <c r="I64" s="483"/>
      <c r="J64" s="483"/>
      <c r="K64" s="483"/>
      <c r="L64" s="495"/>
    </row>
    <row r="65" spans="1:13" x14ac:dyDescent="0.2">
      <c r="A65" s="577"/>
      <c r="B65" s="491"/>
      <c r="C65" s="496" t="s">
        <v>80</v>
      </c>
      <c r="D65" s="459">
        <v>4</v>
      </c>
      <c r="E65" s="483" t="s">
        <v>80</v>
      </c>
      <c r="F65" s="272"/>
      <c r="G65" s="498" t="s">
        <v>99</v>
      </c>
      <c r="H65" s="483"/>
      <c r="I65" s="483"/>
      <c r="J65" s="483"/>
      <c r="K65" s="483"/>
      <c r="L65" s="495"/>
    </row>
    <row r="66" spans="1:13" x14ac:dyDescent="0.2">
      <c r="A66" s="577"/>
      <c r="B66" s="491"/>
      <c r="C66" s="496"/>
      <c r="D66" s="459"/>
      <c r="E66" s="483"/>
      <c r="F66" s="272"/>
      <c r="G66" s="498"/>
      <c r="H66" s="483"/>
      <c r="I66" s="483"/>
      <c r="J66" s="483"/>
      <c r="K66" s="483"/>
      <c r="L66" s="495"/>
    </row>
    <row r="67" spans="1:13" x14ac:dyDescent="0.2">
      <c r="A67" s="577"/>
      <c r="B67" s="491"/>
      <c r="C67" s="496" t="s">
        <v>86</v>
      </c>
      <c r="D67" s="459">
        <v>6</v>
      </c>
      <c r="E67" s="483" t="s">
        <v>86</v>
      </c>
      <c r="F67" s="272"/>
      <c r="G67" s="498" t="s">
        <v>100</v>
      </c>
      <c r="H67" s="483"/>
      <c r="I67" s="483"/>
      <c r="J67" s="483"/>
      <c r="K67" s="483"/>
      <c r="L67" s="495"/>
    </row>
    <row r="68" spans="1:13" x14ac:dyDescent="0.2">
      <c r="A68" s="577"/>
      <c r="B68" s="491"/>
      <c r="C68" s="504"/>
      <c r="D68" s="459"/>
      <c r="E68" s="484"/>
      <c r="F68" s="272"/>
      <c r="G68" s="498" t="s">
        <v>101</v>
      </c>
      <c r="H68" s="483"/>
      <c r="I68" s="483"/>
      <c r="J68" s="483"/>
      <c r="K68" s="483"/>
      <c r="L68" s="505"/>
    </row>
    <row r="69" spans="1:13" x14ac:dyDescent="0.2">
      <c r="A69" s="577"/>
      <c r="B69" s="491"/>
      <c r="C69" s="496" t="s">
        <v>94</v>
      </c>
      <c r="D69" s="459">
        <v>8</v>
      </c>
      <c r="E69" s="483" t="s">
        <v>94</v>
      </c>
      <c r="F69" s="272"/>
      <c r="G69" s="498" t="s">
        <v>102</v>
      </c>
      <c r="H69" s="483"/>
      <c r="I69" s="483"/>
      <c r="J69" s="483"/>
      <c r="K69" s="483"/>
      <c r="L69" s="495"/>
    </row>
    <row r="70" spans="1:13" x14ac:dyDescent="0.2">
      <c r="A70" s="577"/>
      <c r="B70" s="491"/>
      <c r="C70" s="504"/>
      <c r="D70" s="459"/>
      <c r="E70" s="484"/>
      <c r="F70" s="272"/>
      <c r="G70" s="498" t="s">
        <v>103</v>
      </c>
      <c r="H70" s="483"/>
      <c r="I70" s="483"/>
      <c r="J70" s="483"/>
      <c r="K70" s="483"/>
      <c r="L70" s="505"/>
    </row>
    <row r="71" spans="1:13" x14ac:dyDescent="0.2">
      <c r="A71" s="577"/>
      <c r="B71" s="491"/>
      <c r="C71" s="492" t="s">
        <v>104</v>
      </c>
      <c r="D71" s="459">
        <v>10</v>
      </c>
      <c r="E71" s="483" t="s">
        <v>104</v>
      </c>
      <c r="F71" s="272"/>
      <c r="G71" s="498" t="s">
        <v>105</v>
      </c>
      <c r="H71" s="483"/>
      <c r="I71" s="483"/>
      <c r="J71" s="483"/>
      <c r="K71" s="483"/>
      <c r="L71" s="495"/>
    </row>
    <row r="72" spans="1:13" x14ac:dyDescent="0.2">
      <c r="A72" s="577"/>
      <c r="B72" s="491"/>
      <c r="C72" s="484"/>
      <c r="D72" s="484"/>
      <c r="E72" s="483"/>
      <c r="F72" s="272"/>
      <c r="G72" s="498" t="s">
        <v>106</v>
      </c>
      <c r="H72" s="483"/>
      <c r="I72" s="483"/>
      <c r="J72" s="483"/>
      <c r="K72" s="483"/>
      <c r="L72" s="500"/>
    </row>
    <row r="73" spans="1:13" x14ac:dyDescent="0.2">
      <c r="A73" s="577"/>
      <c r="B73" s="491"/>
      <c r="C73" s="483"/>
      <c r="D73" s="483"/>
      <c r="E73" s="483"/>
      <c r="F73" s="483"/>
      <c r="G73" s="484"/>
      <c r="H73" s="483"/>
      <c r="I73" s="483"/>
      <c r="J73" s="483"/>
      <c r="K73" s="483"/>
      <c r="L73" s="486"/>
    </row>
    <row r="74" spans="1:13" x14ac:dyDescent="0.2">
      <c r="A74" s="577"/>
      <c r="B74" s="491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289"/>
    </row>
    <row r="75" spans="1:13" x14ac:dyDescent="0.2">
      <c r="A75" s="577"/>
      <c r="B75" s="491"/>
      <c r="C75" s="483"/>
      <c r="D75" s="483"/>
      <c r="E75" s="483"/>
      <c r="F75" s="483"/>
      <c r="G75" s="484"/>
      <c r="H75" s="483"/>
      <c r="I75" s="483"/>
      <c r="J75" s="483"/>
      <c r="K75" s="483"/>
      <c r="L75" s="486"/>
    </row>
    <row r="76" spans="1:13" x14ac:dyDescent="0.2">
      <c r="A76" s="577"/>
      <c r="B76" s="491"/>
      <c r="C76" s="483" t="s">
        <v>3</v>
      </c>
      <c r="D76" s="483"/>
      <c r="E76" s="483"/>
      <c r="F76" s="483"/>
      <c r="G76" s="484"/>
      <c r="H76" s="483" t="s">
        <v>6</v>
      </c>
      <c r="I76" s="483"/>
      <c r="J76" s="483"/>
      <c r="K76" s="461"/>
      <c r="L76" s="486"/>
    </row>
    <row r="77" spans="1:13" x14ac:dyDescent="0.2">
      <c r="A77" s="577"/>
      <c r="B77" s="491"/>
      <c r="C77" s="483"/>
      <c r="D77" s="483" t="s">
        <v>70</v>
      </c>
      <c r="E77" s="483"/>
      <c r="F77" s="483"/>
      <c r="G77" s="484"/>
      <c r="H77" s="483" t="s">
        <v>7</v>
      </c>
      <c r="I77" s="484"/>
      <c r="J77" s="483"/>
      <c r="K77" s="506"/>
      <c r="L77" s="486"/>
    </row>
    <row r="78" spans="1:13" x14ac:dyDescent="0.2">
      <c r="A78" s="577"/>
      <c r="B78" s="491"/>
      <c r="C78" s="483"/>
      <c r="D78" s="483"/>
      <c r="E78" s="483"/>
      <c r="F78" s="483"/>
      <c r="G78" s="484"/>
      <c r="H78" s="483" t="s">
        <v>8</v>
      </c>
      <c r="I78" s="483"/>
      <c r="J78" s="483"/>
      <c r="K78" s="506"/>
      <c r="L78" s="486"/>
    </row>
    <row r="79" spans="1:13" ht="13.5" thickBot="1" x14ac:dyDescent="0.25">
      <c r="B79" s="491"/>
      <c r="C79" s="483"/>
      <c r="D79" s="483"/>
      <c r="E79" s="483"/>
      <c r="F79" s="483"/>
      <c r="G79" s="484"/>
      <c r="H79" s="483"/>
      <c r="I79" s="483"/>
      <c r="J79" s="483"/>
      <c r="K79" s="483"/>
      <c r="L79" s="486"/>
    </row>
    <row r="80" spans="1:13" ht="13.5" thickBot="1" x14ac:dyDescent="0.25">
      <c r="B80" s="491"/>
      <c r="C80" s="483"/>
      <c r="D80" s="483"/>
      <c r="E80" s="483"/>
      <c r="F80" s="484"/>
      <c r="G80" s="484"/>
      <c r="H80" s="484"/>
      <c r="I80" s="483"/>
      <c r="J80" s="507" t="s">
        <v>107</v>
      </c>
      <c r="K80" s="508">
        <f>IF(Structure!D10&gt;20,20,Structure!D10)</f>
        <v>0</v>
      </c>
      <c r="L80" s="486"/>
    </row>
    <row r="81" spans="1:13" ht="13.5" thickBot="1" x14ac:dyDescent="0.25">
      <c r="B81" s="509"/>
      <c r="C81" s="510"/>
      <c r="D81" s="510"/>
      <c r="E81" s="510"/>
      <c r="F81" s="510"/>
      <c r="G81" s="511"/>
      <c r="H81" s="512"/>
      <c r="I81" s="512"/>
      <c r="J81" s="512"/>
      <c r="K81" s="512"/>
      <c r="L81" s="513"/>
    </row>
    <row r="82" spans="1:13" x14ac:dyDescent="0.2"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</row>
    <row r="83" spans="1:13" x14ac:dyDescent="0.2"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</row>
    <row r="84" spans="1:13" ht="13.5" thickBot="1" x14ac:dyDescent="0.25">
      <c r="C84" s="193"/>
      <c r="D84" s="193"/>
      <c r="E84" s="193"/>
      <c r="F84" s="193"/>
      <c r="G84" s="193"/>
      <c r="H84" s="193"/>
      <c r="I84" s="193"/>
      <c r="J84" s="193"/>
      <c r="K84" s="193"/>
      <c r="L84" s="193"/>
    </row>
    <row r="85" spans="1:13" x14ac:dyDescent="0.2">
      <c r="B85" s="475"/>
      <c r="C85" s="514"/>
      <c r="D85" s="514"/>
      <c r="E85" s="514"/>
      <c r="F85" s="514"/>
      <c r="G85" s="514"/>
      <c r="H85" s="514"/>
      <c r="I85" s="514"/>
      <c r="J85" s="514"/>
      <c r="K85" s="514"/>
      <c r="L85" s="515"/>
    </row>
    <row r="86" spans="1:13" x14ac:dyDescent="0.2">
      <c r="A86" s="577"/>
      <c r="B86" s="491"/>
      <c r="C86" s="516" t="s">
        <v>522</v>
      </c>
      <c r="D86" s="483"/>
      <c r="E86" s="483"/>
      <c r="F86" s="483"/>
      <c r="G86" s="483"/>
      <c r="H86" s="483" t="s">
        <v>464</v>
      </c>
      <c r="I86" s="483"/>
      <c r="J86" s="483"/>
      <c r="K86" s="483"/>
      <c r="L86" s="486"/>
    </row>
    <row r="87" spans="1:13" x14ac:dyDescent="0.2">
      <c r="A87" s="577"/>
      <c r="B87" s="491"/>
      <c r="C87" s="484"/>
      <c r="D87" s="483" t="s">
        <v>501</v>
      </c>
      <c r="E87" s="483"/>
      <c r="F87" s="483"/>
      <c r="G87" s="483"/>
      <c r="H87" s="483"/>
      <c r="I87" s="483"/>
      <c r="J87" s="483"/>
      <c r="K87" s="483"/>
      <c r="L87" s="500"/>
    </row>
    <row r="88" spans="1:13" ht="13.5" customHeight="1" x14ac:dyDescent="0.2">
      <c r="A88" s="577"/>
      <c r="B88" s="491"/>
      <c r="C88" s="484"/>
      <c r="D88" s="483" t="s">
        <v>76</v>
      </c>
      <c r="E88" s="483"/>
      <c r="F88" s="483"/>
      <c r="G88" s="483"/>
      <c r="H88" s="483"/>
      <c r="I88" s="483"/>
      <c r="J88" s="579" t="s">
        <v>485</v>
      </c>
      <c r="K88" s="579"/>
      <c r="L88" s="580"/>
    </row>
    <row r="89" spans="1:13" ht="13.5" customHeight="1" x14ac:dyDescent="0.2">
      <c r="A89" s="577"/>
      <c r="B89" s="491"/>
      <c r="C89" s="483"/>
      <c r="D89" s="483"/>
      <c r="E89" s="483"/>
      <c r="F89" s="483"/>
      <c r="G89" s="483"/>
      <c r="H89" s="483"/>
      <c r="I89" s="483"/>
      <c r="J89" s="579"/>
      <c r="K89" s="579"/>
      <c r="L89" s="580"/>
    </row>
    <row r="90" spans="1:13" ht="13.5" customHeight="1" x14ac:dyDescent="0.25">
      <c r="A90" s="577"/>
      <c r="B90" s="517" t="s">
        <v>465</v>
      </c>
      <c r="C90" s="480"/>
      <c r="D90" s="518"/>
      <c r="E90" s="518"/>
      <c r="F90" s="480"/>
      <c r="G90" s="518"/>
      <c r="H90" s="519" t="s">
        <v>216</v>
      </c>
      <c r="I90" s="483"/>
      <c r="J90" s="579"/>
      <c r="K90" s="579"/>
      <c r="L90" s="580"/>
    </row>
    <row r="91" spans="1:13" ht="23.25" x14ac:dyDescent="0.35">
      <c r="A91" s="577"/>
      <c r="B91" s="491"/>
      <c r="C91" s="483"/>
      <c r="D91" s="483"/>
      <c r="E91" s="483"/>
      <c r="F91" s="483"/>
      <c r="G91" s="483"/>
      <c r="H91" s="483"/>
      <c r="I91" s="558" t="s">
        <v>523</v>
      </c>
      <c r="J91" s="558"/>
      <c r="K91" s="558"/>
      <c r="L91" s="559"/>
    </row>
    <row r="92" spans="1:13" x14ac:dyDescent="0.2">
      <c r="A92" s="577"/>
      <c r="B92" s="491"/>
      <c r="C92" s="496" t="s">
        <v>80</v>
      </c>
      <c r="D92" s="459">
        <v>0</v>
      </c>
      <c r="E92" s="484" t="s">
        <v>80</v>
      </c>
      <c r="F92" s="483" t="s">
        <v>108</v>
      </c>
      <c r="G92" s="483"/>
      <c r="H92" s="483"/>
      <c r="I92" s="483"/>
      <c r="J92" s="483"/>
      <c r="K92" s="483"/>
      <c r="L92" s="486"/>
    </row>
    <row r="93" spans="1:13" x14ac:dyDescent="0.2">
      <c r="A93" s="577"/>
      <c r="B93" s="491"/>
      <c r="C93" s="496"/>
      <c r="D93" s="459"/>
      <c r="E93" s="484"/>
      <c r="F93" s="483"/>
      <c r="G93" s="483" t="s">
        <v>109</v>
      </c>
      <c r="H93" s="483"/>
      <c r="I93" s="483"/>
      <c r="J93" s="483"/>
      <c r="K93" s="483"/>
      <c r="L93" s="486"/>
    </row>
    <row r="94" spans="1:13" x14ac:dyDescent="0.2">
      <c r="A94" s="577"/>
      <c r="B94" s="491"/>
      <c r="C94" s="496"/>
      <c r="D94" s="459"/>
      <c r="E94" s="484"/>
      <c r="F94" s="483"/>
      <c r="G94" s="483"/>
      <c r="H94" s="483"/>
      <c r="I94" s="483"/>
      <c r="J94" s="483"/>
      <c r="K94" s="483"/>
      <c r="L94" s="486"/>
    </row>
    <row r="95" spans="1:13" x14ac:dyDescent="0.2">
      <c r="A95" s="577"/>
      <c r="B95" s="491"/>
      <c r="C95" s="496" t="s">
        <v>86</v>
      </c>
      <c r="D95" s="459">
        <v>1</v>
      </c>
      <c r="E95" s="484" t="s">
        <v>86</v>
      </c>
      <c r="F95" s="483" t="s">
        <v>110</v>
      </c>
      <c r="G95" s="483"/>
      <c r="H95" s="483"/>
      <c r="I95" s="483"/>
      <c r="J95" s="483"/>
      <c r="K95" s="483"/>
      <c r="L95" s="486"/>
    </row>
    <row r="96" spans="1:13" x14ac:dyDescent="0.2">
      <c r="A96" s="577"/>
      <c r="B96" s="491"/>
      <c r="C96" s="496"/>
      <c r="D96" s="459"/>
      <c r="E96" s="484"/>
      <c r="F96" s="483"/>
      <c r="G96" s="483" t="s">
        <v>111</v>
      </c>
      <c r="H96" s="483"/>
      <c r="I96" s="483"/>
      <c r="J96" s="483"/>
      <c r="K96" s="483"/>
      <c r="L96" s="486"/>
    </row>
    <row r="97" spans="1:12" x14ac:dyDescent="0.2">
      <c r="A97" s="577"/>
      <c r="B97" s="491"/>
      <c r="C97" s="496"/>
      <c r="D97" s="459"/>
      <c r="E97" s="484"/>
      <c r="F97" s="483"/>
      <c r="G97" s="483"/>
      <c r="H97" s="483"/>
      <c r="I97" s="483"/>
      <c r="J97" s="483"/>
      <c r="K97" s="483"/>
      <c r="L97" s="486"/>
    </row>
    <row r="98" spans="1:12" x14ac:dyDescent="0.2">
      <c r="A98" s="577"/>
      <c r="B98" s="491"/>
      <c r="C98" s="496" t="s">
        <v>94</v>
      </c>
      <c r="D98" s="459">
        <v>2</v>
      </c>
      <c r="E98" s="484" t="s">
        <v>94</v>
      </c>
      <c r="F98" s="483" t="s">
        <v>112</v>
      </c>
      <c r="G98" s="483"/>
      <c r="H98" s="483"/>
      <c r="I98" s="483"/>
      <c r="J98" s="483"/>
      <c r="K98" s="483"/>
      <c r="L98" s="486"/>
    </row>
    <row r="99" spans="1:12" x14ac:dyDescent="0.2">
      <c r="A99" s="577"/>
      <c r="B99" s="491"/>
      <c r="C99" s="496"/>
      <c r="D99" s="453"/>
      <c r="E99" s="484"/>
      <c r="F99" s="483"/>
      <c r="G99" s="483"/>
      <c r="H99" s="483"/>
      <c r="I99" s="483"/>
      <c r="J99" s="483"/>
      <c r="K99" s="483"/>
      <c r="L99" s="486"/>
    </row>
    <row r="100" spans="1:12" x14ac:dyDescent="0.2">
      <c r="A100" s="577"/>
      <c r="B100" s="491"/>
      <c r="C100" s="483"/>
      <c r="D100" s="483" t="s">
        <v>113</v>
      </c>
      <c r="E100" s="483"/>
      <c r="F100" s="480"/>
      <c r="G100" s="483"/>
      <c r="H100" s="483"/>
      <c r="I100" s="483"/>
      <c r="J100" s="483"/>
      <c r="K100" s="483"/>
      <c r="L100" s="486"/>
    </row>
    <row r="101" spans="1:12" x14ac:dyDescent="0.2">
      <c r="A101" s="577"/>
      <c r="B101" s="491"/>
      <c r="C101" s="483"/>
      <c r="D101" s="483" t="s">
        <v>114</v>
      </c>
      <c r="E101" s="483"/>
      <c r="F101" s="483"/>
      <c r="G101" s="483"/>
      <c r="H101" s="483"/>
      <c r="I101" s="483"/>
      <c r="J101" s="483"/>
      <c r="K101" s="483"/>
      <c r="L101" s="486"/>
    </row>
    <row r="102" spans="1:12" x14ac:dyDescent="0.2">
      <c r="A102" s="577"/>
      <c r="B102" s="491"/>
      <c r="C102" s="483"/>
      <c r="D102" s="483"/>
      <c r="E102" s="483"/>
      <c r="F102" s="483"/>
      <c r="G102" s="483"/>
      <c r="H102" s="483"/>
      <c r="I102" s="483"/>
      <c r="J102" s="483"/>
      <c r="K102" s="483"/>
      <c r="L102" s="482"/>
    </row>
    <row r="103" spans="1:12" x14ac:dyDescent="0.2">
      <c r="A103" s="577"/>
      <c r="B103" s="491"/>
      <c r="C103" s="483"/>
      <c r="D103" s="483"/>
      <c r="E103" s="483"/>
      <c r="F103" s="483"/>
      <c r="G103" s="483"/>
      <c r="H103" s="520" t="s">
        <v>217</v>
      </c>
      <c r="I103" s="521"/>
      <c r="J103" s="522" t="s">
        <v>218</v>
      </c>
      <c r="K103" s="483"/>
      <c r="L103" s="482"/>
    </row>
    <row r="104" spans="1:12" x14ac:dyDescent="0.2">
      <c r="A104" s="577"/>
      <c r="B104" s="491"/>
      <c r="C104" s="484"/>
      <c r="D104" s="483"/>
      <c r="E104" s="483"/>
      <c r="F104" s="483"/>
      <c r="G104" s="483"/>
      <c r="H104" s="480"/>
      <c r="I104" s="480"/>
      <c r="J104" s="523"/>
      <c r="K104" s="483"/>
      <c r="L104" s="482"/>
    </row>
    <row r="105" spans="1:12" x14ac:dyDescent="0.2">
      <c r="A105" s="577"/>
      <c r="B105" s="517" t="s">
        <v>466</v>
      </c>
      <c r="C105" s="480"/>
      <c r="D105" s="483"/>
      <c r="E105" s="480"/>
      <c r="F105" s="519" t="s">
        <v>216</v>
      </c>
      <c r="G105" s="483"/>
      <c r="H105" s="524"/>
      <c r="I105" s="483"/>
      <c r="J105" s="525"/>
      <c r="K105" s="483"/>
      <c r="L105" s="482"/>
    </row>
    <row r="106" spans="1:12" x14ac:dyDescent="0.2">
      <c r="A106" s="577"/>
      <c r="B106" s="491"/>
      <c r="C106" s="526"/>
      <c r="D106" s="483"/>
      <c r="E106" s="483"/>
      <c r="F106" s="483"/>
      <c r="G106" s="483"/>
      <c r="H106" s="527"/>
      <c r="I106" s="528"/>
      <c r="J106" s="525"/>
      <c r="K106" s="483"/>
      <c r="L106" s="482"/>
    </row>
    <row r="107" spans="1:12" x14ac:dyDescent="0.2">
      <c r="A107" s="577"/>
      <c r="B107" s="491"/>
      <c r="C107" s="496" t="s">
        <v>80</v>
      </c>
      <c r="D107" s="459">
        <v>0</v>
      </c>
      <c r="E107" s="483"/>
      <c r="F107" s="483"/>
      <c r="G107" s="483"/>
      <c r="H107" s="527"/>
      <c r="I107" s="529"/>
      <c r="J107" s="523"/>
      <c r="K107" s="483"/>
      <c r="L107" s="482"/>
    </row>
    <row r="108" spans="1:12" x14ac:dyDescent="0.2">
      <c r="A108" s="577"/>
      <c r="B108" s="491"/>
      <c r="C108" s="496" t="s">
        <v>86</v>
      </c>
      <c r="D108" s="459">
        <v>3</v>
      </c>
      <c r="E108" s="483"/>
      <c r="F108" s="483"/>
      <c r="G108" s="483"/>
      <c r="H108" s="520" t="s">
        <v>234</v>
      </c>
      <c r="I108" s="521"/>
      <c r="J108" s="522" t="s">
        <v>218</v>
      </c>
      <c r="K108" s="483"/>
      <c r="L108" s="482"/>
    </row>
    <row r="109" spans="1:12" x14ac:dyDescent="0.2">
      <c r="A109" s="577"/>
      <c r="B109" s="491"/>
      <c r="C109" s="496" t="s">
        <v>94</v>
      </c>
      <c r="D109" s="459">
        <v>5</v>
      </c>
      <c r="E109" s="483"/>
      <c r="F109" s="524"/>
      <c r="G109" s="524"/>
      <c r="H109" s="524"/>
      <c r="I109" s="529"/>
      <c r="J109" s="523"/>
      <c r="K109" s="483"/>
      <c r="L109" s="482"/>
    </row>
    <row r="110" spans="1:12" x14ac:dyDescent="0.2">
      <c r="A110" s="577"/>
      <c r="B110" s="491"/>
      <c r="C110" s="483"/>
      <c r="D110" s="483"/>
      <c r="E110" s="483"/>
      <c r="F110" s="524"/>
      <c r="G110" s="524"/>
      <c r="H110" s="530" t="s">
        <v>259</v>
      </c>
      <c r="I110" s="521">
        <f>IF(Structure!H10&gt;7,7,Structure!H10)</f>
        <v>0</v>
      </c>
      <c r="J110" s="522" t="s">
        <v>218</v>
      </c>
      <c r="K110" s="524"/>
      <c r="L110" s="482"/>
    </row>
    <row r="111" spans="1:12" x14ac:dyDescent="0.2">
      <c r="A111" s="577"/>
      <c r="B111" s="491"/>
      <c r="C111" s="483"/>
      <c r="D111" s="483"/>
      <c r="E111" s="483"/>
      <c r="F111" s="524"/>
      <c r="G111" s="524"/>
      <c r="H111" s="524"/>
      <c r="I111" s="531"/>
      <c r="J111" s="532"/>
      <c r="K111" s="524"/>
      <c r="L111" s="482"/>
    </row>
    <row r="112" spans="1:12" x14ac:dyDescent="0.2">
      <c r="A112" s="577"/>
      <c r="B112" s="517" t="s">
        <v>467</v>
      </c>
      <c r="C112" s="534"/>
      <c r="D112" s="483"/>
      <c r="E112" s="483"/>
      <c r="F112" s="483"/>
      <c r="G112" s="483"/>
      <c r="H112" s="516"/>
      <c r="I112" s="483"/>
      <c r="J112" s="483"/>
      <c r="K112" s="483"/>
      <c r="L112" s="533"/>
    </row>
    <row r="113" spans="1:12" x14ac:dyDescent="0.2">
      <c r="A113" s="577"/>
      <c r="B113" s="491"/>
      <c r="C113" s="483"/>
      <c r="D113" s="483"/>
      <c r="E113" s="483"/>
      <c r="F113" s="535" t="s">
        <v>500</v>
      </c>
      <c r="G113" s="483"/>
      <c r="H113" s="483"/>
      <c r="I113" s="480"/>
      <c r="J113" s="483"/>
      <c r="K113" s="483"/>
      <c r="L113" s="533"/>
    </row>
    <row r="114" spans="1:12" x14ac:dyDescent="0.2">
      <c r="A114" s="577"/>
      <c r="B114" s="491"/>
      <c r="C114" s="536"/>
      <c r="D114" s="483" t="s">
        <v>219</v>
      </c>
      <c r="E114" s="483"/>
      <c r="F114" s="483"/>
      <c r="G114" s="483"/>
      <c r="H114" s="483"/>
      <c r="I114" s="483"/>
      <c r="J114" s="483"/>
      <c r="K114" s="483"/>
      <c r="L114" s="533"/>
    </row>
    <row r="115" spans="1:12" x14ac:dyDescent="0.2">
      <c r="A115" s="577"/>
      <c r="B115" s="491"/>
      <c r="C115" s="483"/>
      <c r="D115" s="483"/>
      <c r="E115" s="483" t="s">
        <v>220</v>
      </c>
      <c r="F115" s="483"/>
      <c r="G115" s="483"/>
      <c r="H115" s="483"/>
      <c r="I115" s="483"/>
      <c r="J115" s="483"/>
      <c r="K115" s="483"/>
      <c r="L115" s="533"/>
    </row>
    <row r="116" spans="1:12" x14ac:dyDescent="0.2">
      <c r="A116" s="577"/>
      <c r="B116" s="491"/>
      <c r="C116" s="483"/>
      <c r="D116" s="483" t="s">
        <v>2</v>
      </c>
      <c r="E116" s="483"/>
      <c r="F116" s="483"/>
      <c r="G116" s="483"/>
      <c r="H116" s="483"/>
      <c r="I116" s="483"/>
      <c r="J116" s="483"/>
      <c r="K116" s="532"/>
      <c r="L116" s="533"/>
    </row>
    <row r="117" spans="1:12" x14ac:dyDescent="0.2">
      <c r="A117" s="577"/>
      <c r="B117" s="491"/>
      <c r="C117" s="483"/>
      <c r="D117" s="502" t="s">
        <v>0</v>
      </c>
      <c r="E117" s="483"/>
      <c r="F117" s="483"/>
      <c r="G117" s="483"/>
      <c r="H117" s="483"/>
      <c r="I117" s="537" t="s">
        <v>233</v>
      </c>
      <c r="J117" s="538" t="s">
        <v>235</v>
      </c>
      <c r="K117" s="483"/>
      <c r="L117" s="539"/>
    </row>
    <row r="118" spans="1:12" x14ac:dyDescent="0.2">
      <c r="A118" s="577"/>
      <c r="B118" s="491"/>
      <c r="C118" s="540" t="s">
        <v>80</v>
      </c>
      <c r="D118" s="541">
        <v>1</v>
      </c>
      <c r="E118" s="542" t="s">
        <v>5</v>
      </c>
      <c r="F118" s="483"/>
      <c r="G118" s="524"/>
      <c r="H118" s="524"/>
      <c r="I118" s="521" t="str">
        <f>IF(Structure!D20&lt;&gt;"","X","")</f>
        <v/>
      </c>
      <c r="J118" s="459" t="str">
        <f>IF(I118&lt;&gt;"",1,"")</f>
        <v/>
      </c>
      <c r="K118" s="543" t="str">
        <f>IF(I118="","",1)</f>
        <v/>
      </c>
      <c r="L118" s="539"/>
    </row>
    <row r="119" spans="1:12" x14ac:dyDescent="0.2">
      <c r="A119" s="577"/>
      <c r="B119" s="491"/>
      <c r="C119" s="540"/>
      <c r="D119" s="541">
        <v>2</v>
      </c>
      <c r="E119" s="483" t="s">
        <v>300</v>
      </c>
      <c r="F119" s="524"/>
      <c r="G119" s="544"/>
      <c r="H119" s="527"/>
      <c r="I119" s="521" t="str">
        <f>IF(Structure!D21&lt;&gt;"","X","")</f>
        <v/>
      </c>
      <c r="J119" s="459" t="str">
        <f>IF(I119&lt;&gt;"",2,"")</f>
        <v/>
      </c>
      <c r="K119" s="543" t="str">
        <f>IF(I119="","",1)</f>
        <v/>
      </c>
      <c r="L119" s="539"/>
    </row>
    <row r="120" spans="1:12" x14ac:dyDescent="0.2">
      <c r="A120" s="577"/>
      <c r="B120" s="491"/>
      <c r="C120" s="540" t="s">
        <v>86</v>
      </c>
      <c r="D120" s="541">
        <v>3</v>
      </c>
      <c r="E120" s="542" t="s">
        <v>468</v>
      </c>
      <c r="F120" s="524"/>
      <c r="G120" s="544"/>
      <c r="H120" s="527"/>
      <c r="I120" s="521" t="str">
        <f>IF(Structure!D22&lt;&gt;"","X","")</f>
        <v/>
      </c>
      <c r="J120" s="459" t="str">
        <f>IF(I120&lt;&gt;"",3,"")</f>
        <v/>
      </c>
      <c r="K120" s="543" t="str">
        <f>IF(I120="","",1)</f>
        <v/>
      </c>
      <c r="L120" s="539"/>
    </row>
    <row r="121" spans="1:12" x14ac:dyDescent="0.2">
      <c r="A121" s="577"/>
      <c r="B121" s="491"/>
      <c r="C121" s="545"/>
      <c r="D121" s="541">
        <v>4</v>
      </c>
      <c r="E121" s="542" t="s">
        <v>301</v>
      </c>
      <c r="F121" s="546"/>
      <c r="G121" s="547"/>
      <c r="H121" s="547"/>
      <c r="I121" s="521" t="str">
        <f>IF(Structure!D23&lt;&gt;"","X","")</f>
        <v/>
      </c>
      <c r="J121" s="459" t="str">
        <f>IF(I121&lt;&gt;"",4,"")</f>
        <v/>
      </c>
      <c r="K121" s="543" t="str">
        <f>IF(I121="","",1)</f>
        <v/>
      </c>
      <c r="L121" s="539"/>
    </row>
    <row r="122" spans="1:12" x14ac:dyDescent="0.2">
      <c r="A122" s="577"/>
      <c r="B122" s="491"/>
      <c r="C122" s="540" t="s">
        <v>94</v>
      </c>
      <c r="D122" s="541">
        <v>5</v>
      </c>
      <c r="E122" s="542" t="s">
        <v>302</v>
      </c>
      <c r="F122" s="546"/>
      <c r="G122" s="547"/>
      <c r="H122" s="547"/>
      <c r="I122" s="521" t="str">
        <f>IF(Structure!D24&lt;&gt;"","X","")</f>
        <v/>
      </c>
      <c r="J122" s="459" t="str">
        <f>IF(I122&lt;&gt;"",5,"")</f>
        <v/>
      </c>
      <c r="K122" s="543" t="str">
        <f>IF(I122="","",1)</f>
        <v/>
      </c>
      <c r="L122" s="539"/>
    </row>
    <row r="123" spans="1:12" x14ac:dyDescent="0.2">
      <c r="A123" s="577"/>
      <c r="B123" s="491"/>
      <c r="C123" s="483"/>
      <c r="D123" s="483"/>
      <c r="E123" s="483"/>
      <c r="F123" s="483"/>
      <c r="G123" s="483"/>
      <c r="H123" s="483"/>
      <c r="I123" s="483"/>
      <c r="J123" s="548">
        <f>IF(K123&gt;1,0,SUM(J118:J122))</f>
        <v>0</v>
      </c>
      <c r="K123" s="543">
        <f>SUM(K118:K122)</f>
        <v>0</v>
      </c>
      <c r="L123" s="539"/>
    </row>
    <row r="124" spans="1:12" x14ac:dyDescent="0.2">
      <c r="A124" s="577"/>
      <c r="B124" s="491"/>
      <c r="C124" s="524"/>
      <c r="D124" s="546"/>
      <c r="E124" s="546"/>
      <c r="F124" s="546"/>
      <c r="G124" s="547"/>
      <c r="H124" s="547"/>
      <c r="I124" s="547"/>
      <c r="J124" s="531"/>
      <c r="K124" s="547"/>
      <c r="L124" s="539"/>
    </row>
    <row r="125" spans="1:12" x14ac:dyDescent="0.2">
      <c r="A125" s="577"/>
      <c r="B125" s="517" t="s">
        <v>469</v>
      </c>
      <c r="C125" s="480"/>
      <c r="D125" s="460"/>
      <c r="E125" s="524"/>
      <c r="F125" s="483"/>
      <c r="G125" s="549" t="s">
        <v>221</v>
      </c>
      <c r="H125" s="483"/>
      <c r="I125" s="524"/>
      <c r="J125" s="524"/>
      <c r="K125" s="524"/>
      <c r="L125" s="539"/>
    </row>
    <row r="126" spans="1:12" x14ac:dyDescent="0.2">
      <c r="B126" s="491"/>
      <c r="C126" s="526"/>
      <c r="D126" s="460"/>
      <c r="E126" s="480"/>
      <c r="F126" s="532"/>
      <c r="G126" s="524"/>
      <c r="H126" s="524"/>
      <c r="I126" s="524"/>
      <c r="J126" s="524"/>
      <c r="K126" s="524"/>
      <c r="L126" s="539"/>
    </row>
    <row r="127" spans="1:12" x14ac:dyDescent="0.2">
      <c r="B127" s="491"/>
      <c r="C127" s="550" t="s">
        <v>222</v>
      </c>
      <c r="D127" s="537" t="s">
        <v>223</v>
      </c>
      <c r="E127" s="480" t="s">
        <v>231</v>
      </c>
      <c r="F127" s="550" t="s">
        <v>232</v>
      </c>
      <c r="G127" s="483"/>
      <c r="H127" s="524"/>
      <c r="I127" s="524"/>
      <c r="J127" s="524"/>
      <c r="K127" s="524"/>
      <c r="L127" s="539"/>
    </row>
    <row r="128" spans="1:12" x14ac:dyDescent="0.2">
      <c r="B128" s="491"/>
      <c r="C128" s="492" t="s">
        <v>224</v>
      </c>
      <c r="D128" s="521" t="str">
        <f>IF(Structure!J21&lt;&gt;"","x","")</f>
        <v/>
      </c>
      <c r="E128" s="453">
        <v>2</v>
      </c>
      <c r="F128" s="493" t="str">
        <f>IF(D128&lt;&gt;"",2,"")</f>
        <v/>
      </c>
      <c r="G128" s="543" t="str">
        <f>IF(D128="","",1)</f>
        <v/>
      </c>
      <c r="H128" s="524"/>
      <c r="I128" s="524"/>
      <c r="J128" s="524"/>
      <c r="K128" s="524"/>
      <c r="L128" s="539"/>
    </row>
    <row r="129" spans="2:12" x14ac:dyDescent="0.2">
      <c r="B129" s="491"/>
      <c r="C129" s="492" t="s">
        <v>225</v>
      </c>
      <c r="D129" s="521" t="str">
        <f>IF(Structure!J22&lt;&gt;"","x","")</f>
        <v/>
      </c>
      <c r="E129" s="453">
        <v>4</v>
      </c>
      <c r="F129" s="493" t="str">
        <f>IF(D129&lt;&gt;"",4,"")</f>
        <v/>
      </c>
      <c r="G129" s="543" t="str">
        <f>IF(D129="","",1)</f>
        <v/>
      </c>
      <c r="H129" s="524"/>
      <c r="I129" s="527"/>
      <c r="J129" s="524"/>
      <c r="K129" s="527"/>
      <c r="L129" s="539"/>
    </row>
    <row r="130" spans="2:12" x14ac:dyDescent="0.2">
      <c r="B130" s="491"/>
      <c r="C130" s="492" t="s">
        <v>226</v>
      </c>
      <c r="D130" s="521" t="str">
        <f>IF(Structure!J23&lt;&gt;"","x","")</f>
        <v/>
      </c>
      <c r="E130" s="453">
        <v>6</v>
      </c>
      <c r="F130" s="493" t="str">
        <f>IF(D130&lt;&gt;"",6,"")</f>
        <v/>
      </c>
      <c r="G130" s="543" t="str">
        <f>IF(D130="","",1)</f>
        <v/>
      </c>
      <c r="H130" s="524"/>
      <c r="I130" s="527"/>
      <c r="J130" s="524"/>
      <c r="K130" s="524"/>
      <c r="L130" s="539"/>
    </row>
    <row r="131" spans="2:12" x14ac:dyDescent="0.2">
      <c r="B131" s="491"/>
      <c r="C131" s="492" t="s">
        <v>227</v>
      </c>
      <c r="D131" s="521" t="str">
        <f>IF(Structure!J24&lt;&gt;"","x","")</f>
        <v/>
      </c>
      <c r="E131" s="453">
        <v>8</v>
      </c>
      <c r="F131" s="551" t="str">
        <f>IF(D131&lt;&gt;"",8,"")</f>
        <v/>
      </c>
      <c r="G131" s="543" t="str">
        <f>IF(D131="","",1)</f>
        <v/>
      </c>
      <c r="H131" s="483"/>
      <c r="I131" s="483"/>
      <c r="J131" s="483"/>
      <c r="K131" s="483"/>
      <c r="L131" s="539"/>
    </row>
    <row r="132" spans="2:12" x14ac:dyDescent="0.2">
      <c r="B132" s="491"/>
      <c r="C132" s="492"/>
      <c r="D132" s="552"/>
      <c r="E132" s="453"/>
      <c r="F132" s="493">
        <f>IF(G132&gt;1,0,SUM(F128:F131))</f>
        <v>0</v>
      </c>
      <c r="G132" s="543">
        <f>SUM(G128:G131)</f>
        <v>0</v>
      </c>
      <c r="H132" s="483"/>
      <c r="I132" s="483"/>
      <c r="J132" s="483"/>
      <c r="K132" s="483"/>
      <c r="L132" s="539"/>
    </row>
    <row r="133" spans="2:12" x14ac:dyDescent="0.2">
      <c r="B133" s="491"/>
      <c r="C133" s="492"/>
      <c r="D133" s="529"/>
      <c r="E133" s="453"/>
      <c r="F133" s="480"/>
      <c r="G133" s="484"/>
      <c r="H133" s="483" t="s">
        <v>236</v>
      </c>
      <c r="I133" s="483"/>
      <c r="J133" s="461">
        <f>I110</f>
        <v>0</v>
      </c>
      <c r="K133" s="553" t="s">
        <v>175</v>
      </c>
      <c r="L133" s="486"/>
    </row>
    <row r="134" spans="2:12" x14ac:dyDescent="0.2">
      <c r="B134" s="491"/>
      <c r="C134" s="483"/>
      <c r="D134" s="531"/>
      <c r="E134" s="483"/>
      <c r="F134" s="480"/>
      <c r="G134" s="484"/>
      <c r="H134" s="483" t="s">
        <v>228</v>
      </c>
      <c r="I134" s="483"/>
      <c r="J134" s="506">
        <f>J123</f>
        <v>0</v>
      </c>
      <c r="K134" s="483"/>
      <c r="L134" s="486"/>
    </row>
    <row r="135" spans="2:12" x14ac:dyDescent="0.2">
      <c r="B135" s="491"/>
      <c r="C135" s="483"/>
      <c r="D135" s="531"/>
      <c r="E135" s="483"/>
      <c r="F135" s="480"/>
      <c r="G135" s="507"/>
      <c r="H135" s="483" t="s">
        <v>229</v>
      </c>
      <c r="I135" s="483"/>
      <c r="J135" s="506">
        <f>F132</f>
        <v>0</v>
      </c>
      <c r="K135" s="554"/>
      <c r="L135" s="486"/>
    </row>
    <row r="136" spans="2:12" x14ac:dyDescent="0.2">
      <c r="B136" s="491"/>
      <c r="C136" s="483"/>
      <c r="D136" s="480"/>
      <c r="E136" s="483"/>
      <c r="F136" s="480"/>
      <c r="G136" s="483"/>
      <c r="H136" s="483"/>
      <c r="I136" s="483"/>
      <c r="J136" s="483"/>
      <c r="K136" s="554"/>
      <c r="L136" s="486"/>
    </row>
    <row r="137" spans="2:12" x14ac:dyDescent="0.2">
      <c r="B137" s="491"/>
      <c r="C137" s="483"/>
      <c r="D137" s="483"/>
      <c r="E137" s="483"/>
      <c r="F137" s="483"/>
      <c r="G137" s="480"/>
      <c r="H137" s="480"/>
      <c r="I137" s="507" t="s">
        <v>230</v>
      </c>
      <c r="J137" s="555">
        <f>SUM(J133:J135)</f>
        <v>0</v>
      </c>
      <c r="K137" s="480"/>
      <c r="L137" s="486"/>
    </row>
    <row r="138" spans="2:12" ht="13.5" thickBot="1" x14ac:dyDescent="0.25">
      <c r="B138" s="509"/>
      <c r="C138" s="510"/>
      <c r="D138" s="510"/>
      <c r="E138" s="510"/>
      <c r="F138" s="510"/>
      <c r="G138" s="511"/>
      <c r="H138" s="511"/>
      <c r="I138" s="556"/>
      <c r="J138" s="557"/>
      <c r="K138" s="510"/>
      <c r="L138" s="513"/>
    </row>
  </sheetData>
  <sheetProtection algorithmName="SHA-512" hashValue="82JXXivl/Qinza2cJCmtfT7WwXc2OVoGwTQ8gJ9yEcooDX3l+xuN5fnAY3O7Y51Ah4168jAszSs1Hryu5S2thw==" saltValue="MfafBNy5ZGgmm1QT7vCPyQ==" spinCount="100000" sheet="1" selectLockedCells="1"/>
  <mergeCells count="10">
    <mergeCell ref="A86:A125"/>
    <mergeCell ref="F19:G19"/>
    <mergeCell ref="J88:L90"/>
    <mergeCell ref="J31:K32"/>
    <mergeCell ref="J4:K4"/>
    <mergeCell ref="F8:G8"/>
    <mergeCell ref="B10:C10"/>
    <mergeCell ref="A31:A78"/>
    <mergeCell ref="I10:J10"/>
    <mergeCell ref="G34:J35"/>
  </mergeCells>
  <conditionalFormatting sqref="D133">
    <cfRule type="expression" dxfId="17" priority="1" stopIfTrue="1">
      <formula>ISERROR(#REF!)</formula>
    </cfRule>
  </conditionalFormatting>
  <hyperlinks>
    <hyperlink ref="B10" location="'3R SERWKSHT'!A63" display="Sheet 3" xr:uid="{00000000-0004-0000-0200-000000000000}"/>
    <hyperlink ref="B10:C10" location="Structure!A31" display="Scoring Sheets" xr:uid="{00000000-0004-0000-0200-000001000000}"/>
    <hyperlink ref="I10" location="'3R SERWKSHT'!A63" display="Sheet 3" xr:uid="{00000000-0004-0000-0200-000002000000}"/>
    <hyperlink ref="I10:J10" location="Structure!A86" display="Scoring Sheets" xr:uid="{00000000-0004-0000-0200-000003000000}"/>
    <hyperlink ref="F19:G19" location="USCS!E1" display="See USCS sheet" xr:uid="{00000000-0004-0000-0200-000004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O129"/>
  <sheetViews>
    <sheetView showGridLines="0" topLeftCell="B1" workbookViewId="0">
      <selection activeCell="F19" sqref="F19"/>
    </sheetView>
  </sheetViews>
  <sheetFormatPr defaultRowHeight="12.75" customHeight="1" x14ac:dyDescent="0.2"/>
  <cols>
    <col min="1" max="256" width="7.7109375" style="287" customWidth="1"/>
    <col min="257" max="16384" width="9.140625" style="287"/>
  </cols>
  <sheetData>
    <row r="2" spans="2:28" ht="12.75" customHeight="1" thickBot="1" x14ac:dyDescent="0.25"/>
    <row r="3" spans="2:28" ht="12.75" customHeight="1" x14ac:dyDescent="0.2">
      <c r="B3" s="193"/>
      <c r="C3" s="119"/>
      <c r="D3" s="120" t="s">
        <v>374</v>
      </c>
      <c r="E3" s="121"/>
      <c r="F3" s="121"/>
      <c r="G3" s="121"/>
      <c r="H3" s="121"/>
      <c r="I3" s="121"/>
      <c r="J3" s="121"/>
      <c r="K3" s="121"/>
      <c r="L3" s="121"/>
      <c r="M3" s="122"/>
      <c r="N3" s="122"/>
      <c r="O3" s="122"/>
      <c r="P3" s="443"/>
      <c r="Q3" s="445"/>
      <c r="R3" s="193"/>
    </row>
    <row r="4" spans="2:28" ht="12.75" customHeight="1" x14ac:dyDescent="0.2">
      <c r="B4" s="193"/>
      <c r="C4" s="123"/>
      <c r="D4" s="142"/>
      <c r="E4" s="6"/>
      <c r="F4" s="6"/>
      <c r="G4" s="6"/>
      <c r="H4" s="6"/>
      <c r="I4" s="6"/>
      <c r="J4" s="6"/>
      <c r="K4" s="6"/>
      <c r="L4" s="6"/>
      <c r="M4" s="124"/>
      <c r="N4" s="124"/>
      <c r="O4" s="124"/>
      <c r="P4" s="125"/>
      <c r="Q4" s="153"/>
      <c r="R4" s="193"/>
      <c r="S4" s="431" t="s">
        <v>490</v>
      </c>
      <c r="T4" s="354"/>
      <c r="U4" s="354"/>
      <c r="V4" s="354"/>
      <c r="W4" s="353"/>
      <c r="X4" s="353"/>
      <c r="Y4" s="354"/>
      <c r="Z4" s="354"/>
      <c r="AA4" s="354"/>
      <c r="AB4" s="353"/>
    </row>
    <row r="5" spans="2:28" ht="12.75" customHeight="1" x14ac:dyDescent="0.2">
      <c r="B5" s="193"/>
      <c r="C5" s="123"/>
      <c r="D5" s="172" t="s">
        <v>251</v>
      </c>
      <c r="E5" s="6" t="s">
        <v>198</v>
      </c>
      <c r="F5" s="59"/>
      <c r="G5" s="58" t="s">
        <v>261</v>
      </c>
      <c r="H5" s="6"/>
      <c r="I5" s="6"/>
      <c r="J5" s="118"/>
      <c r="K5" s="124"/>
      <c r="L5" s="592" t="s">
        <v>484</v>
      </c>
      <c r="M5" s="592"/>
      <c r="N5" s="592"/>
      <c r="O5" s="23" t="s">
        <v>375</v>
      </c>
      <c r="P5" s="125"/>
      <c r="Q5" s="446"/>
      <c r="R5" s="432"/>
      <c r="S5" s="305"/>
      <c r="T5" s="353"/>
      <c r="U5" s="364"/>
      <c r="V5" s="364"/>
      <c r="W5" s="364"/>
      <c r="X5" s="364"/>
      <c r="Y5" s="364"/>
      <c r="Z5" s="364"/>
      <c r="AA5" s="364"/>
      <c r="AB5" s="364"/>
    </row>
    <row r="6" spans="2:28" ht="12.75" customHeight="1" x14ac:dyDescent="0.2">
      <c r="B6" s="193"/>
      <c r="C6" s="123"/>
      <c r="D6" s="54"/>
      <c r="E6" s="42" t="s">
        <v>167</v>
      </c>
      <c r="F6" s="6"/>
      <c r="G6" s="54"/>
      <c r="H6" s="303" t="s">
        <v>514</v>
      </c>
      <c r="I6" s="42"/>
      <c r="J6" s="124"/>
      <c r="K6" s="124"/>
      <c r="L6" s="592"/>
      <c r="M6" s="592"/>
      <c r="N6" s="592"/>
      <c r="O6" s="23" t="s">
        <v>125</v>
      </c>
      <c r="P6" s="125"/>
      <c r="Q6" s="446"/>
      <c r="R6" s="432"/>
      <c r="S6" s="353"/>
      <c r="T6" s="353"/>
      <c r="U6" s="353"/>
      <c r="V6" s="353"/>
      <c r="W6" s="353"/>
      <c r="X6" s="353"/>
      <c r="Y6" s="353"/>
      <c r="Z6" s="353"/>
      <c r="AA6" s="353"/>
      <c r="AB6" s="353"/>
    </row>
    <row r="7" spans="2:28" ht="12.75" customHeight="1" thickBot="1" x14ac:dyDescent="0.25">
      <c r="B7" s="193"/>
      <c r="C7" s="123"/>
      <c r="D7" s="54"/>
      <c r="E7" s="42" t="s">
        <v>168</v>
      </c>
      <c r="F7" s="6"/>
      <c r="G7" s="54"/>
      <c r="H7" s="303" t="s">
        <v>515</v>
      </c>
      <c r="I7" s="42"/>
      <c r="J7" s="124"/>
      <c r="K7" s="124"/>
      <c r="L7" s="592"/>
      <c r="M7" s="592"/>
      <c r="N7" s="592"/>
      <c r="O7" s="23" t="s">
        <v>377</v>
      </c>
      <c r="P7" s="125"/>
      <c r="Q7" s="446"/>
      <c r="R7" s="432"/>
      <c r="S7" s="433">
        <f>Geometry!G6</f>
        <v>0</v>
      </c>
      <c r="T7" s="307" t="s">
        <v>265</v>
      </c>
      <c r="U7" s="306"/>
      <c r="V7" s="306"/>
      <c r="W7" s="305" t="s">
        <v>470</v>
      </c>
      <c r="X7" s="305"/>
      <c r="Y7" s="184" t="s">
        <v>201</v>
      </c>
      <c r="Z7" s="305"/>
      <c r="AA7" s="184" t="s">
        <v>376</v>
      </c>
      <c r="AB7" s="184" t="s">
        <v>2</v>
      </c>
    </row>
    <row r="8" spans="2:28" ht="12.75" customHeight="1" thickBot="1" x14ac:dyDescent="0.25">
      <c r="B8" s="193"/>
      <c r="C8" s="123"/>
      <c r="D8" s="54"/>
      <c r="E8" s="42" t="s">
        <v>169</v>
      </c>
      <c r="F8" s="6"/>
      <c r="G8" s="14" t="str">
        <f>Geometry!S12</f>
        <v/>
      </c>
      <c r="H8" s="42" t="s">
        <v>378</v>
      </c>
      <c r="I8" s="42"/>
      <c r="J8" s="124"/>
      <c r="K8" s="124"/>
      <c r="L8" s="592"/>
      <c r="M8" s="592"/>
      <c r="N8" s="592"/>
      <c r="O8" s="86" t="str">
        <f>Geometry!V27</f>
        <v/>
      </c>
      <c r="P8" s="125"/>
      <c r="Q8" s="446"/>
      <c r="R8" s="432"/>
      <c r="S8" s="306"/>
      <c r="T8" s="306"/>
      <c r="U8" s="306"/>
      <c r="V8" s="306"/>
      <c r="W8" s="434">
        <f>IF(S9&gt;S12,S12-S7,S9-S7)</f>
        <v>0</v>
      </c>
      <c r="X8" s="434"/>
      <c r="Y8" s="435">
        <f>IF(AND(ROUND(W8,0)=2,ROUND(W8,0)&lt;&gt;0),5,Y9)</f>
        <v>0</v>
      </c>
      <c r="Z8" s="305"/>
      <c r="AA8" s="184" t="s">
        <v>117</v>
      </c>
      <c r="AB8" s="184">
        <v>5</v>
      </c>
    </row>
    <row r="9" spans="2:28" ht="12.75" customHeight="1" x14ac:dyDescent="0.2">
      <c r="B9" s="193"/>
      <c r="C9" s="123"/>
      <c r="D9" s="6"/>
      <c r="E9" s="6"/>
      <c r="F9" s="590" t="s">
        <v>473</v>
      </c>
      <c r="G9" s="590"/>
      <c r="H9" s="590"/>
      <c r="I9" s="590"/>
      <c r="J9" s="590"/>
      <c r="K9" s="590"/>
      <c r="L9" s="590"/>
      <c r="M9" s="124"/>
      <c r="N9" s="125"/>
      <c r="O9" s="125"/>
      <c r="P9" s="125"/>
      <c r="Q9" s="446"/>
      <c r="R9" s="432"/>
      <c r="S9" s="433">
        <f>Geometry!G7</f>
        <v>0</v>
      </c>
      <c r="T9" s="307" t="s">
        <v>266</v>
      </c>
      <c r="U9" s="306"/>
      <c r="V9" s="306"/>
      <c r="W9" s="306"/>
      <c r="X9" s="306"/>
      <c r="Y9" s="184">
        <f>IF(AND(ROUND(W8,0)&gt;2,ROUND(W8,0)&lt;5,ROUND(W8,0)&gt;0),10,Y10)</f>
        <v>0</v>
      </c>
      <c r="Z9" s="305"/>
      <c r="AA9" s="184" t="s">
        <v>120</v>
      </c>
      <c r="AB9" s="184">
        <v>10</v>
      </c>
    </row>
    <row r="10" spans="2:28" ht="12.75" customHeight="1" x14ac:dyDescent="0.2">
      <c r="B10" s="193"/>
      <c r="C10" s="123"/>
      <c r="D10" s="591" t="s">
        <v>195</v>
      </c>
      <c r="E10" s="591"/>
      <c r="F10" s="591"/>
      <c r="G10" s="6"/>
      <c r="H10" s="6"/>
      <c r="I10" s="6"/>
      <c r="J10" s="6"/>
      <c r="K10" s="126"/>
      <c r="L10" s="591" t="s">
        <v>194</v>
      </c>
      <c r="M10" s="591"/>
      <c r="N10" s="591"/>
      <c r="O10" s="58"/>
      <c r="P10" s="117"/>
      <c r="Q10" s="446"/>
      <c r="R10" s="432"/>
      <c r="S10" s="306"/>
      <c r="T10" s="306"/>
      <c r="U10" s="306"/>
      <c r="V10" s="306"/>
      <c r="W10" s="306"/>
      <c r="X10" s="306"/>
      <c r="Y10" s="184">
        <f>IF(ROUND(W8,0)&gt;=5,15,0)</f>
        <v>0</v>
      </c>
      <c r="Z10" s="305"/>
      <c r="AA10" s="184" t="s">
        <v>379</v>
      </c>
      <c r="AB10" s="184">
        <v>15</v>
      </c>
    </row>
    <row r="11" spans="2:28" ht="12.75" customHeight="1" x14ac:dyDescent="0.2">
      <c r="B11" s="193"/>
      <c r="C11" s="123"/>
      <c r="D11" s="597"/>
      <c r="E11" s="597"/>
      <c r="F11" s="597"/>
      <c r="G11" s="6"/>
      <c r="H11" s="6"/>
      <c r="I11" s="6"/>
      <c r="J11" s="593" t="s">
        <v>356</v>
      </c>
      <c r="K11" s="6"/>
      <c r="L11" s="597"/>
      <c r="M11" s="597"/>
      <c r="N11" s="597"/>
      <c r="O11" s="62" t="s">
        <v>186</v>
      </c>
      <c r="P11" s="62" t="s">
        <v>355</v>
      </c>
      <c r="Q11" s="447"/>
      <c r="R11" s="194"/>
      <c r="S11" s="307" t="s">
        <v>267</v>
      </c>
      <c r="T11" s="306"/>
      <c r="U11" s="306"/>
      <c r="V11" s="306"/>
      <c r="W11" s="306"/>
      <c r="X11" s="306"/>
      <c r="Y11" s="306"/>
      <c r="Z11" s="306"/>
      <c r="AA11" s="306"/>
      <c r="AB11" s="306"/>
    </row>
    <row r="12" spans="2:28" ht="12.75" customHeight="1" x14ac:dyDescent="0.2">
      <c r="B12" s="193"/>
      <c r="C12" s="123"/>
      <c r="D12" s="116" t="s">
        <v>354</v>
      </c>
      <c r="E12" s="128" t="s">
        <v>185</v>
      </c>
      <c r="F12" s="116" t="s">
        <v>124</v>
      </c>
      <c r="G12" s="116" t="s">
        <v>186</v>
      </c>
      <c r="H12" s="116" t="s">
        <v>179</v>
      </c>
      <c r="I12" s="116"/>
      <c r="J12" s="593"/>
      <c r="K12" s="129"/>
      <c r="L12" s="62" t="s">
        <v>124</v>
      </c>
      <c r="M12" s="62" t="s">
        <v>123</v>
      </c>
      <c r="N12" s="130" t="s">
        <v>124</v>
      </c>
      <c r="O12" s="62" t="s">
        <v>353</v>
      </c>
      <c r="P12" s="303" t="s">
        <v>126</v>
      </c>
      <c r="Q12" s="448"/>
      <c r="R12" s="436"/>
      <c r="S12" s="437" t="str">
        <f>IF(AND(Geometry!S23=0,Geometry!S24=0,Geometry!S25=0),"",S16)</f>
        <v/>
      </c>
      <c r="T12" s="353" t="s">
        <v>471</v>
      </c>
      <c r="U12" s="306"/>
      <c r="V12" s="306"/>
      <c r="W12" s="306"/>
      <c r="X12" s="306"/>
      <c r="Y12" s="306"/>
      <c r="Z12" s="306"/>
      <c r="AA12" s="306"/>
      <c r="AB12" s="306"/>
    </row>
    <row r="13" spans="2:28" ht="12.75" customHeight="1" x14ac:dyDescent="0.2">
      <c r="B13" s="193"/>
      <c r="C13" s="123"/>
      <c r="D13" s="131" t="s">
        <v>173</v>
      </c>
      <c r="E13" s="128" t="s">
        <v>197</v>
      </c>
      <c r="F13" s="116" t="s">
        <v>148</v>
      </c>
      <c r="G13" s="131" t="s">
        <v>353</v>
      </c>
      <c r="H13" s="131" t="s">
        <v>148</v>
      </c>
      <c r="I13" s="131"/>
      <c r="J13" s="593"/>
      <c r="K13" s="129"/>
      <c r="L13" s="62" t="s">
        <v>214</v>
      </c>
      <c r="M13" s="62" t="s">
        <v>126</v>
      </c>
      <c r="N13" s="62" t="s">
        <v>126</v>
      </c>
      <c r="O13" s="23"/>
      <c r="P13" s="444" t="s">
        <v>384</v>
      </c>
      <c r="Q13" s="449">
        <f>IF(N15&lt;=P15,1,1-(N15-P15)/(M15-P15))</f>
        <v>1</v>
      </c>
      <c r="R13" s="438"/>
      <c r="S13" s="594" t="s">
        <v>260</v>
      </c>
      <c r="T13" s="594"/>
      <c r="U13" s="594"/>
      <c r="V13" s="594"/>
      <c r="W13" s="353"/>
      <c r="X13" s="353"/>
      <c r="Y13" s="269"/>
      <c r="Z13" s="269"/>
      <c r="AA13" s="269"/>
      <c r="AB13" s="439"/>
    </row>
    <row r="14" spans="2:28" ht="12.75" customHeight="1" x14ac:dyDescent="0.2">
      <c r="B14" s="193"/>
      <c r="C14" s="132" t="str">
        <f>IF(AND(F14&lt;&gt;0,F14&lt;O8),"*","")</f>
        <v/>
      </c>
      <c r="D14" s="54"/>
      <c r="E14" s="54"/>
      <c r="F14" s="54"/>
      <c r="G14" s="133" t="str">
        <f>IF(AND(F14&gt;=H14,H14&lt;O8,F14&lt;&gt;0),I14*(E14/G29),"")</f>
        <v/>
      </c>
      <c r="H14" s="23" t="str">
        <f>Geometry!R49</f>
        <v/>
      </c>
      <c r="I14" s="253">
        <f>IF(F14&gt;=O8,1,(F14-H14)/(O8-H14))</f>
        <v>1</v>
      </c>
      <c r="J14" s="23">
        <v>1</v>
      </c>
      <c r="K14" s="134" t="str">
        <f t="shared" ref="K14:K27" si="0">IF(AND(N14&lt;&gt;0,N14&gt;P14),"*","")</f>
        <v/>
      </c>
      <c r="L14" s="54"/>
      <c r="M14" s="54"/>
      <c r="N14" s="54"/>
      <c r="O14" s="252" t="str">
        <f t="shared" ref="O14:O27" si="1">IF(AND(N14&lt;M14,M14&gt;P14,N14&lt;&gt;0),Q14,"")</f>
        <v/>
      </c>
      <c r="P14" s="23" t="str">
        <f>Geometry!Q96</f>
        <v/>
      </c>
      <c r="Q14" s="449">
        <f t="shared" ref="Q14:Q27" si="2">IF(N14&lt;=P14,1,1-(N14-P14)/(M14-P14))</f>
        <v>1</v>
      </c>
      <c r="R14" s="438"/>
      <c r="S14" s="401"/>
      <c r="T14" s="364"/>
      <c r="U14" s="353"/>
      <c r="V14" s="353"/>
      <c r="W14" s="353"/>
      <c r="X14" s="353"/>
      <c r="Y14" s="193"/>
      <c r="Z14" s="258"/>
      <c r="AA14" s="258"/>
      <c r="AB14" s="353"/>
    </row>
    <row r="15" spans="2:28" ht="12.75" customHeight="1" x14ac:dyDescent="0.2">
      <c r="B15" s="193"/>
      <c r="C15" s="132" t="str">
        <f>IF(AND(F15&lt;&gt;0,F15&lt;O8),"*","")</f>
        <v/>
      </c>
      <c r="D15" s="54"/>
      <c r="E15" s="54"/>
      <c r="F15" s="54"/>
      <c r="G15" s="133" t="str">
        <f>IF(AND(F15&gt;=H15,H15&lt;O8,F15&lt;&gt;0),I15*(E15/G29),"")</f>
        <v/>
      </c>
      <c r="H15" s="23" t="str">
        <f>Geometry!R50</f>
        <v/>
      </c>
      <c r="I15" s="253">
        <f>IF(F15&gt;=O8,1,(F15-H15)/(O8-H15))</f>
        <v>1</v>
      </c>
      <c r="J15" s="23">
        <v>2</v>
      </c>
      <c r="K15" s="134" t="str">
        <f t="shared" si="0"/>
        <v/>
      </c>
      <c r="L15" s="54"/>
      <c r="M15" s="54"/>
      <c r="N15" s="54"/>
      <c r="O15" s="252" t="str">
        <f t="shared" si="1"/>
        <v/>
      </c>
      <c r="P15" s="23" t="str">
        <f>Geometry!Q97</f>
        <v/>
      </c>
      <c r="Q15" s="449">
        <f t="shared" si="2"/>
        <v>1</v>
      </c>
      <c r="R15" s="438"/>
      <c r="S15" s="440" t="s">
        <v>262</v>
      </c>
      <c r="T15" s="440" t="s">
        <v>263</v>
      </c>
      <c r="U15" s="440" t="s">
        <v>264</v>
      </c>
      <c r="V15" s="440" t="s">
        <v>116</v>
      </c>
      <c r="W15" s="353"/>
      <c r="X15" s="353"/>
      <c r="Y15" s="195"/>
      <c r="Z15" s="195"/>
      <c r="AA15" s="195"/>
      <c r="AB15" s="305"/>
    </row>
    <row r="16" spans="2:28" ht="12.75" customHeight="1" x14ac:dyDescent="0.2">
      <c r="B16" s="193"/>
      <c r="C16" s="132" t="str">
        <f>IF(AND(F16&lt;&gt;0,F16&lt;O8),"*","")</f>
        <v/>
      </c>
      <c r="D16" s="54"/>
      <c r="E16" s="54"/>
      <c r="F16" s="54"/>
      <c r="G16" s="133" t="str">
        <f>IF(AND(F16&gt;=H16,H16&lt;O8,F16&lt;&gt;0),I16*(E16/G29),"")</f>
        <v/>
      </c>
      <c r="H16" s="23" t="str">
        <f>Geometry!R51</f>
        <v/>
      </c>
      <c r="I16" s="253">
        <f>IF(F16&gt;=O8,1,(F16-H16)/(O8-H16))</f>
        <v>1</v>
      </c>
      <c r="J16" s="23">
        <v>3</v>
      </c>
      <c r="K16" s="134" t="str">
        <f t="shared" si="0"/>
        <v/>
      </c>
      <c r="L16" s="54"/>
      <c r="M16" s="54"/>
      <c r="N16" s="54"/>
      <c r="O16" s="252" t="str">
        <f t="shared" si="1"/>
        <v/>
      </c>
      <c r="P16" s="23" t="str">
        <f>Geometry!Q98</f>
        <v/>
      </c>
      <c r="Q16" s="449">
        <f t="shared" si="2"/>
        <v>1</v>
      </c>
      <c r="R16" s="438"/>
      <c r="S16" s="441">
        <f>IF(AND(Geometry!V27&lt;=50,'Traffic &amp; Accidents'!H28&lt;400),24,S17)</f>
        <v>26</v>
      </c>
      <c r="T16" s="364">
        <f>IF(AND(Geometry!V27&lt;=30,'Traffic &amp; Accidents'!H28&lt;1501),30,T17)</f>
        <v>32</v>
      </c>
      <c r="U16" s="364">
        <f>IF(AND(Geometry!V27&lt;=50,'Traffic &amp; Accidents'!H28&lt;2001),34,U17)</f>
        <v>36</v>
      </c>
      <c r="V16" s="364">
        <f>IF('Traffic &amp; Accidents'!H28&gt;2000,40,0)</f>
        <v>0</v>
      </c>
      <c r="W16" s="353"/>
      <c r="X16" s="353"/>
      <c r="Y16" s="442"/>
      <c r="Z16" s="195"/>
      <c r="AA16" s="195"/>
      <c r="AB16" s="305"/>
    </row>
    <row r="17" spans="2:28" ht="12.75" customHeight="1" x14ac:dyDescent="0.2">
      <c r="B17" s="193"/>
      <c r="C17" s="132" t="str">
        <f>IF(AND(F17&lt;&gt;0,F17&lt;O8),"*","")</f>
        <v/>
      </c>
      <c r="D17" s="54"/>
      <c r="E17" s="54"/>
      <c r="F17" s="54"/>
      <c r="G17" s="133" t="str">
        <f>IF(AND(F17&gt;=H17,H17&lt;O8,F17&lt;&gt;0),I17*(E17/G29),"")</f>
        <v/>
      </c>
      <c r="H17" s="23" t="str">
        <f>Geometry!R52</f>
        <v/>
      </c>
      <c r="I17" s="253">
        <f>IF(F17&gt;=O8,1,(F17-H17)/(O8-H17))</f>
        <v>1</v>
      </c>
      <c r="J17" s="12">
        <v>4</v>
      </c>
      <c r="K17" s="134" t="str">
        <f t="shared" si="0"/>
        <v/>
      </c>
      <c r="L17" s="54"/>
      <c r="M17" s="54"/>
      <c r="N17" s="54"/>
      <c r="O17" s="252" t="str">
        <f t="shared" si="1"/>
        <v/>
      </c>
      <c r="P17" s="23" t="str">
        <f>Geometry!Q99</f>
        <v/>
      </c>
      <c r="Q17" s="449">
        <f t="shared" si="2"/>
        <v>1</v>
      </c>
      <c r="R17" s="438"/>
      <c r="S17" s="364">
        <f>IF(AND(Geometry!V27&gt;50,'Traffic &amp; Accidents'!H28&lt;400),26,T16)</f>
        <v>26</v>
      </c>
      <c r="T17" s="364">
        <f>IF(AND(Geometry!V27&gt;=35,'Traffic &amp; Accidents'!H28&lt;1501),32,U16)</f>
        <v>32</v>
      </c>
      <c r="U17" s="364">
        <f>IF(AND(Geometry!V27&gt;=55,'Traffic &amp; Accidents'!H28&lt;2001),36,V16)</f>
        <v>36</v>
      </c>
      <c r="V17" s="401"/>
      <c r="W17" s="353"/>
      <c r="X17" s="353"/>
      <c r="Y17" s="195"/>
      <c r="Z17" s="195"/>
      <c r="AA17" s="195"/>
      <c r="AB17" s="305"/>
    </row>
    <row r="18" spans="2:28" ht="12.75" customHeight="1" x14ac:dyDescent="0.2">
      <c r="B18" s="193"/>
      <c r="C18" s="132" t="str">
        <f>IF(AND(F18&lt;&gt;0,F18&lt;O8),"*","")</f>
        <v/>
      </c>
      <c r="D18" s="54"/>
      <c r="E18" s="54"/>
      <c r="F18" s="54"/>
      <c r="G18" s="133" t="str">
        <f>IF(AND(F18&gt;=H18,H18&lt;O8,F18&lt;&gt;0),I18*(E18/G29),"")</f>
        <v/>
      </c>
      <c r="H18" s="23" t="str">
        <f>Geometry!R53</f>
        <v/>
      </c>
      <c r="I18" s="253">
        <f>IF(F18&gt;=O8,1,(F18-H18)/(O8-H18))</f>
        <v>1</v>
      </c>
      <c r="J18" s="12">
        <v>5</v>
      </c>
      <c r="K18" s="134" t="str">
        <f t="shared" si="0"/>
        <v/>
      </c>
      <c r="L18" s="54"/>
      <c r="M18" s="54"/>
      <c r="N18" s="54"/>
      <c r="O18" s="252" t="str">
        <f t="shared" si="1"/>
        <v/>
      </c>
      <c r="P18" s="23" t="str">
        <f>Geometry!Q100</f>
        <v/>
      </c>
      <c r="Q18" s="449">
        <f t="shared" si="2"/>
        <v>1</v>
      </c>
      <c r="R18" s="438"/>
      <c r="S18" s="364"/>
      <c r="T18" s="364"/>
      <c r="U18" s="364"/>
      <c r="V18" s="401"/>
      <c r="W18" s="353"/>
      <c r="X18" s="353"/>
      <c r="Y18" s="193"/>
      <c r="Z18" s="195"/>
      <c r="AA18" s="195"/>
      <c r="AB18" s="364"/>
    </row>
    <row r="19" spans="2:28" ht="12.75" customHeight="1" x14ac:dyDescent="0.2">
      <c r="B19" s="193"/>
      <c r="C19" s="132" t="str">
        <f>IF(AND(F19&lt;&gt;0,F19&lt;O8),"*","")</f>
        <v/>
      </c>
      <c r="D19" s="54"/>
      <c r="E19" s="54"/>
      <c r="F19" s="54"/>
      <c r="G19" s="133" t="str">
        <f>IF(AND(F19&gt;=H19,H19&lt;O8,F19&lt;&gt;0),I19*(E19/G29),"")</f>
        <v/>
      </c>
      <c r="H19" s="23" t="str">
        <f>Geometry!R54</f>
        <v/>
      </c>
      <c r="I19" s="253">
        <f>IF(F19&gt;=O8,1,(F19-H19)/(O8-H19))</f>
        <v>1</v>
      </c>
      <c r="J19" s="12">
        <v>6</v>
      </c>
      <c r="K19" s="134" t="str">
        <f t="shared" si="0"/>
        <v/>
      </c>
      <c r="L19" s="56"/>
      <c r="M19" s="56"/>
      <c r="N19" s="54"/>
      <c r="O19" s="252" t="str">
        <f t="shared" si="1"/>
        <v/>
      </c>
      <c r="P19" s="23" t="str">
        <f>Geometry!Q101</f>
        <v/>
      </c>
      <c r="Q19" s="449">
        <f t="shared" si="2"/>
        <v>1</v>
      </c>
      <c r="R19" s="438"/>
    </row>
    <row r="20" spans="2:28" ht="12.75" customHeight="1" x14ac:dyDescent="0.2">
      <c r="B20" s="193"/>
      <c r="C20" s="132" t="str">
        <f>IF(AND(F20&lt;&gt;0,F20&lt;O8),"*","")</f>
        <v/>
      </c>
      <c r="D20" s="54"/>
      <c r="E20" s="56"/>
      <c r="F20" s="56"/>
      <c r="G20" s="133" t="str">
        <f>IF(AND(F20&gt;=H20,H20&lt;O8,F20&lt;&gt;0),I20*(E20/G29),"")</f>
        <v/>
      </c>
      <c r="H20" s="23" t="str">
        <f>Geometry!R55</f>
        <v/>
      </c>
      <c r="I20" s="253">
        <f>IF(F20&gt;=O8,1,(F20-H20)/(O8-H20))</f>
        <v>1</v>
      </c>
      <c r="J20" s="12">
        <v>7</v>
      </c>
      <c r="K20" s="134" t="str">
        <f t="shared" si="0"/>
        <v/>
      </c>
      <c r="L20" s="54"/>
      <c r="M20" s="54"/>
      <c r="N20" s="54"/>
      <c r="O20" s="252" t="str">
        <f t="shared" si="1"/>
        <v/>
      </c>
      <c r="P20" s="23" t="str">
        <f>Geometry!Q102</f>
        <v/>
      </c>
      <c r="Q20" s="449">
        <f t="shared" si="2"/>
        <v>1</v>
      </c>
      <c r="R20" s="438"/>
    </row>
    <row r="21" spans="2:28" ht="12.75" customHeight="1" x14ac:dyDescent="0.2">
      <c r="B21" s="193"/>
      <c r="C21" s="132" t="str">
        <f>IF(AND(F21&lt;&gt;0,F21&lt;O8),"*","")</f>
        <v/>
      </c>
      <c r="D21" s="54"/>
      <c r="E21" s="56"/>
      <c r="F21" s="56"/>
      <c r="G21" s="133" t="str">
        <f>IF(AND(F21&gt;=H21,H21&lt;O8,F21&lt;&gt;0),I21*(E21/G29),"")</f>
        <v/>
      </c>
      <c r="H21" s="23" t="str">
        <f>Geometry!R56</f>
        <v/>
      </c>
      <c r="I21" s="253">
        <f>IF(F21&gt;=O8,1,(F21-H21)/(O8-H21))</f>
        <v>1</v>
      </c>
      <c r="J21" s="12">
        <v>8</v>
      </c>
      <c r="K21" s="134" t="str">
        <f t="shared" si="0"/>
        <v/>
      </c>
      <c r="L21" s="56"/>
      <c r="M21" s="56"/>
      <c r="N21" s="54"/>
      <c r="O21" s="252" t="str">
        <f t="shared" si="1"/>
        <v/>
      </c>
      <c r="P21" s="23" t="str">
        <f>Geometry!Q103</f>
        <v/>
      </c>
      <c r="Q21" s="449">
        <f t="shared" si="2"/>
        <v>1</v>
      </c>
      <c r="R21" s="438"/>
      <c r="S21" s="305"/>
      <c r="T21" s="305"/>
      <c r="U21" s="305"/>
      <c r="V21" s="305"/>
      <c r="W21" s="184"/>
      <c r="X21" s="184"/>
      <c r="Y21" s="184"/>
      <c r="Z21" s="305"/>
      <c r="AA21" s="305"/>
      <c r="AB21" s="305"/>
    </row>
    <row r="22" spans="2:28" ht="12.75" customHeight="1" x14ac:dyDescent="0.2">
      <c r="B22" s="193"/>
      <c r="C22" s="132" t="str">
        <f>IF(AND(F22&lt;&gt;0,F22&lt;O8),"*","")</f>
        <v/>
      </c>
      <c r="D22" s="54"/>
      <c r="E22" s="56"/>
      <c r="F22" s="56"/>
      <c r="G22" s="133" t="str">
        <f>IF(AND(F22&gt;=H22,H22&lt;O8,F22&lt;&gt;0),I22*(E22/G29),"")</f>
        <v/>
      </c>
      <c r="H22" s="23" t="str">
        <f>Geometry!R57</f>
        <v/>
      </c>
      <c r="I22" s="253">
        <f>IF(F22&gt;=O8,1,(F22-H22)/(O8-H22))</f>
        <v>1</v>
      </c>
      <c r="J22" s="12">
        <v>9</v>
      </c>
      <c r="K22" s="134" t="str">
        <f t="shared" si="0"/>
        <v/>
      </c>
      <c r="L22" s="56"/>
      <c r="M22" s="56"/>
      <c r="N22" s="54"/>
      <c r="O22" s="252" t="str">
        <f t="shared" si="1"/>
        <v/>
      </c>
      <c r="P22" s="23" t="str">
        <f>Geometry!Q104</f>
        <v/>
      </c>
      <c r="Q22" s="449">
        <f t="shared" si="2"/>
        <v>1</v>
      </c>
      <c r="R22" s="438"/>
      <c r="S22" s="305" t="s">
        <v>135</v>
      </c>
      <c r="T22" s="305"/>
      <c r="U22" s="305"/>
      <c r="V22" s="322" t="s">
        <v>136</v>
      </c>
      <c r="W22" s="322"/>
      <c r="X22" s="322"/>
      <c r="Y22" s="184"/>
      <c r="Z22" s="305"/>
      <c r="AA22" s="305"/>
      <c r="AB22" s="305"/>
    </row>
    <row r="23" spans="2:28" ht="12.75" customHeight="1" x14ac:dyDescent="0.2">
      <c r="B23" s="193"/>
      <c r="C23" s="132" t="str">
        <f>IF(AND(F23&lt;&gt;0,F23&lt;O8),"*","")</f>
        <v/>
      </c>
      <c r="D23" s="54"/>
      <c r="E23" s="56"/>
      <c r="F23" s="56"/>
      <c r="G23" s="133" t="str">
        <f>IF(AND(F23&gt;=H23,H23&lt;O8,F23&lt;&gt;0),I23*(E23/G29),"")</f>
        <v/>
      </c>
      <c r="H23" s="23" t="str">
        <f>Geometry!R58</f>
        <v/>
      </c>
      <c r="I23" s="253">
        <f>IF(F23&gt;=O8,1,(F23-H23)/(O8-H23))</f>
        <v>1</v>
      </c>
      <c r="J23" s="12">
        <v>10</v>
      </c>
      <c r="K23" s="134" t="str">
        <f t="shared" si="0"/>
        <v/>
      </c>
      <c r="L23" s="56"/>
      <c r="M23" s="56"/>
      <c r="N23" s="54"/>
      <c r="O23" s="252" t="str">
        <f t="shared" si="1"/>
        <v/>
      </c>
      <c r="P23" s="23" t="str">
        <f>Geometry!Q105</f>
        <v/>
      </c>
      <c r="Q23" s="449">
        <f t="shared" si="2"/>
        <v>1</v>
      </c>
      <c r="R23" s="438"/>
      <c r="S23" s="325">
        <f>Geometry!D6</f>
        <v>0</v>
      </c>
      <c r="T23" s="305" t="s">
        <v>139</v>
      </c>
      <c r="U23" s="305"/>
      <c r="V23" s="353">
        <f>IF(S23&lt;&gt;0,W23,V24)</f>
        <v>20</v>
      </c>
      <c r="W23" s="353">
        <f>IF('Traffic &amp; Accidents'!H28&lt;400,40,X23)</f>
        <v>40</v>
      </c>
      <c r="X23" s="353">
        <f>IF('Traffic &amp; Accidents'!H28&lt;2001,50,60)</f>
        <v>50</v>
      </c>
      <c r="Y23" s="184"/>
      <c r="Z23" s="305"/>
      <c r="AA23" s="305"/>
      <c r="AB23" s="305"/>
    </row>
    <row r="24" spans="2:28" ht="12.75" customHeight="1" x14ac:dyDescent="0.2">
      <c r="B24" s="193"/>
      <c r="C24" s="132" t="str">
        <f>IF(AND(F24&lt;&gt;0,F24&lt;O8),"*","")</f>
        <v/>
      </c>
      <c r="D24" s="54"/>
      <c r="E24" s="56"/>
      <c r="F24" s="56"/>
      <c r="G24" s="133" t="str">
        <f>IF(AND(F24&gt;=H24,H24&lt;O8,F24&lt;&gt;0),I24*(E24/G29),"")</f>
        <v/>
      </c>
      <c r="H24" s="23" t="str">
        <f>Geometry!R59</f>
        <v/>
      </c>
      <c r="I24" s="253">
        <f>IF(F24&gt;=O8,1,(F24-H24)/(O8-H24))</f>
        <v>1</v>
      </c>
      <c r="J24" s="12">
        <v>11</v>
      </c>
      <c r="K24" s="134" t="str">
        <f t="shared" si="0"/>
        <v/>
      </c>
      <c r="L24" s="56"/>
      <c r="M24" s="56"/>
      <c r="N24" s="54"/>
      <c r="O24" s="252" t="str">
        <f t="shared" si="1"/>
        <v/>
      </c>
      <c r="P24" s="23" t="str">
        <f>Geometry!Q106</f>
        <v/>
      </c>
      <c r="Q24" s="449">
        <f t="shared" si="2"/>
        <v>1</v>
      </c>
      <c r="R24" s="438"/>
      <c r="S24" s="325">
        <f>Geometry!D7</f>
        <v>0</v>
      </c>
      <c r="T24" s="305" t="s">
        <v>142</v>
      </c>
      <c r="U24" s="305"/>
      <c r="V24" s="353">
        <f>IF(S24&lt;&gt;0,W24,V25)</f>
        <v>20</v>
      </c>
      <c r="W24" s="353">
        <f>IF('Traffic &amp; Accidents'!H28&lt;400,30,X24)</f>
        <v>30</v>
      </c>
      <c r="X24" s="353">
        <f>IF('Traffic &amp; Accidents'!H28&lt;2001,40,50)</f>
        <v>40</v>
      </c>
      <c r="Y24" s="184"/>
      <c r="Z24" s="305"/>
      <c r="AA24" s="305"/>
      <c r="AB24" s="305"/>
    </row>
    <row r="25" spans="2:28" ht="12.75" customHeight="1" x14ac:dyDescent="0.2">
      <c r="B25" s="193"/>
      <c r="C25" s="132" t="str">
        <f>IF(AND(F25&lt;&gt;0,F25&lt;O8),"*","")</f>
        <v/>
      </c>
      <c r="D25" s="54"/>
      <c r="E25" s="56"/>
      <c r="F25" s="56"/>
      <c r="G25" s="133" t="str">
        <f>IF(AND(F25&gt;=H25,H25&lt;O8,F25&lt;&gt;0),I25*(E25/G29),"")</f>
        <v/>
      </c>
      <c r="H25" s="23" t="str">
        <f>Geometry!R60</f>
        <v/>
      </c>
      <c r="I25" s="253">
        <f>IF(F25&gt;=O8,1,(F25-H25)/(O8-H25))</f>
        <v>1</v>
      </c>
      <c r="J25" s="12">
        <v>12</v>
      </c>
      <c r="K25" s="134" t="str">
        <f t="shared" si="0"/>
        <v/>
      </c>
      <c r="L25" s="56"/>
      <c r="M25" s="56"/>
      <c r="N25" s="54"/>
      <c r="O25" s="252" t="str">
        <f t="shared" si="1"/>
        <v/>
      </c>
      <c r="P25" s="23" t="str">
        <f>Geometry!Q107</f>
        <v/>
      </c>
      <c r="Q25" s="449">
        <f t="shared" si="2"/>
        <v>1</v>
      </c>
      <c r="R25" s="438"/>
      <c r="S25" s="325">
        <f>Geometry!D8</f>
        <v>0</v>
      </c>
      <c r="T25" s="305" t="s">
        <v>145</v>
      </c>
      <c r="U25" s="305"/>
      <c r="V25" s="353">
        <f>W25</f>
        <v>20</v>
      </c>
      <c r="W25" s="353">
        <f>IF('Traffic &amp; Accidents'!H28&lt;400,20,X25)</f>
        <v>20</v>
      </c>
      <c r="X25" s="353">
        <f>IF('Traffic &amp; Accidents'!H28&lt;2001,30,40)</f>
        <v>30</v>
      </c>
      <c r="Y25" s="184"/>
      <c r="Z25" s="305"/>
      <c r="AA25" s="305"/>
      <c r="AB25" s="305"/>
    </row>
    <row r="26" spans="2:28" ht="12.75" customHeight="1" x14ac:dyDescent="0.2">
      <c r="B26" s="193"/>
      <c r="C26" s="132" t="str">
        <f>IF(AND(F26&lt;&gt;0,F26&lt;O8),"*","")</f>
        <v/>
      </c>
      <c r="D26" s="54"/>
      <c r="E26" s="56"/>
      <c r="F26" s="56"/>
      <c r="G26" s="133" t="str">
        <f>IF(AND(F26&gt;=H26,H26&lt;O8,F26&lt;&gt;0),I26*(E26/G29),"")</f>
        <v/>
      </c>
      <c r="H26" s="23" t="str">
        <f>Geometry!R61</f>
        <v/>
      </c>
      <c r="I26" s="253">
        <f>IF(F26&gt;=O8,1,(F26-H26)/(O8-H26))</f>
        <v>1</v>
      </c>
      <c r="J26" s="12">
        <v>13</v>
      </c>
      <c r="K26" s="134" t="str">
        <f t="shared" si="0"/>
        <v/>
      </c>
      <c r="L26" s="56"/>
      <c r="M26" s="56"/>
      <c r="N26" s="54"/>
      <c r="O26" s="252" t="str">
        <f t="shared" si="1"/>
        <v/>
      </c>
      <c r="P26" s="23" t="str">
        <f>Geometry!Q108</f>
        <v/>
      </c>
      <c r="Q26" s="449">
        <f t="shared" si="2"/>
        <v>1</v>
      </c>
      <c r="R26" s="196"/>
      <c r="S26" s="184"/>
      <c r="T26" s="305"/>
      <c r="U26" s="305"/>
      <c r="V26" s="305"/>
      <c r="W26" s="305"/>
      <c r="X26" s="305"/>
      <c r="Y26" s="184"/>
      <c r="Z26" s="184" t="s">
        <v>376</v>
      </c>
      <c r="AA26" s="184" t="s">
        <v>2</v>
      </c>
      <c r="AB26" s="305"/>
    </row>
    <row r="27" spans="2:28" ht="12.75" customHeight="1" x14ac:dyDescent="0.2">
      <c r="B27" s="193"/>
      <c r="C27" s="132" t="str">
        <f>IF(AND(F27&lt;&gt;0,F27&lt;O8),"*","")</f>
        <v/>
      </c>
      <c r="D27" s="54"/>
      <c r="E27" s="56"/>
      <c r="F27" s="56"/>
      <c r="G27" s="133" t="str">
        <f>IF(AND(F27&gt;=H27,H27&lt;O8,F27&lt;&gt;0),I27*(E27/G29),"")</f>
        <v/>
      </c>
      <c r="H27" s="23" t="str">
        <f>Geometry!R62</f>
        <v/>
      </c>
      <c r="I27" s="253">
        <f>IF(F27&gt;=O8,1,(F27-H27)/(O8-H27))</f>
        <v>1</v>
      </c>
      <c r="J27" s="12">
        <v>14</v>
      </c>
      <c r="K27" s="134" t="str">
        <f t="shared" si="0"/>
        <v/>
      </c>
      <c r="L27" s="56"/>
      <c r="M27" s="56"/>
      <c r="N27" s="54"/>
      <c r="O27" s="252" t="str">
        <f t="shared" si="1"/>
        <v/>
      </c>
      <c r="P27" s="23" t="str">
        <f>Geometry!Q109</f>
        <v/>
      </c>
      <c r="Q27" s="449">
        <f t="shared" si="2"/>
        <v>1</v>
      </c>
      <c r="R27" s="196"/>
      <c r="S27" s="184"/>
      <c r="T27" s="305"/>
      <c r="U27" s="320" t="s">
        <v>146</v>
      </c>
      <c r="V27" s="325" t="str">
        <f>IF(AND(S23=0,S24=0,S25=0),"",V23)</f>
        <v/>
      </c>
      <c r="W27" s="305"/>
      <c r="X27" s="305"/>
      <c r="Y27" s="184"/>
      <c r="Z27" s="184" t="s">
        <v>117</v>
      </c>
      <c r="AA27" s="184">
        <v>5</v>
      </c>
      <c r="AB27" s="305"/>
    </row>
    <row r="28" spans="2:28" ht="12.75" customHeight="1" x14ac:dyDescent="0.2">
      <c r="B28" s="193"/>
      <c r="C28" s="123"/>
      <c r="D28" s="36">
        <f>Geometry!L54*G28</f>
        <v>0</v>
      </c>
      <c r="E28" s="59" t="s">
        <v>395</v>
      </c>
      <c r="F28" s="6"/>
      <c r="G28" s="61">
        <f>IF(SUM(G14:G27)=0,0,SUM(G14:G27))</f>
        <v>0</v>
      </c>
      <c r="H28" s="59" t="s">
        <v>396</v>
      </c>
      <c r="I28" s="59"/>
      <c r="J28" s="59"/>
      <c r="K28" s="59"/>
      <c r="L28" s="59"/>
      <c r="M28" s="27" t="s">
        <v>200</v>
      </c>
      <c r="N28" s="36">
        <f>Geometry!L64*O28</f>
        <v>0</v>
      </c>
      <c r="O28" s="61">
        <f>IF(SUM(O14:O27)=0,0,SUM(O14:O27)/(COUNT(O14:O27)))</f>
        <v>0</v>
      </c>
      <c r="P28" s="59" t="s">
        <v>397</v>
      </c>
      <c r="Q28" s="450"/>
      <c r="R28" s="196"/>
      <c r="S28" s="305"/>
      <c r="T28" s="305"/>
      <c r="U28" s="305"/>
      <c r="V28" s="305"/>
      <c r="W28" s="184"/>
      <c r="X28" s="184"/>
      <c r="Y28" s="184"/>
      <c r="Z28" s="184" t="s">
        <v>120</v>
      </c>
      <c r="AA28" s="184">
        <v>10</v>
      </c>
      <c r="AB28" s="305"/>
    </row>
    <row r="29" spans="2:28" ht="12.75" customHeight="1" x14ac:dyDescent="0.2">
      <c r="B29" s="193"/>
      <c r="C29" s="132" t="str">
        <f>IF(AND(G28&gt;0,G28&lt;1),"*","")</f>
        <v/>
      </c>
      <c r="D29" s="251" t="str">
        <f>IF(AND(G28&lt;&gt;0,G28&lt;1),"Note Variance in Design File","")</f>
        <v/>
      </c>
      <c r="E29" s="59"/>
      <c r="F29" s="59"/>
      <c r="G29" s="27">
        <f>SUM(E14:E27)</f>
        <v>0</v>
      </c>
      <c r="H29" s="59" t="s">
        <v>357</v>
      </c>
      <c r="I29" s="59"/>
      <c r="J29" s="59"/>
      <c r="K29" s="134" t="str">
        <f>IF(AND(O28&gt;0,O28&lt;1),"*","")</f>
        <v/>
      </c>
      <c r="L29" s="137" t="str">
        <f>IF(AND(O28&lt;&gt;0,O28&lt;1),"Note Variance in Design File","")</f>
        <v/>
      </c>
      <c r="M29" s="59"/>
      <c r="N29" s="59"/>
      <c r="O29" s="59"/>
      <c r="P29" s="27"/>
      <c r="Q29" s="451"/>
      <c r="S29" s="305"/>
      <c r="T29" s="305"/>
      <c r="U29" s="305"/>
      <c r="V29" s="305"/>
      <c r="W29" s="184"/>
      <c r="X29" s="184"/>
      <c r="Y29" s="184"/>
      <c r="Z29" s="184" t="s">
        <v>379</v>
      </c>
      <c r="AA29" s="184">
        <v>15</v>
      </c>
      <c r="AB29" s="305"/>
    </row>
    <row r="30" spans="2:28" ht="12.75" customHeight="1" thickBot="1" x14ac:dyDescent="0.25">
      <c r="B30" s="193"/>
      <c r="C30" s="138"/>
      <c r="D30" s="139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452"/>
      <c r="S30" s="305"/>
      <c r="T30" s="305"/>
      <c r="U30" s="305"/>
      <c r="V30" s="305"/>
      <c r="W30" s="184"/>
      <c r="X30" s="184"/>
      <c r="Y30" s="184"/>
      <c r="Z30" s="305"/>
      <c r="AA30" s="305"/>
      <c r="AB30" s="305"/>
    </row>
    <row r="32" spans="2:28" ht="12.75" customHeight="1" x14ac:dyDescent="0.2">
      <c r="B32" s="302"/>
    </row>
    <row r="33" spans="1:27" ht="12.75" customHeight="1" x14ac:dyDescent="0.2">
      <c r="A33" s="195"/>
    </row>
    <row r="34" spans="1:27" ht="12.75" customHeight="1" x14ac:dyDescent="0.2">
      <c r="A34" s="195"/>
    </row>
    <row r="35" spans="1:27" ht="12.75" customHeight="1" x14ac:dyDescent="0.2">
      <c r="A35" s="195"/>
    </row>
    <row r="36" spans="1:27" ht="12.75" customHeight="1" x14ac:dyDescent="0.2">
      <c r="A36" s="195"/>
    </row>
    <row r="37" spans="1:27" ht="12.75" customHeight="1" x14ac:dyDescent="0.2">
      <c r="A37" s="195"/>
    </row>
    <row r="38" spans="1:27" ht="12.75" customHeight="1" x14ac:dyDescent="0.2">
      <c r="A38" s="195"/>
    </row>
    <row r="39" spans="1:27" ht="12.75" customHeight="1" x14ac:dyDescent="0.2">
      <c r="A39" s="19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</row>
    <row r="40" spans="1:27" ht="12.75" customHeight="1" x14ac:dyDescent="0.2">
      <c r="A40" s="19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184"/>
      <c r="T40" s="184"/>
      <c r="U40" s="184"/>
      <c r="V40" s="305"/>
      <c r="W40" s="305"/>
      <c r="X40" s="305"/>
      <c r="Y40" s="305"/>
      <c r="Z40" s="306"/>
      <c r="AA40" s="307"/>
    </row>
    <row r="41" spans="1:27" ht="12.75" customHeight="1" x14ac:dyDescent="0.2">
      <c r="A41" s="19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184"/>
      <c r="T41" s="184"/>
      <c r="U41" s="308"/>
      <c r="V41" s="305"/>
      <c r="W41" s="305"/>
      <c r="X41" s="305"/>
      <c r="Y41" s="305"/>
      <c r="Z41" s="306"/>
      <c r="AA41" s="306"/>
    </row>
    <row r="42" spans="1:27" ht="12.75" customHeight="1" x14ac:dyDescent="0.2">
      <c r="A42" s="19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9" t="s">
        <v>176</v>
      </c>
      <c r="O42" s="310"/>
      <c r="P42" s="310"/>
      <c r="Q42" s="310"/>
      <c r="R42" s="310"/>
      <c r="S42" s="310"/>
      <c r="T42" s="310"/>
      <c r="U42" s="310"/>
      <c r="V42" s="310"/>
      <c r="W42" s="310"/>
      <c r="X42" s="311"/>
      <c r="Y42" s="305"/>
      <c r="Z42" s="305"/>
      <c r="AA42" s="305"/>
    </row>
    <row r="43" spans="1:27" ht="12.75" customHeight="1" x14ac:dyDescent="0.2">
      <c r="A43" s="19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12" t="s">
        <v>177</v>
      </c>
      <c r="O43" s="305" t="s">
        <v>178</v>
      </c>
      <c r="P43" s="305"/>
      <c r="Q43" s="305"/>
      <c r="R43" s="305"/>
      <c r="S43" s="305"/>
      <c r="T43" s="305"/>
      <c r="U43" s="305"/>
      <c r="V43" s="305"/>
      <c r="W43" s="305"/>
      <c r="X43" s="313"/>
      <c r="Y43" s="305"/>
      <c r="Z43" s="305"/>
      <c r="AA43" s="305"/>
    </row>
    <row r="44" spans="1:27" ht="12.75" customHeight="1" thickBot="1" x14ac:dyDescent="0.25">
      <c r="A44" s="195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2"/>
      <c r="O44" s="305"/>
      <c r="P44" s="305"/>
      <c r="Q44" s="305"/>
      <c r="R44" s="305"/>
      <c r="S44" s="305"/>
      <c r="T44" s="305"/>
      <c r="U44" s="305"/>
      <c r="V44" s="305"/>
      <c r="W44" s="305"/>
      <c r="X44" s="313"/>
      <c r="Y44" s="305"/>
      <c r="Z44" s="305"/>
      <c r="AA44" s="305"/>
    </row>
    <row r="45" spans="1:27" ht="12.75" customHeight="1" thickTop="1" x14ac:dyDescent="0.2">
      <c r="A45" s="19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12"/>
      <c r="O45" s="315"/>
      <c r="P45" s="315"/>
      <c r="Q45" s="305"/>
      <c r="R45" s="184"/>
      <c r="S45" s="305"/>
      <c r="T45" s="305"/>
      <c r="U45" s="305"/>
      <c r="V45" s="305"/>
      <c r="W45" s="305"/>
      <c r="X45" s="313"/>
      <c r="Y45" s="305"/>
      <c r="Z45" s="305"/>
      <c r="AA45" s="305"/>
    </row>
    <row r="46" spans="1:27" ht="12.75" customHeight="1" x14ac:dyDescent="0.2">
      <c r="A46" s="195"/>
      <c r="C46" s="305"/>
      <c r="D46" s="316" t="s">
        <v>133</v>
      </c>
      <c r="E46" s="317"/>
      <c r="F46" s="317"/>
      <c r="G46" s="317"/>
      <c r="H46" s="305"/>
      <c r="I46" s="305"/>
      <c r="J46" s="305"/>
      <c r="K46" s="305"/>
      <c r="L46" s="305"/>
      <c r="M46" s="305"/>
      <c r="N46" s="312"/>
      <c r="O46" s="318"/>
      <c r="P46" s="184"/>
      <c r="Q46" s="184" t="s">
        <v>170</v>
      </c>
      <c r="R46" s="184" t="s">
        <v>179</v>
      </c>
      <c r="S46" s="184" t="s">
        <v>125</v>
      </c>
      <c r="T46" s="184"/>
      <c r="U46" s="184" t="s">
        <v>186</v>
      </c>
      <c r="V46" s="305"/>
      <c r="W46" s="305"/>
      <c r="X46" s="313"/>
      <c r="Y46" s="305"/>
      <c r="Z46" s="305"/>
      <c r="AA46" s="305"/>
    </row>
    <row r="47" spans="1:27" ht="12.75" customHeight="1" x14ac:dyDescent="0.2">
      <c r="C47" s="319" t="s">
        <v>134</v>
      </c>
      <c r="D47" s="319"/>
      <c r="E47" s="319"/>
      <c r="F47" s="319"/>
      <c r="G47" s="319"/>
      <c r="H47" s="305"/>
      <c r="I47" s="305"/>
      <c r="J47" s="305"/>
      <c r="K47" s="305"/>
      <c r="L47" s="305"/>
      <c r="M47" s="305"/>
      <c r="N47" s="312"/>
      <c r="O47" s="305"/>
      <c r="P47" s="305"/>
      <c r="Q47" s="184" t="s">
        <v>172</v>
      </c>
      <c r="R47" s="184" t="s">
        <v>148</v>
      </c>
      <c r="S47" s="184" t="s">
        <v>148</v>
      </c>
      <c r="T47" s="184" t="s">
        <v>185</v>
      </c>
      <c r="U47" s="184" t="s">
        <v>187</v>
      </c>
      <c r="V47" s="305"/>
      <c r="W47" s="305"/>
      <c r="X47" s="313"/>
      <c r="Y47" s="305"/>
      <c r="Z47" s="305"/>
      <c r="AA47" s="305"/>
    </row>
    <row r="48" spans="1:27" ht="12.75" customHeight="1" x14ac:dyDescent="0.2">
      <c r="C48" s="305"/>
      <c r="D48" s="305"/>
      <c r="E48" s="305"/>
      <c r="F48" s="305"/>
      <c r="G48" s="305"/>
      <c r="H48" s="305"/>
      <c r="I48" s="305"/>
      <c r="J48" s="305"/>
      <c r="K48" s="320" t="s">
        <v>138</v>
      </c>
      <c r="L48" s="321">
        <f>T64</f>
        <v>0</v>
      </c>
      <c r="M48" s="184"/>
      <c r="N48" s="312"/>
      <c r="O48" s="305"/>
      <c r="P48" s="322" t="s">
        <v>171</v>
      </c>
      <c r="Q48" s="323" t="s">
        <v>173</v>
      </c>
      <c r="R48" s="323" t="s">
        <v>180</v>
      </c>
      <c r="S48" s="323" t="s">
        <v>181</v>
      </c>
      <c r="T48" s="323" t="s">
        <v>184</v>
      </c>
      <c r="U48" s="323" t="s">
        <v>188</v>
      </c>
      <c r="V48" s="305"/>
      <c r="W48" s="305" t="s">
        <v>472</v>
      </c>
      <c r="X48" s="313"/>
      <c r="Y48" s="305"/>
      <c r="Z48" s="305"/>
      <c r="AA48" s="305"/>
    </row>
    <row r="49" spans="3:27" ht="12.75" customHeight="1" x14ac:dyDescent="0.2">
      <c r="C49" s="305"/>
      <c r="D49" s="305"/>
      <c r="E49" s="305"/>
      <c r="F49" s="305"/>
      <c r="G49" s="305"/>
      <c r="H49" s="305"/>
      <c r="I49" s="305"/>
      <c r="J49" s="305"/>
      <c r="K49" s="320" t="s">
        <v>141</v>
      </c>
      <c r="L49" s="324">
        <f>'Traffic &amp; Accidents'!F13</f>
        <v>0</v>
      </c>
      <c r="M49" s="184"/>
      <c r="N49" s="312"/>
      <c r="O49" s="305"/>
      <c r="P49" s="184">
        <v>1</v>
      </c>
      <c r="Q49" s="325">
        <f>Geometry!D14</f>
        <v>0</v>
      </c>
      <c r="R49" s="326" t="str">
        <f t="shared" ref="R49:R62" si="3">IF(Q49&gt;0,ROUND(N71,0),"")</f>
        <v/>
      </c>
      <c r="S49" s="184" t="str">
        <f>Geometry!V27</f>
        <v/>
      </c>
      <c r="T49" s="325">
        <f>Geometry!E14</f>
        <v>0</v>
      </c>
      <c r="U49" s="327">
        <f>IF(S49&gt;R49,(T49/5280)/R65,0)</f>
        <v>0</v>
      </c>
      <c r="V49" s="305"/>
      <c r="W49" s="305"/>
      <c r="X49" s="313"/>
      <c r="Y49" s="305"/>
      <c r="Z49" s="305"/>
      <c r="AA49" s="305"/>
    </row>
    <row r="50" spans="3:27" ht="12.75" customHeight="1" x14ac:dyDescent="0.2">
      <c r="C50" s="305"/>
      <c r="D50" s="305"/>
      <c r="E50" s="305"/>
      <c r="F50" s="305"/>
      <c r="G50" s="305"/>
      <c r="H50" s="305"/>
      <c r="I50" s="305"/>
      <c r="J50" s="305"/>
      <c r="K50" s="328" t="s">
        <v>143</v>
      </c>
      <c r="L50" s="329">
        <f>IF(L49=0,0,(L48/L49)*100)</f>
        <v>0</v>
      </c>
      <c r="M50" s="305" t="s">
        <v>144</v>
      </c>
      <c r="N50" s="312"/>
      <c r="O50" s="305"/>
      <c r="P50" s="184">
        <v>2</v>
      </c>
      <c r="Q50" s="325">
        <f>Geometry!D15</f>
        <v>0</v>
      </c>
      <c r="R50" s="326" t="str">
        <f t="shared" si="3"/>
        <v/>
      </c>
      <c r="S50" s="184" t="str">
        <f>Geometry!V27</f>
        <v/>
      </c>
      <c r="T50" s="325">
        <f>Geometry!E15</f>
        <v>0</v>
      </c>
      <c r="U50" s="327">
        <f>IF(S50&gt;R50,(T50/5280)/R65,0)</f>
        <v>0</v>
      </c>
      <c r="V50" s="305"/>
      <c r="W50" s="305"/>
      <c r="X50" s="313"/>
      <c r="Y50" s="305"/>
      <c r="Z50" s="305"/>
      <c r="AA50" s="305"/>
    </row>
    <row r="51" spans="3:27" ht="12.75" customHeight="1" x14ac:dyDescent="0.2">
      <c r="C51" s="330" t="s">
        <v>144</v>
      </c>
      <c r="D51" s="331">
        <v>0</v>
      </c>
      <c r="E51" s="331">
        <v>2</v>
      </c>
      <c r="F51" s="331">
        <v>4</v>
      </c>
      <c r="G51" s="331">
        <v>6</v>
      </c>
      <c r="H51" s="331">
        <v>8</v>
      </c>
      <c r="I51" s="332">
        <v>10</v>
      </c>
      <c r="J51" s="305"/>
      <c r="K51" s="305"/>
      <c r="L51" s="305"/>
      <c r="M51" s="305"/>
      <c r="N51" s="312"/>
      <c r="O51" s="305"/>
      <c r="P51" s="184">
        <v>3</v>
      </c>
      <c r="Q51" s="325">
        <f>Geometry!D16</f>
        <v>0</v>
      </c>
      <c r="R51" s="326" t="str">
        <f t="shared" si="3"/>
        <v/>
      </c>
      <c r="S51" s="184" t="str">
        <f>Geometry!V27</f>
        <v/>
      </c>
      <c r="T51" s="325">
        <f>Geometry!E16</f>
        <v>0</v>
      </c>
      <c r="U51" s="327">
        <f>IF(S51&gt;R51,(T51/5280)/R65,0)</f>
        <v>0</v>
      </c>
      <c r="V51" s="305"/>
      <c r="W51" s="305"/>
      <c r="X51" s="313"/>
      <c r="Y51" s="305"/>
      <c r="Z51" s="305"/>
      <c r="AA51" s="305"/>
    </row>
    <row r="52" spans="3:27" ht="12.75" customHeight="1" x14ac:dyDescent="0.2">
      <c r="C52" s="333" t="s">
        <v>20</v>
      </c>
      <c r="D52" s="334">
        <v>0</v>
      </c>
      <c r="E52" s="334">
        <v>1</v>
      </c>
      <c r="F52" s="334">
        <v>2</v>
      </c>
      <c r="G52" s="334">
        <v>3</v>
      </c>
      <c r="H52" s="334">
        <v>4</v>
      </c>
      <c r="I52" s="326">
        <v>5</v>
      </c>
      <c r="J52" s="305"/>
      <c r="K52" s="305"/>
      <c r="L52" s="305"/>
      <c r="M52" s="305"/>
      <c r="N52" s="312"/>
      <c r="O52" s="305"/>
      <c r="P52" s="184">
        <v>4</v>
      </c>
      <c r="Q52" s="325">
        <f>Geometry!D17</f>
        <v>0</v>
      </c>
      <c r="R52" s="326" t="str">
        <f t="shared" si="3"/>
        <v/>
      </c>
      <c r="S52" s="184" t="str">
        <f>Geometry!V27</f>
        <v/>
      </c>
      <c r="T52" s="325">
        <f>Geometry!E17</f>
        <v>0</v>
      </c>
      <c r="U52" s="327">
        <f>IF(S52&gt;R52,(T52/5280)/R65,0)</f>
        <v>0</v>
      </c>
      <c r="V52" s="305"/>
      <c r="W52" s="305"/>
      <c r="X52" s="313"/>
      <c r="Y52" s="305"/>
      <c r="Z52" s="305"/>
      <c r="AA52" s="305"/>
    </row>
    <row r="53" spans="3:27" ht="12.75" customHeight="1" thickBot="1" x14ac:dyDescent="0.25"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12"/>
      <c r="O53" s="305"/>
      <c r="P53" s="184">
        <v>5</v>
      </c>
      <c r="Q53" s="325">
        <f>Geometry!D18</f>
        <v>0</v>
      </c>
      <c r="R53" s="326" t="str">
        <f t="shared" si="3"/>
        <v/>
      </c>
      <c r="S53" s="184" t="str">
        <f>Geometry!V27</f>
        <v/>
      </c>
      <c r="T53" s="325">
        <f>Geometry!E18</f>
        <v>0</v>
      </c>
      <c r="U53" s="327">
        <f>IF(S53&gt;R53,(T53/5280)/R65,0)</f>
        <v>0</v>
      </c>
      <c r="V53" s="305"/>
      <c r="W53" s="305"/>
      <c r="X53" s="313"/>
      <c r="Y53" s="305"/>
      <c r="Z53" s="305"/>
      <c r="AA53" s="305"/>
    </row>
    <row r="54" spans="3:27" ht="12.75" customHeight="1" thickBot="1" x14ac:dyDescent="0.25">
      <c r="C54" s="305"/>
      <c r="D54" s="335"/>
      <c r="E54" s="184"/>
      <c r="F54" s="184"/>
      <c r="G54" s="184"/>
      <c r="H54" s="336"/>
      <c r="I54" s="184"/>
      <c r="J54" s="184"/>
      <c r="K54" s="337" t="s">
        <v>147</v>
      </c>
      <c r="L54" s="338">
        <f>S68</f>
        <v>0</v>
      </c>
      <c r="M54" s="305"/>
      <c r="N54" s="312"/>
      <c r="O54" s="305"/>
      <c r="P54" s="184">
        <v>6</v>
      </c>
      <c r="Q54" s="325">
        <f>Geometry!D19</f>
        <v>0</v>
      </c>
      <c r="R54" s="326" t="str">
        <f t="shared" si="3"/>
        <v/>
      </c>
      <c r="S54" s="184" t="str">
        <f>Geometry!V27</f>
        <v/>
      </c>
      <c r="T54" s="325">
        <f>Geometry!E19</f>
        <v>0</v>
      </c>
      <c r="U54" s="327">
        <f>IF(S54&gt;R54,(T54/5280)/R65,0)</f>
        <v>0</v>
      </c>
      <c r="V54" s="305"/>
      <c r="W54" s="305"/>
      <c r="X54" s="313"/>
      <c r="Y54" s="305"/>
      <c r="Z54" s="305"/>
      <c r="AA54" s="305"/>
    </row>
    <row r="55" spans="3:27" ht="12.75" customHeight="1" thickTop="1" x14ac:dyDescent="0.2"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12"/>
      <c r="O55" s="305"/>
      <c r="P55" s="184">
        <v>7</v>
      </c>
      <c r="Q55" s="325">
        <f>Geometry!D20</f>
        <v>0</v>
      </c>
      <c r="R55" s="326" t="str">
        <f t="shared" si="3"/>
        <v/>
      </c>
      <c r="S55" s="184" t="str">
        <f>Geometry!V27</f>
        <v/>
      </c>
      <c r="T55" s="325">
        <f>Geometry!E20</f>
        <v>0</v>
      </c>
      <c r="U55" s="327">
        <f>IF(S55&gt;R55,(T55/5280)/R65,0)</f>
        <v>0</v>
      </c>
      <c r="V55" s="305"/>
      <c r="W55" s="305"/>
      <c r="X55" s="313"/>
      <c r="Y55" s="305"/>
      <c r="Z55" s="305"/>
      <c r="AA55" s="305"/>
    </row>
    <row r="56" spans="3:27" ht="12.75" customHeight="1" x14ac:dyDescent="0.2">
      <c r="C56" s="305"/>
      <c r="D56" s="316" t="s">
        <v>150</v>
      </c>
      <c r="E56" s="317"/>
      <c r="F56" s="317"/>
      <c r="G56" s="317"/>
      <c r="H56" s="317"/>
      <c r="I56" s="305" t="s">
        <v>151</v>
      </c>
      <c r="J56" s="305"/>
      <c r="K56" s="305"/>
      <c r="L56" s="305"/>
      <c r="M56" s="305"/>
      <c r="N56" s="312"/>
      <c r="O56" s="305"/>
      <c r="P56" s="184">
        <v>8</v>
      </c>
      <c r="Q56" s="325">
        <f>Geometry!D21</f>
        <v>0</v>
      </c>
      <c r="R56" s="326" t="str">
        <f t="shared" si="3"/>
        <v/>
      </c>
      <c r="S56" s="184" t="str">
        <f>Geometry!V27</f>
        <v/>
      </c>
      <c r="T56" s="325">
        <f>Geometry!E21</f>
        <v>0</v>
      </c>
      <c r="U56" s="327">
        <f>IF(S56&gt;R56,(T56/5280)/R65,0)</f>
        <v>0</v>
      </c>
      <c r="V56" s="305"/>
      <c r="W56" s="305"/>
      <c r="X56" s="313"/>
      <c r="Y56" s="305"/>
      <c r="Z56" s="305"/>
      <c r="AA56" s="305"/>
    </row>
    <row r="57" spans="3:27" ht="12.75" customHeight="1" x14ac:dyDescent="0.2">
      <c r="C57" s="305" t="s">
        <v>152</v>
      </c>
      <c r="D57" s="305"/>
      <c r="E57" s="305"/>
      <c r="F57" s="340">
        <v>1</v>
      </c>
      <c r="G57" s="305"/>
      <c r="H57" s="305"/>
      <c r="I57" s="305" t="s">
        <v>153</v>
      </c>
      <c r="J57" s="305"/>
      <c r="K57" s="305"/>
      <c r="L57" s="305"/>
      <c r="M57" s="305"/>
      <c r="N57" s="312"/>
      <c r="O57" s="305"/>
      <c r="P57" s="184">
        <v>9</v>
      </c>
      <c r="Q57" s="325">
        <f>Geometry!D22</f>
        <v>0</v>
      </c>
      <c r="R57" s="326" t="str">
        <f t="shared" si="3"/>
        <v/>
      </c>
      <c r="S57" s="184" t="str">
        <f>Geometry!V27</f>
        <v/>
      </c>
      <c r="T57" s="325">
        <f>Geometry!E22</f>
        <v>0</v>
      </c>
      <c r="U57" s="327">
        <f>IF(S57&gt;R57,(T57/5280)/R65,0)</f>
        <v>0</v>
      </c>
      <c r="V57" s="305"/>
      <c r="W57" s="305"/>
      <c r="X57" s="313"/>
      <c r="Y57" s="305"/>
      <c r="Z57" s="305"/>
      <c r="AA57" s="305"/>
    </row>
    <row r="58" spans="3:27" ht="12.75" customHeight="1" x14ac:dyDescent="0.2">
      <c r="C58" s="305"/>
      <c r="D58" s="305"/>
      <c r="E58" s="595" t="s">
        <v>154</v>
      </c>
      <c r="F58" s="305"/>
      <c r="G58" s="596" t="s">
        <v>155</v>
      </c>
      <c r="H58" s="305"/>
      <c r="I58" s="305" t="s">
        <v>156</v>
      </c>
      <c r="J58" s="305"/>
      <c r="K58" s="305"/>
      <c r="L58" s="305"/>
      <c r="M58" s="305"/>
      <c r="N58" s="312"/>
      <c r="O58" s="305"/>
      <c r="P58" s="184">
        <v>10</v>
      </c>
      <c r="Q58" s="325">
        <f>Geometry!D23</f>
        <v>0</v>
      </c>
      <c r="R58" s="326" t="str">
        <f t="shared" si="3"/>
        <v/>
      </c>
      <c r="S58" s="184" t="str">
        <f>Geometry!V27</f>
        <v/>
      </c>
      <c r="T58" s="325">
        <f>Geometry!E23</f>
        <v>0</v>
      </c>
      <c r="U58" s="327">
        <f>IF(S58&gt;R58,(T58/5280)/R65,0)</f>
        <v>0</v>
      </c>
      <c r="V58" s="305"/>
      <c r="W58" s="305"/>
      <c r="X58" s="313"/>
      <c r="Y58" s="305"/>
      <c r="Z58" s="305"/>
      <c r="AA58" s="305"/>
    </row>
    <row r="59" spans="3:27" ht="12.75" customHeight="1" x14ac:dyDescent="0.2">
      <c r="C59" s="336"/>
      <c r="D59" s="336"/>
      <c r="E59" s="595"/>
      <c r="F59" s="341"/>
      <c r="G59" s="596"/>
      <c r="H59" s="342" t="s">
        <v>157</v>
      </c>
      <c r="I59" s="305"/>
      <c r="J59" s="305"/>
      <c r="K59" s="305"/>
      <c r="L59" s="305"/>
      <c r="M59" s="305"/>
      <c r="N59" s="312"/>
      <c r="O59" s="305"/>
      <c r="P59" s="184">
        <v>11</v>
      </c>
      <c r="Q59" s="325">
        <f>Geometry!D24</f>
        <v>0</v>
      </c>
      <c r="R59" s="326" t="str">
        <f t="shared" si="3"/>
        <v/>
      </c>
      <c r="S59" s="184" t="str">
        <f>Geometry!V27</f>
        <v/>
      </c>
      <c r="T59" s="325">
        <f>Geometry!E24</f>
        <v>0</v>
      </c>
      <c r="U59" s="327">
        <f>IF(S59&gt;R59,(T59/5280)/R65,0)</f>
        <v>0</v>
      </c>
      <c r="V59" s="305"/>
      <c r="W59" s="305"/>
      <c r="X59" s="313"/>
      <c r="Y59" s="305"/>
      <c r="Z59" s="305"/>
      <c r="AA59" s="305"/>
    </row>
    <row r="60" spans="3:27" ht="12.75" customHeight="1" x14ac:dyDescent="0.2">
      <c r="C60" s="336"/>
      <c r="D60" s="336"/>
      <c r="E60" s="305"/>
      <c r="F60" s="340" t="s">
        <v>158</v>
      </c>
      <c r="G60" s="184"/>
      <c r="H60" s="305"/>
      <c r="I60" s="305"/>
      <c r="J60" s="305"/>
      <c r="K60" s="305"/>
      <c r="L60" s="305"/>
      <c r="M60" s="305"/>
      <c r="N60" s="312"/>
      <c r="O60" s="305"/>
      <c r="P60" s="184">
        <v>12</v>
      </c>
      <c r="Q60" s="325">
        <f>Geometry!D25</f>
        <v>0</v>
      </c>
      <c r="R60" s="326" t="str">
        <f t="shared" si="3"/>
        <v/>
      </c>
      <c r="S60" s="184" t="str">
        <f>Geometry!V27</f>
        <v/>
      </c>
      <c r="T60" s="325">
        <f>Geometry!E25</f>
        <v>0</v>
      </c>
      <c r="U60" s="327">
        <f>IF(S60&gt;R60,(T60/5280)/R65,0)</f>
        <v>0</v>
      </c>
      <c r="V60" s="305"/>
      <c r="W60" s="305"/>
      <c r="X60" s="313"/>
      <c r="Y60" s="305"/>
      <c r="Z60" s="305"/>
      <c r="AA60" s="305"/>
    </row>
    <row r="61" spans="3:27" ht="12.75" customHeight="1" x14ac:dyDescent="0.2">
      <c r="C61" s="305"/>
      <c r="D61" s="305"/>
      <c r="E61" s="305" t="s">
        <v>159</v>
      </c>
      <c r="F61" s="343" t="s">
        <v>160</v>
      </c>
      <c r="G61" s="343"/>
      <c r="H61" s="343"/>
      <c r="I61" s="343"/>
      <c r="J61" s="305"/>
      <c r="K61" s="305"/>
      <c r="L61" s="305"/>
      <c r="M61" s="305"/>
      <c r="N61" s="312"/>
      <c r="O61" s="305"/>
      <c r="P61" s="184">
        <v>13</v>
      </c>
      <c r="Q61" s="325">
        <f>Geometry!D26</f>
        <v>0</v>
      </c>
      <c r="R61" s="326" t="str">
        <f t="shared" si="3"/>
        <v/>
      </c>
      <c r="S61" s="184" t="str">
        <f>Geometry!V27</f>
        <v/>
      </c>
      <c r="T61" s="325">
        <f>Geometry!E26</f>
        <v>0</v>
      </c>
      <c r="U61" s="327">
        <f>IF(S61&gt;R61,(T61/5280)/R65,0)</f>
        <v>0</v>
      </c>
      <c r="V61" s="305"/>
      <c r="W61" s="184"/>
      <c r="X61" s="344"/>
      <c r="Y61" s="305"/>
      <c r="Z61" s="305"/>
      <c r="AA61" s="305"/>
    </row>
    <row r="62" spans="3:27" ht="12.75" customHeight="1" x14ac:dyDescent="0.2">
      <c r="C62" s="305"/>
      <c r="D62" s="305"/>
      <c r="E62" s="305"/>
      <c r="F62" s="343" t="s">
        <v>161</v>
      </c>
      <c r="G62" s="343"/>
      <c r="H62" s="343"/>
      <c r="I62" s="343"/>
      <c r="J62" s="315"/>
      <c r="K62" s="305"/>
      <c r="L62" s="305"/>
      <c r="M62" s="305"/>
      <c r="N62" s="312"/>
      <c r="O62" s="305"/>
      <c r="P62" s="184">
        <v>14</v>
      </c>
      <c r="Q62" s="325">
        <f>Geometry!D27</f>
        <v>0</v>
      </c>
      <c r="R62" s="326" t="str">
        <f t="shared" si="3"/>
        <v/>
      </c>
      <c r="S62" s="184" t="str">
        <f>Geometry!V27</f>
        <v/>
      </c>
      <c r="T62" s="325">
        <f>Geometry!E27</f>
        <v>0</v>
      </c>
      <c r="U62" s="327">
        <f>IF(S62&gt;R62,(T62/5280)/R65,0)</f>
        <v>0</v>
      </c>
      <c r="V62" s="305"/>
      <c r="W62" s="184"/>
      <c r="X62" s="344"/>
      <c r="Y62" s="305"/>
      <c r="Z62" s="305"/>
      <c r="AA62" s="305"/>
    </row>
    <row r="63" spans="3:27" ht="12.75" customHeight="1" thickBot="1" x14ac:dyDescent="0.25">
      <c r="C63" s="305"/>
      <c r="D63" s="305"/>
      <c r="E63" s="305"/>
      <c r="F63" s="305" t="s">
        <v>162</v>
      </c>
      <c r="G63" s="305"/>
      <c r="H63" s="305"/>
      <c r="I63" s="305"/>
      <c r="J63" s="305"/>
      <c r="K63" s="336"/>
      <c r="L63" s="336"/>
      <c r="M63" s="305"/>
      <c r="N63" s="312"/>
      <c r="O63" s="305"/>
      <c r="P63" s="305"/>
      <c r="Q63" s="305"/>
      <c r="R63" s="305"/>
      <c r="S63" s="320" t="s">
        <v>193</v>
      </c>
      <c r="T63" s="345">
        <f>SUM(T49:T62)</f>
        <v>0</v>
      </c>
      <c r="U63" s="327">
        <f>SUM(U49:U62)</f>
        <v>0</v>
      </c>
      <c r="V63" s="305" t="s">
        <v>67</v>
      </c>
      <c r="W63" s="184"/>
      <c r="X63" s="344"/>
      <c r="Y63" s="305"/>
      <c r="Z63" s="305"/>
      <c r="AA63" s="305"/>
    </row>
    <row r="64" spans="3:27" ht="12.75" customHeight="1" thickBot="1" x14ac:dyDescent="0.25">
      <c r="C64" s="305"/>
      <c r="D64" s="305"/>
      <c r="E64" s="305"/>
      <c r="F64" s="305"/>
      <c r="G64" s="305"/>
      <c r="H64" s="336"/>
      <c r="I64" s="305"/>
      <c r="J64" s="305"/>
      <c r="K64" s="337" t="s">
        <v>163</v>
      </c>
      <c r="L64" s="338">
        <f>IF(S92=0,0,W113)</f>
        <v>0</v>
      </c>
      <c r="M64" s="305"/>
      <c r="N64" s="312"/>
      <c r="O64" s="305"/>
      <c r="P64" s="305"/>
      <c r="Q64" s="305"/>
      <c r="R64" s="184"/>
      <c r="S64" s="320" t="s">
        <v>192</v>
      </c>
      <c r="T64" s="346">
        <f>T63/5280</f>
        <v>0</v>
      </c>
      <c r="U64" s="305"/>
      <c r="V64" s="305"/>
      <c r="W64" s="184"/>
      <c r="X64" s="344"/>
      <c r="Y64" s="305"/>
      <c r="Z64" s="305"/>
      <c r="AA64" s="305"/>
    </row>
    <row r="65" spans="3:27" ht="12.75" customHeight="1" x14ac:dyDescent="0.2"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12"/>
      <c r="O65" s="305"/>
      <c r="P65" s="305"/>
      <c r="Q65" s="320" t="s">
        <v>182</v>
      </c>
      <c r="R65" s="184">
        <f>'Traffic &amp; Accidents'!F13</f>
        <v>0</v>
      </c>
      <c r="S65" s="305"/>
      <c r="T65" s="305"/>
      <c r="U65" s="305"/>
      <c r="V65" s="305"/>
      <c r="W65" s="184"/>
      <c r="X65" s="344"/>
      <c r="Y65" s="305"/>
      <c r="Z65" s="305"/>
      <c r="AA65" s="305"/>
    </row>
    <row r="66" spans="3:27" ht="12.75" customHeight="1" thickBot="1" x14ac:dyDescent="0.25">
      <c r="C66" s="305"/>
      <c r="D66" s="305"/>
      <c r="E66" s="305"/>
      <c r="F66" s="305"/>
      <c r="G66" s="305"/>
      <c r="H66" s="305"/>
      <c r="I66" s="305"/>
      <c r="J66" s="305"/>
      <c r="K66" s="305"/>
      <c r="L66" s="347"/>
      <c r="M66" s="305"/>
      <c r="N66" s="312"/>
      <c r="O66" s="305"/>
      <c r="P66" s="305"/>
      <c r="Q66" s="305"/>
      <c r="R66" s="184"/>
      <c r="S66" s="305"/>
      <c r="T66" s="305"/>
      <c r="U66" s="305"/>
      <c r="V66" s="305"/>
      <c r="W66" s="305"/>
      <c r="X66" s="313"/>
      <c r="Y66" s="305"/>
      <c r="Z66" s="305"/>
      <c r="AA66" s="305"/>
    </row>
    <row r="67" spans="3:27" ht="12.75" customHeight="1" thickBot="1" x14ac:dyDescent="0.25">
      <c r="C67" s="305"/>
      <c r="D67" s="336"/>
      <c r="E67" s="305"/>
      <c r="F67" s="305"/>
      <c r="G67" s="336"/>
      <c r="H67" s="336"/>
      <c r="I67" s="336"/>
      <c r="J67" s="305"/>
      <c r="K67" s="348" t="s">
        <v>165</v>
      </c>
      <c r="L67" s="338">
        <f>SUM(Geometry!Y8,L54,L64)</f>
        <v>0</v>
      </c>
      <c r="M67" s="305"/>
      <c r="N67" s="312"/>
      <c r="O67" s="305"/>
      <c r="P67" s="305"/>
      <c r="Q67" s="305"/>
      <c r="R67" s="184"/>
      <c r="S67" s="305" t="s">
        <v>189</v>
      </c>
      <c r="T67" s="305"/>
      <c r="U67" s="349" t="s">
        <v>190</v>
      </c>
      <c r="V67" s="305"/>
      <c r="W67" s="305"/>
      <c r="X67" s="313"/>
      <c r="Y67" s="305"/>
      <c r="Z67" s="305"/>
      <c r="AA67" s="305"/>
    </row>
    <row r="68" spans="3:27" ht="12.75" customHeight="1" x14ac:dyDescent="0.25">
      <c r="C68" s="350"/>
      <c r="D68" s="350"/>
      <c r="E68" s="350"/>
      <c r="F68" s="350"/>
      <c r="G68" s="350"/>
      <c r="H68" s="350"/>
      <c r="I68" s="351"/>
      <c r="J68" s="351"/>
      <c r="K68" s="351"/>
      <c r="L68" s="352"/>
      <c r="M68" s="353"/>
      <c r="N68" s="312"/>
      <c r="O68" s="305"/>
      <c r="P68" s="305"/>
      <c r="Q68" s="305"/>
      <c r="R68" s="184"/>
      <c r="S68" s="324">
        <f>IF('Traffic &amp; Accidents'!F13=0,0,IF((U63/2)*100&gt;5,5,(U63/2)*100))</f>
        <v>0</v>
      </c>
      <c r="T68" s="305"/>
      <c r="U68" s="305" t="s">
        <v>191</v>
      </c>
      <c r="V68" s="305"/>
      <c r="W68" s="305"/>
      <c r="X68" s="313"/>
      <c r="Y68" s="305"/>
      <c r="Z68" s="305"/>
      <c r="AA68" s="305"/>
    </row>
    <row r="69" spans="3:27" ht="12.75" customHeight="1" x14ac:dyDescent="0.25">
      <c r="C69" s="350"/>
      <c r="D69" s="350"/>
      <c r="E69" s="350"/>
      <c r="F69" s="350"/>
      <c r="G69" s="350"/>
      <c r="H69" s="350"/>
      <c r="I69" s="351"/>
      <c r="J69" s="351"/>
      <c r="K69" s="351"/>
      <c r="L69" s="354"/>
      <c r="M69" s="353"/>
      <c r="N69" s="312"/>
      <c r="O69" s="305"/>
      <c r="P69" s="305"/>
      <c r="Q69" s="305"/>
      <c r="R69" s="184"/>
      <c r="S69" s="305"/>
      <c r="T69" s="305"/>
      <c r="U69" s="305"/>
      <c r="V69" s="305"/>
      <c r="W69" s="305"/>
      <c r="X69" s="313"/>
      <c r="Y69" s="305"/>
      <c r="Z69" s="305"/>
      <c r="AA69" s="305"/>
    </row>
    <row r="70" spans="3:27" ht="12.75" customHeight="1" x14ac:dyDescent="0.25">
      <c r="C70" s="350"/>
      <c r="D70" s="350"/>
      <c r="E70" s="350"/>
      <c r="F70" s="350"/>
      <c r="G70" s="350"/>
      <c r="H70" s="350"/>
      <c r="I70" s="351"/>
      <c r="J70" s="351"/>
      <c r="K70" s="355"/>
      <c r="L70" s="354"/>
      <c r="M70" s="353"/>
      <c r="N70" s="322" t="s">
        <v>183</v>
      </c>
      <c r="O70" s="322"/>
      <c r="P70" s="322"/>
      <c r="Q70" s="322"/>
      <c r="R70" s="305"/>
      <c r="S70" s="305"/>
      <c r="T70" s="305"/>
      <c r="U70" s="305"/>
      <c r="V70" s="305"/>
      <c r="W70" s="305"/>
      <c r="X70" s="313"/>
      <c r="Y70" s="305"/>
      <c r="Z70" s="305"/>
      <c r="AA70" s="184"/>
    </row>
    <row r="71" spans="3:27" ht="12.75" customHeight="1" x14ac:dyDescent="0.2">
      <c r="C71" s="351"/>
      <c r="D71" s="351"/>
      <c r="E71" s="351"/>
      <c r="F71" s="351"/>
      <c r="G71" s="351"/>
      <c r="H71" s="351"/>
      <c r="I71" s="351"/>
      <c r="J71" s="355"/>
      <c r="K71" s="355"/>
      <c r="L71" s="353"/>
      <c r="M71" s="353"/>
      <c r="N71" s="184">
        <f t="shared" ref="N71:N84" si="4">IF(AND(Q49&gt;=0,Q49&lt;=80),10+((Q49-0)/80)*5,O71)</f>
        <v>10</v>
      </c>
      <c r="O71" s="184">
        <f t="shared" ref="O71:O84" si="5">IF(AND(Q49&gt;80,Q49&lt;=115),15+((Q49-80)/35)*5,P71)</f>
        <v>0</v>
      </c>
      <c r="P71" s="184">
        <f t="shared" ref="P71:P84" si="6">IF(AND(Q49&gt;115,Q49&lt;=155),20+((Q49-115)/40)*5,Q71)</f>
        <v>0</v>
      </c>
      <c r="Q71" s="184">
        <f t="shared" ref="Q71:Q84" si="7">IF(AND(Q49&gt;155,Q49&lt;=200),25+((Q49-155)/45)*5,R71)</f>
        <v>0</v>
      </c>
      <c r="R71" s="184">
        <f t="shared" ref="R71:R84" si="8">IF(AND(Q49&gt;200,Q49&lt;=250),30+((Q49-200)/50)*5,S71)</f>
        <v>0</v>
      </c>
      <c r="S71" s="184">
        <f t="shared" ref="S71:S84" si="9">IF(AND(Q49&gt;250,Q49&lt;=305),35+((Q49-250)/55)*5,T71)</f>
        <v>0</v>
      </c>
      <c r="T71" s="184">
        <f t="shared" ref="T71:T84" si="10">IF(AND(Q49&gt;305,Q49&lt;=360),40+((Q49-305)/55)*5,U71)</f>
        <v>0</v>
      </c>
      <c r="U71" s="184">
        <f t="shared" ref="U71:U84" si="11">IF(AND(Q49&gt;360,Q49&lt;=425),45+((Q49-360)/65)*5,V71)</f>
        <v>0</v>
      </c>
      <c r="V71" s="184">
        <f t="shared" ref="V71:V84" si="12">IF(AND(Q49&gt;425,Q49&lt;=495),50+((Q49-425)/70)*5,W71)</f>
        <v>0</v>
      </c>
      <c r="W71" s="184">
        <f t="shared" ref="W71:W84" si="13">IF(AND(Q49&gt;495,Q49&lt;=570),55+((Q49-495)/75)*5,X71)</f>
        <v>0</v>
      </c>
      <c r="X71" s="344">
        <f t="shared" ref="X71:X84" si="14">IF(Q49&gt;570,60,0)</f>
        <v>0</v>
      </c>
      <c r="Y71" s="305"/>
      <c r="Z71" s="305"/>
      <c r="AA71" s="305"/>
    </row>
    <row r="72" spans="3:27" ht="12.75" customHeight="1" x14ac:dyDescent="0.2">
      <c r="C72" s="355"/>
      <c r="D72" s="355"/>
      <c r="E72" s="355"/>
      <c r="F72" s="355"/>
      <c r="G72" s="355"/>
      <c r="H72" s="355"/>
      <c r="I72" s="355"/>
      <c r="J72" s="355"/>
      <c r="K72" s="355"/>
      <c r="L72" s="353"/>
      <c r="M72" s="353"/>
      <c r="N72" s="184">
        <f t="shared" si="4"/>
        <v>10</v>
      </c>
      <c r="O72" s="184">
        <f t="shared" si="5"/>
        <v>0</v>
      </c>
      <c r="P72" s="184">
        <f t="shared" si="6"/>
        <v>0</v>
      </c>
      <c r="Q72" s="184">
        <f t="shared" si="7"/>
        <v>0</v>
      </c>
      <c r="R72" s="184">
        <f t="shared" si="8"/>
        <v>0</v>
      </c>
      <c r="S72" s="184">
        <f t="shared" si="9"/>
        <v>0</v>
      </c>
      <c r="T72" s="184">
        <f t="shared" si="10"/>
        <v>0</v>
      </c>
      <c r="U72" s="184">
        <f t="shared" si="11"/>
        <v>0</v>
      </c>
      <c r="V72" s="184">
        <f t="shared" si="12"/>
        <v>0</v>
      </c>
      <c r="W72" s="184">
        <f t="shared" si="13"/>
        <v>0</v>
      </c>
      <c r="X72" s="344">
        <f t="shared" si="14"/>
        <v>0</v>
      </c>
      <c r="Y72" s="305"/>
      <c r="Z72" s="305"/>
      <c r="AA72" s="305"/>
    </row>
    <row r="73" spans="3:27" ht="12.75" customHeight="1" x14ac:dyDescent="0.2">
      <c r="C73" s="355"/>
      <c r="D73" s="355"/>
      <c r="E73" s="355"/>
      <c r="F73" s="355"/>
      <c r="G73" s="355"/>
      <c r="H73" s="355"/>
      <c r="I73" s="355"/>
      <c r="J73" s="355"/>
      <c r="K73" s="355"/>
      <c r="L73" s="353"/>
      <c r="M73" s="353"/>
      <c r="N73" s="184">
        <f t="shared" si="4"/>
        <v>10</v>
      </c>
      <c r="O73" s="184">
        <f t="shared" si="5"/>
        <v>0</v>
      </c>
      <c r="P73" s="184">
        <f t="shared" si="6"/>
        <v>0</v>
      </c>
      <c r="Q73" s="184">
        <f t="shared" si="7"/>
        <v>0</v>
      </c>
      <c r="R73" s="184">
        <f t="shared" si="8"/>
        <v>0</v>
      </c>
      <c r="S73" s="184">
        <f t="shared" si="9"/>
        <v>0</v>
      </c>
      <c r="T73" s="184">
        <f t="shared" si="10"/>
        <v>0</v>
      </c>
      <c r="U73" s="184">
        <f t="shared" si="11"/>
        <v>0</v>
      </c>
      <c r="V73" s="184">
        <f t="shared" si="12"/>
        <v>0</v>
      </c>
      <c r="W73" s="184">
        <f t="shared" si="13"/>
        <v>0</v>
      </c>
      <c r="X73" s="344">
        <f t="shared" si="14"/>
        <v>0</v>
      </c>
      <c r="Y73" s="305"/>
      <c r="Z73" s="305"/>
      <c r="AA73" s="305"/>
    </row>
    <row r="74" spans="3:27" ht="12.75" customHeight="1" x14ac:dyDescent="0.2">
      <c r="C74" s="355"/>
      <c r="D74" s="355"/>
      <c r="E74" s="355"/>
      <c r="F74" s="355"/>
      <c r="G74" s="355"/>
      <c r="H74" s="355"/>
      <c r="I74" s="355"/>
      <c r="J74" s="355"/>
      <c r="K74" s="355"/>
      <c r="L74" s="353"/>
      <c r="M74" s="353"/>
      <c r="N74" s="184">
        <f t="shared" si="4"/>
        <v>10</v>
      </c>
      <c r="O74" s="184">
        <f t="shared" si="5"/>
        <v>0</v>
      </c>
      <c r="P74" s="184">
        <f t="shared" si="6"/>
        <v>0</v>
      </c>
      <c r="Q74" s="184">
        <f t="shared" si="7"/>
        <v>0</v>
      </c>
      <c r="R74" s="184">
        <f t="shared" si="8"/>
        <v>0</v>
      </c>
      <c r="S74" s="184">
        <f t="shared" si="9"/>
        <v>0</v>
      </c>
      <c r="T74" s="184">
        <f t="shared" si="10"/>
        <v>0</v>
      </c>
      <c r="U74" s="184">
        <f t="shared" si="11"/>
        <v>0</v>
      </c>
      <c r="V74" s="184">
        <f t="shared" si="12"/>
        <v>0</v>
      </c>
      <c r="W74" s="184">
        <f t="shared" si="13"/>
        <v>0</v>
      </c>
      <c r="X74" s="344">
        <f t="shared" si="14"/>
        <v>0</v>
      </c>
      <c r="Y74" s="305"/>
      <c r="Z74" s="305"/>
      <c r="AA74" s="305"/>
    </row>
    <row r="75" spans="3:27" ht="12.75" customHeight="1" x14ac:dyDescent="0.2">
      <c r="C75" s="351"/>
      <c r="D75" s="351"/>
      <c r="E75" s="351"/>
      <c r="F75" s="351"/>
      <c r="G75" s="351"/>
      <c r="H75" s="351"/>
      <c r="I75" s="355"/>
      <c r="J75" s="355"/>
      <c r="K75" s="355"/>
      <c r="L75" s="353"/>
      <c r="M75" s="353"/>
      <c r="N75" s="184">
        <f t="shared" si="4"/>
        <v>10</v>
      </c>
      <c r="O75" s="184">
        <f t="shared" si="5"/>
        <v>0</v>
      </c>
      <c r="P75" s="184">
        <f t="shared" si="6"/>
        <v>0</v>
      </c>
      <c r="Q75" s="184">
        <f t="shared" si="7"/>
        <v>0</v>
      </c>
      <c r="R75" s="184">
        <f t="shared" si="8"/>
        <v>0</v>
      </c>
      <c r="S75" s="184">
        <f t="shared" si="9"/>
        <v>0</v>
      </c>
      <c r="T75" s="184">
        <f t="shared" si="10"/>
        <v>0</v>
      </c>
      <c r="U75" s="184">
        <f t="shared" si="11"/>
        <v>0</v>
      </c>
      <c r="V75" s="184">
        <f t="shared" si="12"/>
        <v>0</v>
      </c>
      <c r="W75" s="184">
        <f t="shared" si="13"/>
        <v>0</v>
      </c>
      <c r="X75" s="344">
        <f t="shared" si="14"/>
        <v>0</v>
      </c>
      <c r="Y75" s="305"/>
      <c r="Z75" s="305"/>
      <c r="AA75" s="305"/>
    </row>
    <row r="76" spans="3:27" ht="12.75" customHeight="1" x14ac:dyDescent="0.2">
      <c r="C76" s="351"/>
      <c r="D76" s="351"/>
      <c r="E76" s="351"/>
      <c r="F76" s="355"/>
      <c r="G76" s="355"/>
      <c r="H76" s="355"/>
      <c r="I76" s="355"/>
      <c r="J76" s="355"/>
      <c r="K76" s="355"/>
      <c r="L76" s="353"/>
      <c r="M76" s="353"/>
      <c r="N76" s="184">
        <f t="shared" si="4"/>
        <v>10</v>
      </c>
      <c r="O76" s="184">
        <f t="shared" si="5"/>
        <v>0</v>
      </c>
      <c r="P76" s="184">
        <f t="shared" si="6"/>
        <v>0</v>
      </c>
      <c r="Q76" s="184">
        <f t="shared" si="7"/>
        <v>0</v>
      </c>
      <c r="R76" s="184">
        <f t="shared" si="8"/>
        <v>0</v>
      </c>
      <c r="S76" s="184">
        <f t="shared" si="9"/>
        <v>0</v>
      </c>
      <c r="T76" s="184">
        <f t="shared" si="10"/>
        <v>0</v>
      </c>
      <c r="U76" s="184">
        <f t="shared" si="11"/>
        <v>0</v>
      </c>
      <c r="V76" s="184">
        <f t="shared" si="12"/>
        <v>0</v>
      </c>
      <c r="W76" s="184">
        <f t="shared" si="13"/>
        <v>0</v>
      </c>
      <c r="X76" s="344">
        <f t="shared" si="14"/>
        <v>0</v>
      </c>
      <c r="Y76" s="305"/>
      <c r="Z76" s="305"/>
      <c r="AA76" s="305"/>
    </row>
    <row r="77" spans="3:27" ht="12.75" customHeight="1" x14ac:dyDescent="0.2">
      <c r="C77" s="351"/>
      <c r="D77" s="351"/>
      <c r="E77" s="351"/>
      <c r="F77" s="355"/>
      <c r="G77" s="355"/>
      <c r="H77" s="355"/>
      <c r="I77" s="355"/>
      <c r="J77" s="355"/>
      <c r="K77" s="355"/>
      <c r="L77" s="353"/>
      <c r="M77" s="353"/>
      <c r="N77" s="184">
        <f t="shared" si="4"/>
        <v>10</v>
      </c>
      <c r="O77" s="184">
        <f t="shared" si="5"/>
        <v>0</v>
      </c>
      <c r="P77" s="184">
        <f t="shared" si="6"/>
        <v>0</v>
      </c>
      <c r="Q77" s="184">
        <f t="shared" si="7"/>
        <v>0</v>
      </c>
      <c r="R77" s="184">
        <f t="shared" si="8"/>
        <v>0</v>
      </c>
      <c r="S77" s="184">
        <f t="shared" si="9"/>
        <v>0</v>
      </c>
      <c r="T77" s="184">
        <f t="shared" si="10"/>
        <v>0</v>
      </c>
      <c r="U77" s="184">
        <f t="shared" si="11"/>
        <v>0</v>
      </c>
      <c r="V77" s="184">
        <f t="shared" si="12"/>
        <v>0</v>
      </c>
      <c r="W77" s="184">
        <f t="shared" si="13"/>
        <v>0</v>
      </c>
      <c r="X77" s="344">
        <f t="shared" si="14"/>
        <v>0</v>
      </c>
      <c r="Y77" s="305"/>
      <c r="Z77" s="305"/>
      <c r="AA77" s="305"/>
    </row>
    <row r="78" spans="3:27" ht="12.75" customHeight="1" x14ac:dyDescent="0.2">
      <c r="C78" s="351"/>
      <c r="D78" s="351"/>
      <c r="E78" s="351"/>
      <c r="F78" s="351"/>
      <c r="G78" s="351"/>
      <c r="H78" s="351"/>
      <c r="I78" s="351"/>
      <c r="J78" s="355"/>
      <c r="K78" s="355"/>
      <c r="L78" s="353"/>
      <c r="M78" s="353"/>
      <c r="N78" s="184">
        <f t="shared" si="4"/>
        <v>10</v>
      </c>
      <c r="O78" s="184">
        <f t="shared" si="5"/>
        <v>0</v>
      </c>
      <c r="P78" s="184">
        <f t="shared" si="6"/>
        <v>0</v>
      </c>
      <c r="Q78" s="184">
        <f t="shared" si="7"/>
        <v>0</v>
      </c>
      <c r="R78" s="184">
        <f t="shared" si="8"/>
        <v>0</v>
      </c>
      <c r="S78" s="184">
        <f t="shared" si="9"/>
        <v>0</v>
      </c>
      <c r="T78" s="184">
        <f t="shared" si="10"/>
        <v>0</v>
      </c>
      <c r="U78" s="184">
        <f t="shared" si="11"/>
        <v>0</v>
      </c>
      <c r="V78" s="184">
        <f t="shared" si="12"/>
        <v>0</v>
      </c>
      <c r="W78" s="184">
        <f t="shared" si="13"/>
        <v>0</v>
      </c>
      <c r="X78" s="344">
        <f t="shared" si="14"/>
        <v>0</v>
      </c>
      <c r="Y78" s="305"/>
      <c r="Z78" s="305"/>
      <c r="AA78" s="305"/>
    </row>
    <row r="79" spans="3:27" ht="12.75" customHeight="1" x14ac:dyDescent="0.2">
      <c r="C79" s="351"/>
      <c r="D79" s="351"/>
      <c r="E79" s="351"/>
      <c r="F79" s="351"/>
      <c r="G79" s="351"/>
      <c r="H79" s="351"/>
      <c r="I79" s="351"/>
      <c r="J79" s="351"/>
      <c r="K79" s="351"/>
      <c r="L79" s="352"/>
      <c r="M79" s="353"/>
      <c r="N79" s="184">
        <f t="shared" si="4"/>
        <v>10</v>
      </c>
      <c r="O79" s="184">
        <f t="shared" si="5"/>
        <v>0</v>
      </c>
      <c r="P79" s="184">
        <f t="shared" si="6"/>
        <v>0</v>
      </c>
      <c r="Q79" s="184">
        <f t="shared" si="7"/>
        <v>0</v>
      </c>
      <c r="R79" s="184">
        <f t="shared" si="8"/>
        <v>0</v>
      </c>
      <c r="S79" s="184">
        <f t="shared" si="9"/>
        <v>0</v>
      </c>
      <c r="T79" s="184">
        <f t="shared" si="10"/>
        <v>0</v>
      </c>
      <c r="U79" s="184">
        <f t="shared" si="11"/>
        <v>0</v>
      </c>
      <c r="V79" s="184">
        <f t="shared" si="12"/>
        <v>0</v>
      </c>
      <c r="W79" s="184">
        <f t="shared" si="13"/>
        <v>0</v>
      </c>
      <c r="X79" s="344">
        <f t="shared" si="14"/>
        <v>0</v>
      </c>
      <c r="Y79" s="305"/>
      <c r="Z79" s="305"/>
      <c r="AA79" s="184"/>
    </row>
    <row r="80" spans="3:27" ht="12.75" customHeight="1" x14ac:dyDescent="0.2">
      <c r="C80" s="351"/>
      <c r="D80" s="351"/>
      <c r="E80" s="351"/>
      <c r="F80" s="351"/>
      <c r="G80" s="351"/>
      <c r="H80" s="351"/>
      <c r="I80" s="351"/>
      <c r="J80" s="351"/>
      <c r="K80" s="351"/>
      <c r="L80" s="353"/>
      <c r="M80" s="353"/>
      <c r="N80" s="184">
        <f t="shared" si="4"/>
        <v>10</v>
      </c>
      <c r="O80" s="184">
        <f t="shared" si="5"/>
        <v>0</v>
      </c>
      <c r="P80" s="184">
        <f t="shared" si="6"/>
        <v>0</v>
      </c>
      <c r="Q80" s="184">
        <f t="shared" si="7"/>
        <v>0</v>
      </c>
      <c r="R80" s="184">
        <f t="shared" si="8"/>
        <v>0</v>
      </c>
      <c r="S80" s="184">
        <f t="shared" si="9"/>
        <v>0</v>
      </c>
      <c r="T80" s="184">
        <f t="shared" si="10"/>
        <v>0</v>
      </c>
      <c r="U80" s="184">
        <f t="shared" si="11"/>
        <v>0</v>
      </c>
      <c r="V80" s="184">
        <f t="shared" si="12"/>
        <v>0</v>
      </c>
      <c r="W80" s="184">
        <f t="shared" si="13"/>
        <v>0</v>
      </c>
      <c r="X80" s="344">
        <f t="shared" si="14"/>
        <v>0</v>
      </c>
      <c r="Y80" s="305"/>
      <c r="Z80" s="305"/>
      <c r="AA80" s="184"/>
    </row>
    <row r="81" spans="3:41" ht="12.75" customHeight="1" x14ac:dyDescent="0.2">
      <c r="C81" s="351"/>
      <c r="D81" s="351"/>
      <c r="E81" s="351"/>
      <c r="F81" s="351"/>
      <c r="G81" s="351"/>
      <c r="H81" s="351"/>
      <c r="I81" s="351"/>
      <c r="J81" s="351"/>
      <c r="K81" s="351"/>
      <c r="L81" s="352"/>
      <c r="M81" s="353"/>
      <c r="N81" s="184">
        <f t="shared" si="4"/>
        <v>10</v>
      </c>
      <c r="O81" s="184">
        <f t="shared" si="5"/>
        <v>0</v>
      </c>
      <c r="P81" s="184">
        <f t="shared" si="6"/>
        <v>0</v>
      </c>
      <c r="Q81" s="184">
        <f t="shared" si="7"/>
        <v>0</v>
      </c>
      <c r="R81" s="184">
        <f t="shared" si="8"/>
        <v>0</v>
      </c>
      <c r="S81" s="184">
        <f t="shared" si="9"/>
        <v>0</v>
      </c>
      <c r="T81" s="184">
        <f t="shared" si="10"/>
        <v>0</v>
      </c>
      <c r="U81" s="184">
        <f t="shared" si="11"/>
        <v>0</v>
      </c>
      <c r="V81" s="184">
        <f t="shared" si="12"/>
        <v>0</v>
      </c>
      <c r="W81" s="184">
        <f t="shared" si="13"/>
        <v>0</v>
      </c>
      <c r="X81" s="344">
        <f t="shared" si="14"/>
        <v>0</v>
      </c>
      <c r="Y81" s="305"/>
      <c r="Z81" s="305"/>
      <c r="AA81" s="305"/>
    </row>
    <row r="82" spans="3:41" ht="12.75" customHeight="1" x14ac:dyDescent="0.2">
      <c r="C82" s="351"/>
      <c r="D82" s="351"/>
      <c r="E82" s="351"/>
      <c r="F82" s="351"/>
      <c r="G82" s="351"/>
      <c r="H82" s="351"/>
      <c r="I82" s="351"/>
      <c r="J82" s="351"/>
      <c r="K82" s="351"/>
      <c r="L82" s="353"/>
      <c r="M82" s="353"/>
      <c r="N82" s="184">
        <f t="shared" si="4"/>
        <v>10</v>
      </c>
      <c r="O82" s="184">
        <f t="shared" si="5"/>
        <v>0</v>
      </c>
      <c r="P82" s="184">
        <f t="shared" si="6"/>
        <v>0</v>
      </c>
      <c r="Q82" s="184">
        <f t="shared" si="7"/>
        <v>0</v>
      </c>
      <c r="R82" s="184">
        <f t="shared" si="8"/>
        <v>0</v>
      </c>
      <c r="S82" s="184">
        <f t="shared" si="9"/>
        <v>0</v>
      </c>
      <c r="T82" s="184">
        <f t="shared" si="10"/>
        <v>0</v>
      </c>
      <c r="U82" s="184">
        <f t="shared" si="11"/>
        <v>0</v>
      </c>
      <c r="V82" s="184">
        <f t="shared" si="12"/>
        <v>0</v>
      </c>
      <c r="W82" s="184">
        <f t="shared" si="13"/>
        <v>0</v>
      </c>
      <c r="X82" s="344">
        <f t="shared" si="14"/>
        <v>0</v>
      </c>
      <c r="Y82" s="305"/>
      <c r="Z82" s="305"/>
      <c r="AA82" s="184"/>
    </row>
    <row r="83" spans="3:41" ht="12.75" customHeight="1" x14ac:dyDescent="0.2">
      <c r="C83" s="351"/>
      <c r="D83" s="351"/>
      <c r="E83" s="351"/>
      <c r="F83" s="351"/>
      <c r="G83" s="351"/>
      <c r="H83" s="351"/>
      <c r="I83" s="351"/>
      <c r="J83" s="351"/>
      <c r="K83" s="351"/>
      <c r="L83" s="352"/>
      <c r="M83" s="353"/>
      <c r="N83" s="184">
        <f t="shared" si="4"/>
        <v>10</v>
      </c>
      <c r="O83" s="184">
        <f t="shared" si="5"/>
        <v>0</v>
      </c>
      <c r="P83" s="184">
        <f t="shared" si="6"/>
        <v>0</v>
      </c>
      <c r="Q83" s="184">
        <f t="shared" si="7"/>
        <v>0</v>
      </c>
      <c r="R83" s="184">
        <f t="shared" si="8"/>
        <v>0</v>
      </c>
      <c r="S83" s="184">
        <f t="shared" si="9"/>
        <v>0</v>
      </c>
      <c r="T83" s="184">
        <f t="shared" si="10"/>
        <v>0</v>
      </c>
      <c r="U83" s="184">
        <f t="shared" si="11"/>
        <v>0</v>
      </c>
      <c r="V83" s="184">
        <f t="shared" si="12"/>
        <v>0</v>
      </c>
      <c r="W83" s="184">
        <f t="shared" si="13"/>
        <v>0</v>
      </c>
      <c r="X83" s="344">
        <f t="shared" si="14"/>
        <v>0</v>
      </c>
      <c r="Y83" s="305"/>
      <c r="Z83" s="305"/>
      <c r="AA83" s="305"/>
      <c r="AB83" s="184"/>
    </row>
    <row r="84" spans="3:41" ht="12.75" customHeight="1" thickBot="1" x14ac:dyDescent="0.25">
      <c r="C84" s="351"/>
      <c r="D84" s="351"/>
      <c r="E84" s="351"/>
      <c r="F84" s="351"/>
      <c r="G84" s="351"/>
      <c r="H84" s="351"/>
      <c r="I84" s="351"/>
      <c r="J84" s="351"/>
      <c r="K84" s="351"/>
      <c r="L84" s="352"/>
      <c r="M84" s="353"/>
      <c r="N84" s="184">
        <f t="shared" si="4"/>
        <v>10</v>
      </c>
      <c r="O84" s="184">
        <f t="shared" si="5"/>
        <v>0</v>
      </c>
      <c r="P84" s="184">
        <f t="shared" si="6"/>
        <v>0</v>
      </c>
      <c r="Q84" s="184">
        <f t="shared" si="7"/>
        <v>0</v>
      </c>
      <c r="R84" s="184">
        <f t="shared" si="8"/>
        <v>0</v>
      </c>
      <c r="S84" s="184">
        <f t="shared" si="9"/>
        <v>0</v>
      </c>
      <c r="T84" s="184">
        <f t="shared" si="10"/>
        <v>0</v>
      </c>
      <c r="U84" s="184">
        <f t="shared" si="11"/>
        <v>0</v>
      </c>
      <c r="V84" s="184">
        <f t="shared" si="12"/>
        <v>0</v>
      </c>
      <c r="W84" s="184">
        <f t="shared" si="13"/>
        <v>0</v>
      </c>
      <c r="X84" s="344">
        <f t="shared" si="14"/>
        <v>0</v>
      </c>
      <c r="Y84" s="305"/>
      <c r="Z84" s="305"/>
      <c r="AA84" s="305"/>
      <c r="AB84" s="184"/>
    </row>
    <row r="85" spans="3:41" ht="12.75" customHeight="1" x14ac:dyDescent="0.25">
      <c r="C85" s="356"/>
      <c r="D85" s="351"/>
      <c r="E85" s="351"/>
      <c r="F85" s="351"/>
      <c r="G85" s="351"/>
      <c r="H85" s="351"/>
      <c r="I85" s="351"/>
      <c r="J85" s="351"/>
      <c r="K85" s="351"/>
      <c r="L85" s="352"/>
      <c r="M85" s="353"/>
      <c r="N85" s="353"/>
      <c r="O85" s="305"/>
      <c r="P85" s="305"/>
      <c r="Q85" s="305"/>
      <c r="R85" s="305"/>
      <c r="S85" s="305"/>
      <c r="T85" s="305"/>
      <c r="U85" s="184"/>
      <c r="V85" s="184"/>
      <c r="W85" s="305"/>
      <c r="X85" s="313"/>
      <c r="Y85" s="305"/>
      <c r="Z85" s="305"/>
      <c r="AA85" s="305"/>
      <c r="AB85" s="357"/>
      <c r="AC85" s="358"/>
      <c r="AD85" s="358"/>
      <c r="AE85" s="358"/>
      <c r="AF85" s="358"/>
      <c r="AG85" s="358"/>
      <c r="AH85" s="359"/>
      <c r="AI85" s="359"/>
      <c r="AJ85" s="359"/>
      <c r="AK85" s="358"/>
      <c r="AL85" s="358"/>
      <c r="AM85" s="358"/>
      <c r="AN85" s="358"/>
      <c r="AO85" s="360"/>
    </row>
    <row r="86" spans="3:41" ht="12.75" customHeight="1" x14ac:dyDescent="0.25">
      <c r="C86" s="351"/>
      <c r="D86" s="351"/>
      <c r="E86" s="351"/>
      <c r="F86" s="351"/>
      <c r="G86" s="351"/>
      <c r="H86" s="351"/>
      <c r="I86" s="351"/>
      <c r="J86" s="351"/>
      <c r="K86" s="351"/>
      <c r="L86" s="352"/>
      <c r="M86" s="353"/>
      <c r="N86" s="347"/>
      <c r="O86" s="347"/>
      <c r="P86" s="347"/>
      <c r="Q86" s="347"/>
      <c r="R86" s="347"/>
      <c r="S86" s="347"/>
      <c r="T86" s="347"/>
      <c r="U86" s="347"/>
      <c r="V86" s="347"/>
      <c r="W86" s="347"/>
      <c r="X86" s="361"/>
      <c r="Y86" s="305"/>
      <c r="Z86" s="305"/>
      <c r="AA86" s="305"/>
      <c r="AB86" s="362"/>
      <c r="AC86" s="353"/>
      <c r="AD86" s="353"/>
      <c r="AE86" s="353"/>
      <c r="AF86" s="353"/>
      <c r="AG86" s="353"/>
      <c r="AH86" s="363" t="s">
        <v>479</v>
      </c>
      <c r="AI86" s="350"/>
      <c r="AJ86" s="364"/>
      <c r="AK86" s="353"/>
      <c r="AL86" s="353"/>
      <c r="AM86" s="353"/>
      <c r="AN86" s="353"/>
      <c r="AO86" s="365"/>
    </row>
    <row r="87" spans="3:41" ht="12.75" customHeight="1" x14ac:dyDescent="0.25">
      <c r="C87" s="356"/>
      <c r="D87" s="351"/>
      <c r="E87" s="351"/>
      <c r="F87" s="351"/>
      <c r="G87" s="351"/>
      <c r="H87" s="355"/>
      <c r="I87" s="355"/>
      <c r="J87" s="355"/>
      <c r="K87" s="355"/>
      <c r="L87" s="353"/>
      <c r="M87" s="353"/>
      <c r="N87" s="305"/>
      <c r="O87" s="305"/>
      <c r="P87" s="305"/>
      <c r="Q87" s="305"/>
      <c r="R87" s="305"/>
      <c r="S87" s="184"/>
      <c r="T87" s="184"/>
      <c r="U87" s="184"/>
      <c r="V87" s="305"/>
      <c r="W87" s="305"/>
      <c r="X87" s="305"/>
      <c r="Y87" s="305"/>
      <c r="Z87" s="305"/>
      <c r="AA87" s="305"/>
      <c r="AB87" s="362"/>
      <c r="AC87" s="353"/>
      <c r="AD87" s="353"/>
      <c r="AE87" s="353"/>
      <c r="AF87" s="353"/>
      <c r="AG87" s="353"/>
      <c r="AH87" s="364"/>
      <c r="AI87" s="364"/>
      <c r="AJ87" s="364"/>
      <c r="AK87" s="353"/>
      <c r="AL87" s="353"/>
      <c r="AM87" s="353"/>
      <c r="AN87" s="353"/>
      <c r="AO87" s="365"/>
    </row>
    <row r="88" spans="3:41" ht="12.75" customHeight="1" x14ac:dyDescent="0.25">
      <c r="C88" s="351"/>
      <c r="D88" s="351"/>
      <c r="E88" s="351"/>
      <c r="F88" s="351"/>
      <c r="G88" s="351"/>
      <c r="H88" s="351"/>
      <c r="I88" s="351"/>
      <c r="J88" s="351"/>
      <c r="K88" s="351"/>
      <c r="L88" s="353"/>
      <c r="M88" s="353"/>
      <c r="N88" s="305"/>
      <c r="O88" s="305"/>
      <c r="P88" s="305"/>
      <c r="Q88" s="305"/>
      <c r="R88" s="305"/>
      <c r="S88" s="184"/>
      <c r="T88" s="184"/>
      <c r="U88" s="184"/>
      <c r="V88" s="305"/>
      <c r="W88" s="305"/>
      <c r="X88" s="305"/>
      <c r="Y88" s="305"/>
      <c r="Z88" s="305"/>
      <c r="AA88" s="305"/>
      <c r="AB88" s="362"/>
      <c r="AC88" s="353"/>
      <c r="AD88" s="353"/>
      <c r="AE88" s="353"/>
      <c r="AF88" s="353"/>
      <c r="AG88" s="353"/>
      <c r="AH88" s="364"/>
      <c r="AI88" s="364"/>
      <c r="AJ88" s="364"/>
      <c r="AK88" s="353"/>
      <c r="AL88" s="353"/>
      <c r="AM88" s="353"/>
      <c r="AN88" s="353"/>
      <c r="AO88" s="365"/>
    </row>
    <row r="89" spans="3:41" ht="12.75" customHeight="1" x14ac:dyDescent="0.25">
      <c r="C89" s="355"/>
      <c r="D89" s="355"/>
      <c r="E89" s="355"/>
      <c r="F89" s="355"/>
      <c r="G89" s="355"/>
      <c r="H89" s="355"/>
      <c r="I89" s="355"/>
      <c r="J89" s="355"/>
      <c r="K89" s="355"/>
      <c r="L89" s="353"/>
      <c r="M89" s="353"/>
      <c r="N89" s="305"/>
      <c r="O89" s="305"/>
      <c r="P89" s="305"/>
      <c r="Q89" s="305"/>
      <c r="R89" s="366"/>
      <c r="S89" s="367" t="s">
        <v>118</v>
      </c>
      <c r="T89" s="368"/>
      <c r="U89" s="368"/>
      <c r="V89" s="369" t="s">
        <v>213</v>
      </c>
      <c r="W89" s="305"/>
      <c r="X89" s="305"/>
      <c r="Y89" s="305"/>
      <c r="Z89" s="305"/>
      <c r="AA89" s="305"/>
      <c r="AB89" s="362"/>
      <c r="AC89" s="353"/>
      <c r="AD89" s="353"/>
      <c r="AE89" s="353"/>
      <c r="AF89" s="353"/>
      <c r="AG89" s="353"/>
      <c r="AH89" s="370" t="s">
        <v>118</v>
      </c>
      <c r="AI89" s="364"/>
      <c r="AJ89" s="364"/>
      <c r="AK89" s="371" t="s">
        <v>212</v>
      </c>
      <c r="AL89" s="353"/>
      <c r="AM89" s="353"/>
      <c r="AN89" s="353"/>
      <c r="AO89" s="365"/>
    </row>
    <row r="90" spans="3:41" ht="12.75" customHeight="1" x14ac:dyDescent="0.25">
      <c r="C90" s="355"/>
      <c r="D90" s="355"/>
      <c r="E90" s="355"/>
      <c r="F90" s="355"/>
      <c r="G90" s="355"/>
      <c r="H90" s="355"/>
      <c r="I90" s="355"/>
      <c r="J90" s="355"/>
      <c r="K90" s="355"/>
      <c r="L90" s="353"/>
      <c r="M90" s="353"/>
      <c r="N90" s="305"/>
      <c r="O90" s="372"/>
      <c r="P90" s="373" t="s">
        <v>119</v>
      </c>
      <c r="Q90" s="305"/>
      <c r="R90" s="372"/>
      <c r="S90" s="374"/>
      <c r="T90" s="184"/>
      <c r="U90" s="372"/>
      <c r="V90" s="372"/>
      <c r="W90" s="305"/>
      <c r="X90" s="305"/>
      <c r="Y90" s="305"/>
      <c r="Z90" s="305"/>
      <c r="AA90" s="305"/>
      <c r="AB90" s="362"/>
      <c r="AC90" s="353"/>
      <c r="AD90" s="375"/>
      <c r="AE90" s="376" t="s">
        <v>119</v>
      </c>
      <c r="AF90" s="353"/>
      <c r="AG90" s="375"/>
      <c r="AH90" s="377"/>
      <c r="AI90" s="364"/>
      <c r="AJ90" s="375"/>
      <c r="AK90" s="375"/>
      <c r="AL90" s="353"/>
      <c r="AM90" s="353"/>
      <c r="AN90" s="353"/>
      <c r="AO90" s="365"/>
    </row>
    <row r="91" spans="3:41" ht="12.75" customHeight="1" x14ac:dyDescent="0.25">
      <c r="C91" s="355"/>
      <c r="D91" s="355"/>
      <c r="E91" s="355"/>
      <c r="F91" s="355"/>
      <c r="G91" s="355"/>
      <c r="H91" s="355"/>
      <c r="I91" s="355"/>
      <c r="J91" s="355"/>
      <c r="K91" s="355"/>
      <c r="L91" s="353"/>
      <c r="M91" s="353"/>
      <c r="N91" s="305"/>
      <c r="O91" s="378"/>
      <c r="P91" s="184" t="s">
        <v>121</v>
      </c>
      <c r="Q91" s="305"/>
      <c r="R91" s="305"/>
      <c r="S91" s="374"/>
      <c r="T91" s="372"/>
      <c r="U91" s="305"/>
      <c r="V91" s="305"/>
      <c r="W91" s="305"/>
      <c r="X91" s="305"/>
      <c r="Y91" s="305"/>
      <c r="Z91" s="305"/>
      <c r="AA91" s="184"/>
      <c r="AB91" s="362"/>
      <c r="AC91" s="353"/>
      <c r="AD91" s="379"/>
      <c r="AE91" s="364" t="s">
        <v>121</v>
      </c>
      <c r="AF91" s="353"/>
      <c r="AG91" s="353"/>
      <c r="AH91" s="377"/>
      <c r="AI91" s="375"/>
      <c r="AJ91" s="353"/>
      <c r="AK91" s="353"/>
      <c r="AL91" s="353"/>
      <c r="AM91" s="353"/>
      <c r="AN91" s="353"/>
      <c r="AO91" s="365"/>
    </row>
    <row r="92" spans="3:41" ht="12.75" customHeight="1" x14ac:dyDescent="0.25">
      <c r="C92" s="355"/>
      <c r="D92" s="380"/>
      <c r="E92" s="355"/>
      <c r="F92" s="380"/>
      <c r="G92" s="380"/>
      <c r="H92" s="380"/>
      <c r="I92" s="355"/>
      <c r="J92" s="355"/>
      <c r="K92" s="381"/>
      <c r="L92" s="382"/>
      <c r="M92" s="353"/>
      <c r="N92" s="305"/>
      <c r="O92" s="378"/>
      <c r="P92" s="378"/>
      <c r="Q92" s="305"/>
      <c r="R92" s="305"/>
      <c r="S92" s="325">
        <f>'Traffic &amp; Accidents'!F13</f>
        <v>0</v>
      </c>
      <c r="T92" s="305" t="s">
        <v>122</v>
      </c>
      <c r="U92" s="305"/>
      <c r="V92" s="305"/>
      <c r="W92" s="305"/>
      <c r="X92" s="305"/>
      <c r="Y92" s="305"/>
      <c r="Z92" s="305"/>
      <c r="AA92" s="184"/>
      <c r="AB92" s="362"/>
      <c r="AC92" s="353"/>
      <c r="AD92" s="379"/>
      <c r="AE92" s="379"/>
      <c r="AF92" s="353"/>
      <c r="AG92" s="353"/>
      <c r="AH92" s="383">
        <f>Geometry!L49</f>
        <v>0</v>
      </c>
      <c r="AI92" s="353" t="s">
        <v>122</v>
      </c>
      <c r="AJ92" s="353"/>
      <c r="AK92" s="353"/>
      <c r="AL92" s="353"/>
      <c r="AM92" s="353"/>
      <c r="AN92" s="353"/>
      <c r="AO92" s="365"/>
    </row>
    <row r="93" spans="3:41" ht="12.75" customHeight="1" x14ac:dyDescent="0.25">
      <c r="C93" s="355"/>
      <c r="D93" s="355"/>
      <c r="E93" s="355"/>
      <c r="F93" s="355"/>
      <c r="G93" s="355"/>
      <c r="H93" s="355"/>
      <c r="I93" s="355"/>
      <c r="J93" s="355"/>
      <c r="K93" s="355"/>
      <c r="L93" s="353"/>
      <c r="M93" s="353"/>
      <c r="N93" s="322"/>
      <c r="O93" s="343" t="s">
        <v>123</v>
      </c>
      <c r="P93" s="343" t="s">
        <v>124</v>
      </c>
      <c r="Q93" s="343" t="s">
        <v>125</v>
      </c>
      <c r="R93" s="322"/>
      <c r="S93" s="322"/>
      <c r="T93" s="322"/>
      <c r="U93" s="322"/>
      <c r="V93" s="323"/>
      <c r="W93" s="305"/>
      <c r="X93" s="305"/>
      <c r="Y93" s="305"/>
      <c r="Z93" s="305"/>
      <c r="AA93" s="305"/>
      <c r="AB93" s="362"/>
      <c r="AC93" s="384"/>
      <c r="AD93" s="355" t="s">
        <v>123</v>
      </c>
      <c r="AE93" s="355" t="s">
        <v>124</v>
      </c>
      <c r="AF93" s="355" t="s">
        <v>125</v>
      </c>
      <c r="AG93" s="384"/>
      <c r="AH93" s="384"/>
      <c r="AI93" s="384"/>
      <c r="AJ93" s="384"/>
      <c r="AK93" s="385"/>
      <c r="AL93" s="353"/>
      <c r="AM93" s="353"/>
      <c r="AN93" s="353"/>
      <c r="AO93" s="365"/>
    </row>
    <row r="94" spans="3:41" ht="12.75" customHeight="1" x14ac:dyDescent="0.25">
      <c r="C94" s="355"/>
      <c r="D94" s="355"/>
      <c r="E94" s="355"/>
      <c r="F94" s="355"/>
      <c r="G94" s="355"/>
      <c r="H94" s="355"/>
      <c r="I94" s="355"/>
      <c r="J94" s="355"/>
      <c r="K94" s="355"/>
      <c r="L94" s="353"/>
      <c r="M94" s="353"/>
      <c r="N94" s="305"/>
      <c r="O94" s="305" t="s">
        <v>126</v>
      </c>
      <c r="P94" s="184" t="s">
        <v>127</v>
      </c>
      <c r="Q94" s="305" t="s">
        <v>126</v>
      </c>
      <c r="R94" s="305"/>
      <c r="S94" s="305"/>
      <c r="T94" s="305"/>
      <c r="U94" s="305"/>
      <c r="V94" s="386"/>
      <c r="W94" s="305"/>
      <c r="X94" s="305"/>
      <c r="Y94" s="305"/>
      <c r="Z94" s="305"/>
      <c r="AA94" s="305"/>
      <c r="AB94" s="362"/>
      <c r="AC94" s="353"/>
      <c r="AD94" s="353" t="s">
        <v>206</v>
      </c>
      <c r="AE94" s="364" t="s">
        <v>127</v>
      </c>
      <c r="AF94" s="353" t="s">
        <v>206</v>
      </c>
      <c r="AG94" s="353"/>
      <c r="AH94" s="353"/>
      <c r="AI94" s="353"/>
      <c r="AJ94" s="353"/>
      <c r="AK94" s="387"/>
      <c r="AL94" s="353"/>
      <c r="AM94" s="353"/>
      <c r="AN94" s="353"/>
      <c r="AO94" s="365"/>
    </row>
    <row r="95" spans="3:41" ht="12.75" customHeight="1" x14ac:dyDescent="0.25">
      <c r="C95" s="355"/>
      <c r="D95" s="355"/>
      <c r="E95" s="355"/>
      <c r="F95" s="355"/>
      <c r="G95" s="355"/>
      <c r="H95" s="355"/>
      <c r="I95" s="355"/>
      <c r="J95" s="355"/>
      <c r="K95" s="355"/>
      <c r="L95" s="353"/>
      <c r="M95" s="353"/>
      <c r="N95" s="388" t="s">
        <v>128</v>
      </c>
      <c r="O95" s="389" t="s">
        <v>129</v>
      </c>
      <c r="P95" s="322" t="s">
        <v>130</v>
      </c>
      <c r="Q95" s="389" t="s">
        <v>131</v>
      </c>
      <c r="R95" s="322"/>
      <c r="S95" s="322"/>
      <c r="T95" s="322"/>
      <c r="U95" s="322"/>
      <c r="V95" s="389"/>
      <c r="W95" s="388" t="s">
        <v>132</v>
      </c>
      <c r="X95" s="305"/>
      <c r="Y95" s="305"/>
      <c r="Z95" s="305"/>
      <c r="AA95" s="305"/>
      <c r="AB95" s="362"/>
      <c r="AC95" s="390" t="s">
        <v>128</v>
      </c>
      <c r="AD95" s="391" t="s">
        <v>207</v>
      </c>
      <c r="AE95" s="384" t="s">
        <v>130</v>
      </c>
      <c r="AF95" s="391" t="s">
        <v>210</v>
      </c>
      <c r="AG95" s="384"/>
      <c r="AH95" s="384"/>
      <c r="AI95" s="384"/>
      <c r="AJ95" s="384"/>
      <c r="AK95" s="391"/>
      <c r="AL95" s="390" t="s">
        <v>209</v>
      </c>
      <c r="AM95" s="353"/>
      <c r="AN95" s="353"/>
      <c r="AO95" s="365"/>
    </row>
    <row r="96" spans="3:41" ht="12.75" customHeight="1" x14ac:dyDescent="0.25">
      <c r="C96" s="351"/>
      <c r="D96" s="351"/>
      <c r="E96" s="351"/>
      <c r="F96" s="351"/>
      <c r="G96" s="351"/>
      <c r="H96" s="351"/>
      <c r="I96" s="355"/>
      <c r="J96" s="355"/>
      <c r="K96" s="355"/>
      <c r="L96" s="353"/>
      <c r="M96" s="353"/>
      <c r="N96" s="184">
        <v>1</v>
      </c>
      <c r="O96" s="325">
        <f>Geometry!M14</f>
        <v>0</v>
      </c>
      <c r="P96" s="325">
        <f>Geometry!L14</f>
        <v>0</v>
      </c>
      <c r="Q96" s="326" t="str">
        <f>IF(P96=4,N117,R96)</f>
        <v/>
      </c>
      <c r="R96" s="184" t="str">
        <f>IF(P96=6,O117,S96)</f>
        <v/>
      </c>
      <c r="S96" s="184" t="str">
        <f>IF(P96=8,P117,T96)</f>
        <v/>
      </c>
      <c r="T96" s="184" t="str">
        <f>IF(P96=10,Q117,U96)</f>
        <v/>
      </c>
      <c r="U96" s="184" t="str">
        <f>IF(P96=12,R117,"")</f>
        <v/>
      </c>
      <c r="V96" s="184"/>
      <c r="W96" s="184">
        <f t="shared" ref="W96:W109" si="15">IF(AND(O96&lt;&gt;"",O96&gt;Q96),O96-Q96,0)</f>
        <v>0</v>
      </c>
      <c r="X96" s="305"/>
      <c r="Y96" s="184"/>
      <c r="Z96" s="184"/>
      <c r="AA96" s="305"/>
      <c r="AB96" s="362"/>
      <c r="AC96" s="364">
        <v>1</v>
      </c>
      <c r="AD96" s="392"/>
      <c r="AE96" s="392"/>
      <c r="AF96" s="393">
        <f>IF(AE96=4,AC113,AG96)</f>
        <v>0</v>
      </c>
      <c r="AG96" s="394">
        <f>IF(AE96=6,AD113,AH96)</f>
        <v>0</v>
      </c>
      <c r="AH96" s="394">
        <f>IF(AE96=8,AE113,AI96)</f>
        <v>0</v>
      </c>
      <c r="AI96" s="394">
        <f>IF(AE96=10,AF113,AJ96)</f>
        <v>0</v>
      </c>
      <c r="AJ96" s="394">
        <f>IF(AE96=12,AG113,0)</f>
        <v>0</v>
      </c>
      <c r="AK96" s="394"/>
      <c r="AL96" s="364">
        <f t="shared" ref="AL96:AL105" si="16">IF(AND(AD96&lt;&gt;"",AD96&lt;AF96),AF96-AD96,0)</f>
        <v>0</v>
      </c>
      <c r="AM96" s="353"/>
      <c r="AN96" s="364"/>
      <c r="AO96" s="395"/>
    </row>
    <row r="97" spans="3:41" ht="12.75" customHeight="1" x14ac:dyDescent="0.25">
      <c r="C97" s="351"/>
      <c r="D97" s="351"/>
      <c r="E97" s="351"/>
      <c r="F97" s="351"/>
      <c r="G97" s="351"/>
      <c r="H97" s="351"/>
      <c r="I97" s="355"/>
      <c r="J97" s="355"/>
      <c r="K97" s="355"/>
      <c r="L97" s="353"/>
      <c r="M97" s="353"/>
      <c r="N97" s="184">
        <v>2</v>
      </c>
      <c r="O97" s="325">
        <f>Geometry!M15</f>
        <v>0</v>
      </c>
      <c r="P97" s="325">
        <f>Geometry!L15</f>
        <v>0</v>
      </c>
      <c r="Q97" s="326" t="str">
        <f>IF(P97=4,N117,R97)</f>
        <v/>
      </c>
      <c r="R97" s="184" t="str">
        <f>IF(P97=6,O117,S97)</f>
        <v/>
      </c>
      <c r="S97" s="184" t="str">
        <f>IF(P97=8,P117,T97)</f>
        <v/>
      </c>
      <c r="T97" s="184" t="str">
        <f>IF(P97=10,Q117,U97)</f>
        <v/>
      </c>
      <c r="U97" s="184" t="str">
        <f>IF(P97=12,R117,"")</f>
        <v/>
      </c>
      <c r="V97" s="184"/>
      <c r="W97" s="184">
        <f t="shared" si="15"/>
        <v>0</v>
      </c>
      <c r="X97" s="305"/>
      <c r="Y97" s="184"/>
      <c r="Z97" s="184"/>
      <c r="AA97" s="305"/>
      <c r="AB97" s="362"/>
      <c r="AC97" s="364">
        <v>2</v>
      </c>
      <c r="AD97" s="392"/>
      <c r="AE97" s="392"/>
      <c r="AF97" s="396">
        <f>IF(AE97=4,AC113,AG97)</f>
        <v>0</v>
      </c>
      <c r="AG97" s="394">
        <f>IF(AE97=6,AD113,AH97)</f>
        <v>0</v>
      </c>
      <c r="AH97" s="394">
        <f>IF(AE97=8,AE113,AI97)</f>
        <v>0</v>
      </c>
      <c r="AI97" s="394">
        <f>IF(AE97=10,AF113,AJ97)</f>
        <v>0</v>
      </c>
      <c r="AJ97" s="394">
        <f>IF(AE97=12,AG113,0)</f>
        <v>0</v>
      </c>
      <c r="AK97" s="394"/>
      <c r="AL97" s="364">
        <f t="shared" si="16"/>
        <v>0</v>
      </c>
      <c r="AM97" s="353"/>
      <c r="AN97" s="364"/>
      <c r="AO97" s="395"/>
    </row>
    <row r="98" spans="3:41" ht="12.75" customHeight="1" x14ac:dyDescent="0.25">
      <c r="C98" s="351"/>
      <c r="D98" s="351"/>
      <c r="E98" s="351"/>
      <c r="F98" s="351"/>
      <c r="G98" s="351"/>
      <c r="H98" s="351"/>
      <c r="I98" s="355"/>
      <c r="J98" s="355"/>
      <c r="K98" s="355"/>
      <c r="L98" s="353"/>
      <c r="M98" s="353"/>
      <c r="N98" s="184">
        <v>3</v>
      </c>
      <c r="O98" s="325">
        <f>Geometry!M16</f>
        <v>0</v>
      </c>
      <c r="P98" s="325">
        <f>Geometry!L16</f>
        <v>0</v>
      </c>
      <c r="Q98" s="326" t="str">
        <f>IF(P98=4,N117,R98)</f>
        <v/>
      </c>
      <c r="R98" s="184" t="str">
        <f>IF(P98=6,O117,S98)</f>
        <v/>
      </c>
      <c r="S98" s="184" t="str">
        <f>IF(P98=8,P117,T98)</f>
        <v/>
      </c>
      <c r="T98" s="184" t="str">
        <f>IF(P98=10,Q117,U98)</f>
        <v/>
      </c>
      <c r="U98" s="184" t="str">
        <f>IF(P98=12,R117,"")</f>
        <v/>
      </c>
      <c r="V98" s="184"/>
      <c r="W98" s="184">
        <f t="shared" si="15"/>
        <v>0</v>
      </c>
      <c r="X98" s="305"/>
      <c r="Y98" s="184"/>
      <c r="Z98" s="184"/>
      <c r="AA98" s="305"/>
      <c r="AB98" s="362"/>
      <c r="AC98" s="364">
        <v>3</v>
      </c>
      <c r="AD98" s="392"/>
      <c r="AE98" s="392"/>
      <c r="AF98" s="396">
        <f>IF(AE98=4,AC113,AG98)</f>
        <v>0</v>
      </c>
      <c r="AG98" s="394">
        <f>IF(AE98=6,AD113,AH98)</f>
        <v>0</v>
      </c>
      <c r="AH98" s="394">
        <f>IF(AE98=8,AE113,AI98)</f>
        <v>0</v>
      </c>
      <c r="AI98" s="394">
        <f>IF(AE98=10,AF113,AJ98)</f>
        <v>0</v>
      </c>
      <c r="AJ98" s="394">
        <f>IF(AE98=12,AG113,0)</f>
        <v>0</v>
      </c>
      <c r="AK98" s="394"/>
      <c r="AL98" s="364">
        <f t="shared" si="16"/>
        <v>0</v>
      </c>
      <c r="AM98" s="353"/>
      <c r="AN98" s="364"/>
      <c r="AO98" s="395"/>
    </row>
    <row r="99" spans="3:41" ht="12.75" customHeight="1" x14ac:dyDescent="0.25">
      <c r="C99" s="351"/>
      <c r="D99" s="397"/>
      <c r="E99" s="351"/>
      <c r="F99" s="351"/>
      <c r="G99" s="351"/>
      <c r="H99" s="351"/>
      <c r="I99" s="351"/>
      <c r="J99" s="355"/>
      <c r="K99" s="355"/>
      <c r="L99" s="353"/>
      <c r="M99" s="353"/>
      <c r="N99" s="184">
        <v>4</v>
      </c>
      <c r="O99" s="325">
        <f>Geometry!M17</f>
        <v>0</v>
      </c>
      <c r="P99" s="325">
        <f>Geometry!L17</f>
        <v>0</v>
      </c>
      <c r="Q99" s="326" t="str">
        <f>IF(P99=4,N117,R99)</f>
        <v/>
      </c>
      <c r="R99" s="184" t="str">
        <f>IF(P99=6,O117,S99)</f>
        <v/>
      </c>
      <c r="S99" s="184" t="str">
        <f>IF(P99=8,P117,T99)</f>
        <v/>
      </c>
      <c r="T99" s="184" t="str">
        <f>IF(P99=10,Q117,U99)</f>
        <v/>
      </c>
      <c r="U99" s="184" t="str">
        <f>IF(P99=12,R117,"")</f>
        <v/>
      </c>
      <c r="V99" s="184"/>
      <c r="W99" s="184">
        <f t="shared" si="15"/>
        <v>0</v>
      </c>
      <c r="X99" s="305"/>
      <c r="Y99" s="184"/>
      <c r="Z99" s="184"/>
      <c r="AA99" s="305"/>
      <c r="AB99" s="362"/>
      <c r="AC99" s="364">
        <v>4</v>
      </c>
      <c r="AD99" s="392"/>
      <c r="AE99" s="392"/>
      <c r="AF99" s="396">
        <f>IF(AE99=4,AC113,AG99)</f>
        <v>0</v>
      </c>
      <c r="AG99" s="394">
        <f>IF(AE99=6,AD113,AH99)</f>
        <v>0</v>
      </c>
      <c r="AH99" s="394">
        <f>IF(AE99=8,AE113,AI99)</f>
        <v>0</v>
      </c>
      <c r="AI99" s="394">
        <f>IF(AE99=10,AF113,AJ99)</f>
        <v>0</v>
      </c>
      <c r="AJ99" s="394">
        <f>IF(AE99=12,AG113,0)</f>
        <v>0</v>
      </c>
      <c r="AK99" s="394"/>
      <c r="AL99" s="364">
        <f t="shared" si="16"/>
        <v>0</v>
      </c>
      <c r="AM99" s="353"/>
      <c r="AN99" s="364"/>
      <c r="AO99" s="395"/>
    </row>
    <row r="100" spans="3:41" ht="12.75" customHeight="1" x14ac:dyDescent="0.25">
      <c r="C100" s="351"/>
      <c r="D100" s="397"/>
      <c r="E100" s="351"/>
      <c r="F100" s="351"/>
      <c r="G100" s="351"/>
      <c r="H100" s="351"/>
      <c r="I100" s="351"/>
      <c r="J100" s="351"/>
      <c r="K100" s="351"/>
      <c r="L100" s="352"/>
      <c r="M100" s="353"/>
      <c r="N100" s="184">
        <v>5</v>
      </c>
      <c r="O100" s="325">
        <f>Geometry!M18</f>
        <v>0</v>
      </c>
      <c r="P100" s="325">
        <f>Geometry!L18</f>
        <v>0</v>
      </c>
      <c r="Q100" s="326" t="str">
        <f>IF(P100=4,N117,R100)</f>
        <v/>
      </c>
      <c r="R100" s="184" t="str">
        <f>IF(P100=6,O117,S100)</f>
        <v/>
      </c>
      <c r="S100" s="184" t="str">
        <f>IF(P100=8,P117,T100)</f>
        <v/>
      </c>
      <c r="T100" s="184" t="str">
        <f>IF(P100=10,Q117,U100)</f>
        <v/>
      </c>
      <c r="U100" s="184" t="str">
        <f>IF(P100=12,R117,"")</f>
        <v/>
      </c>
      <c r="V100" s="184"/>
      <c r="W100" s="184">
        <f t="shared" si="15"/>
        <v>0</v>
      </c>
      <c r="X100" s="305"/>
      <c r="Y100" s="184"/>
      <c r="Z100" s="184"/>
      <c r="AA100" s="305"/>
      <c r="AB100" s="362"/>
      <c r="AC100" s="364">
        <v>5</v>
      </c>
      <c r="AD100" s="392"/>
      <c r="AE100" s="392"/>
      <c r="AF100" s="396">
        <f>IF(AE100=4,AC113,AG100)</f>
        <v>0</v>
      </c>
      <c r="AG100" s="394">
        <f>IF(AE100=6,AD113,AH100)</f>
        <v>0</v>
      </c>
      <c r="AH100" s="394">
        <f>IF(AE100=8,AE113,AI100)</f>
        <v>0</v>
      </c>
      <c r="AI100" s="394">
        <f>IF(AE100=10,AF113,AJ100)</f>
        <v>0</v>
      </c>
      <c r="AJ100" s="394">
        <f>IF(AE100=12,AG113,0)</f>
        <v>0</v>
      </c>
      <c r="AK100" s="394"/>
      <c r="AL100" s="364">
        <f t="shared" si="16"/>
        <v>0</v>
      </c>
      <c r="AM100" s="353"/>
      <c r="AN100" s="364"/>
      <c r="AO100" s="395"/>
    </row>
    <row r="101" spans="3:41" ht="12.75" customHeight="1" x14ac:dyDescent="0.25">
      <c r="C101" s="351"/>
      <c r="D101" s="397"/>
      <c r="E101" s="351"/>
      <c r="F101" s="351"/>
      <c r="G101" s="351"/>
      <c r="H101" s="351"/>
      <c r="I101" s="351"/>
      <c r="J101" s="351"/>
      <c r="K101" s="351"/>
      <c r="L101" s="353"/>
      <c r="M101" s="353"/>
      <c r="N101" s="184">
        <v>6</v>
      </c>
      <c r="O101" s="325">
        <f>Geometry!M19</f>
        <v>0</v>
      </c>
      <c r="P101" s="325">
        <f>Geometry!L19</f>
        <v>0</v>
      </c>
      <c r="Q101" s="326" t="str">
        <f>IF(P101=4,N117,R101)</f>
        <v/>
      </c>
      <c r="R101" s="184" t="str">
        <f>IF(P101=6,O117,S101)</f>
        <v/>
      </c>
      <c r="S101" s="184" t="str">
        <f>IF(P101=8,P117,T101)</f>
        <v/>
      </c>
      <c r="T101" s="184" t="str">
        <f>IF(P101=10,Q117,U101)</f>
        <v/>
      </c>
      <c r="U101" s="184" t="str">
        <f>IF(P101=12,R117,"")</f>
        <v/>
      </c>
      <c r="V101" s="184"/>
      <c r="W101" s="184">
        <f t="shared" si="15"/>
        <v>0</v>
      </c>
      <c r="X101" s="305"/>
      <c r="Y101" s="184"/>
      <c r="Z101" s="184"/>
      <c r="AA101" s="305"/>
      <c r="AB101" s="362"/>
      <c r="AC101" s="364">
        <v>6</v>
      </c>
      <c r="AD101" s="392"/>
      <c r="AE101" s="392"/>
      <c r="AF101" s="396">
        <f>IF(AE101=4,AC113,AG101)</f>
        <v>0</v>
      </c>
      <c r="AG101" s="394">
        <f>IF(AE101=6,AD113,AH101)</f>
        <v>0</v>
      </c>
      <c r="AH101" s="394">
        <f>IF(AE101=8,AE113,AI101)</f>
        <v>0</v>
      </c>
      <c r="AI101" s="394">
        <f>IF(AE101=10,AF113,AJ101)</f>
        <v>0</v>
      </c>
      <c r="AJ101" s="394">
        <f>IF(AE101=12,AG113,0)</f>
        <v>0</v>
      </c>
      <c r="AK101" s="394"/>
      <c r="AL101" s="364">
        <f t="shared" si="16"/>
        <v>0</v>
      </c>
      <c r="AM101" s="353"/>
      <c r="AN101" s="364"/>
      <c r="AO101" s="395"/>
    </row>
    <row r="102" spans="3:41" ht="12.75" customHeight="1" x14ac:dyDescent="0.25">
      <c r="C102" s="351"/>
      <c r="D102" s="397"/>
      <c r="E102" s="351"/>
      <c r="F102" s="351"/>
      <c r="G102" s="351"/>
      <c r="H102" s="351"/>
      <c r="I102" s="351"/>
      <c r="J102" s="351"/>
      <c r="K102" s="351"/>
      <c r="L102" s="352"/>
      <c r="M102" s="353"/>
      <c r="N102" s="184">
        <v>7</v>
      </c>
      <c r="O102" s="325">
        <f>Geometry!M20</f>
        <v>0</v>
      </c>
      <c r="P102" s="325">
        <f>Geometry!L20</f>
        <v>0</v>
      </c>
      <c r="Q102" s="326" t="str">
        <f>IF(P102=4,N117,R102)</f>
        <v/>
      </c>
      <c r="R102" s="184" t="str">
        <f>IF(P102=6,O117,S102)</f>
        <v/>
      </c>
      <c r="S102" s="184" t="str">
        <f>IF(P102=8,P117,T102)</f>
        <v/>
      </c>
      <c r="T102" s="184" t="str">
        <f>IF(P102=10,Q117,U102)</f>
        <v/>
      </c>
      <c r="U102" s="184" t="str">
        <f>IF(P102=12,R117,"")</f>
        <v/>
      </c>
      <c r="V102" s="184"/>
      <c r="W102" s="184">
        <f t="shared" si="15"/>
        <v>0</v>
      </c>
      <c r="X102" s="305"/>
      <c r="Y102" s="184"/>
      <c r="Z102" s="184"/>
      <c r="AA102" s="184"/>
      <c r="AB102" s="362"/>
      <c r="AC102" s="364">
        <v>7</v>
      </c>
      <c r="AD102" s="392"/>
      <c r="AE102" s="392"/>
      <c r="AF102" s="396">
        <f>IF(AE102=4,AC113,AG102)</f>
        <v>0</v>
      </c>
      <c r="AG102" s="394">
        <f>IF(AE102=6,AD113,AH102)</f>
        <v>0</v>
      </c>
      <c r="AH102" s="394">
        <f>IF(AE102=8,AE113,AI102)</f>
        <v>0</v>
      </c>
      <c r="AI102" s="394">
        <f>IF(AE102=10,AF113,AJ102)</f>
        <v>0</v>
      </c>
      <c r="AJ102" s="394">
        <f>IF(AE102=12,AG113,0)</f>
        <v>0</v>
      </c>
      <c r="AK102" s="394"/>
      <c r="AL102" s="364">
        <f t="shared" si="16"/>
        <v>0</v>
      </c>
      <c r="AM102" s="353"/>
      <c r="AN102" s="364"/>
      <c r="AO102" s="395"/>
    </row>
    <row r="103" spans="3:41" ht="12.75" customHeight="1" x14ac:dyDescent="0.25">
      <c r="C103" s="351"/>
      <c r="D103" s="397"/>
      <c r="E103" s="351"/>
      <c r="F103" s="351"/>
      <c r="G103" s="351"/>
      <c r="H103" s="351"/>
      <c r="I103" s="351"/>
      <c r="J103" s="351"/>
      <c r="K103" s="351"/>
      <c r="L103" s="353"/>
      <c r="M103" s="353"/>
      <c r="N103" s="184">
        <v>8</v>
      </c>
      <c r="O103" s="325">
        <f>Geometry!M21</f>
        <v>0</v>
      </c>
      <c r="P103" s="325">
        <f>Geometry!L21</f>
        <v>0</v>
      </c>
      <c r="Q103" s="326" t="str">
        <f>IF(P103=4,N117,R103)</f>
        <v/>
      </c>
      <c r="R103" s="184" t="str">
        <f>IF(P103=6,O117,S103)</f>
        <v/>
      </c>
      <c r="S103" s="184" t="str">
        <f>IF(P103=8,P117,T103)</f>
        <v/>
      </c>
      <c r="T103" s="184" t="str">
        <f>IF(P103=10,Q117,U103)</f>
        <v/>
      </c>
      <c r="U103" s="184" t="str">
        <f>IF(P103=12,R117,"")</f>
        <v/>
      </c>
      <c r="V103" s="184"/>
      <c r="W103" s="184">
        <f t="shared" si="15"/>
        <v>0</v>
      </c>
      <c r="X103" s="305"/>
      <c r="Y103" s="184"/>
      <c r="Z103" s="184"/>
      <c r="AA103" s="184"/>
      <c r="AB103" s="398"/>
      <c r="AC103" s="364">
        <v>8</v>
      </c>
      <c r="AD103" s="392"/>
      <c r="AE103" s="392"/>
      <c r="AF103" s="396">
        <f>IF(AE103=4,AC113,AG103)</f>
        <v>0</v>
      </c>
      <c r="AG103" s="394">
        <f>IF(AE103=6,AD113,AH103)</f>
        <v>0</v>
      </c>
      <c r="AH103" s="394">
        <f>IF(AE103=8,AE113,AI103)</f>
        <v>0</v>
      </c>
      <c r="AI103" s="394">
        <f>IF(AE103=10,AF113,AJ103)</f>
        <v>0</v>
      </c>
      <c r="AJ103" s="394">
        <f>IF(AE103=12,AG113,0)</f>
        <v>0</v>
      </c>
      <c r="AK103" s="394"/>
      <c r="AL103" s="364">
        <f t="shared" si="16"/>
        <v>0</v>
      </c>
      <c r="AM103" s="353"/>
      <c r="AN103" s="364"/>
      <c r="AO103" s="395"/>
    </row>
    <row r="104" spans="3:41" ht="12.75" customHeight="1" x14ac:dyDescent="0.25">
      <c r="C104" s="351"/>
      <c r="D104" s="397"/>
      <c r="E104" s="351"/>
      <c r="F104" s="351"/>
      <c r="G104" s="351"/>
      <c r="H104" s="351"/>
      <c r="I104" s="351"/>
      <c r="J104" s="351"/>
      <c r="K104" s="351"/>
      <c r="L104" s="352"/>
      <c r="M104" s="353"/>
      <c r="N104" s="184">
        <v>9</v>
      </c>
      <c r="O104" s="325">
        <f>Geometry!M22</f>
        <v>0</v>
      </c>
      <c r="P104" s="325">
        <f>Geometry!L22</f>
        <v>0</v>
      </c>
      <c r="Q104" s="326" t="str">
        <f>IF(P104=4,N117,R104)</f>
        <v/>
      </c>
      <c r="R104" s="184" t="str">
        <f>IF(P104=6,O117,S104)</f>
        <v/>
      </c>
      <c r="S104" s="184" t="str">
        <f>IF(P104=8,P117,T104)</f>
        <v/>
      </c>
      <c r="T104" s="184" t="str">
        <f>IF(P104=10,Q117,U104)</f>
        <v/>
      </c>
      <c r="U104" s="184" t="str">
        <f>IF(P104=12,R117,"")</f>
        <v/>
      </c>
      <c r="V104" s="184"/>
      <c r="W104" s="184">
        <f t="shared" si="15"/>
        <v>0</v>
      </c>
      <c r="X104" s="305"/>
      <c r="Y104" s="184"/>
      <c r="Z104" s="184"/>
      <c r="AA104" s="184"/>
      <c r="AB104" s="362"/>
      <c r="AC104" s="364">
        <v>9</v>
      </c>
      <c r="AD104" s="392"/>
      <c r="AE104" s="392"/>
      <c r="AF104" s="396">
        <f>IF(AE104=4,AC113,AG104)</f>
        <v>0</v>
      </c>
      <c r="AG104" s="394">
        <f>IF(AE104=6,AD113,AH104)</f>
        <v>0</v>
      </c>
      <c r="AH104" s="394">
        <f>IF(AE104=8,AE113,AI104)</f>
        <v>0</v>
      </c>
      <c r="AI104" s="394">
        <f>IF(AE104=10,AF113,AJ104)</f>
        <v>0</v>
      </c>
      <c r="AJ104" s="394">
        <f>IF(AE104=12,AG113,0)</f>
        <v>0</v>
      </c>
      <c r="AK104" s="394"/>
      <c r="AL104" s="364">
        <f t="shared" si="16"/>
        <v>0</v>
      </c>
      <c r="AM104" s="353"/>
      <c r="AN104" s="364"/>
      <c r="AO104" s="395"/>
    </row>
    <row r="105" spans="3:41" ht="12.75" customHeight="1" x14ac:dyDescent="0.25">
      <c r="C105" s="351"/>
      <c r="D105" s="397"/>
      <c r="E105" s="351"/>
      <c r="F105" s="351"/>
      <c r="G105" s="351"/>
      <c r="H105" s="351"/>
      <c r="I105" s="351"/>
      <c r="J105" s="351"/>
      <c r="K105" s="351"/>
      <c r="L105" s="352"/>
      <c r="M105" s="353"/>
      <c r="N105" s="184">
        <v>10</v>
      </c>
      <c r="O105" s="325">
        <f>Geometry!M23</f>
        <v>0</v>
      </c>
      <c r="P105" s="325">
        <f>Geometry!L23</f>
        <v>0</v>
      </c>
      <c r="Q105" s="326" t="str">
        <f>IF(P105=4,N117,R105)</f>
        <v/>
      </c>
      <c r="R105" s="184" t="str">
        <f>IF(P105=6,O117,S105)</f>
        <v/>
      </c>
      <c r="S105" s="184" t="str">
        <f>IF(P105=8,P117,T105)</f>
        <v/>
      </c>
      <c r="T105" s="184" t="str">
        <f>IF(P105=10,Q117,U105)</f>
        <v/>
      </c>
      <c r="U105" s="184" t="str">
        <f>IF(P105=12,R117,"")</f>
        <v/>
      </c>
      <c r="V105" s="184"/>
      <c r="W105" s="184">
        <f t="shared" si="15"/>
        <v>0</v>
      </c>
      <c r="X105" s="305"/>
      <c r="Y105" s="184"/>
      <c r="Z105" s="184"/>
      <c r="AA105" s="305"/>
      <c r="AB105" s="362"/>
      <c r="AC105" s="364">
        <v>10</v>
      </c>
      <c r="AD105" s="392"/>
      <c r="AE105" s="392"/>
      <c r="AF105" s="396">
        <f>IF(AE105=4,AC113,AG105)</f>
        <v>0</v>
      </c>
      <c r="AG105" s="394">
        <f>IF(AE105=6,AD113,AH105)</f>
        <v>0</v>
      </c>
      <c r="AH105" s="394">
        <f>IF(AE105=8,AE113,AI105)</f>
        <v>0</v>
      </c>
      <c r="AI105" s="394">
        <f>IF(AE105=10,AF113,AJ105)</f>
        <v>0</v>
      </c>
      <c r="AJ105" s="394">
        <f>IF(AE105=12,AG113,0)</f>
        <v>0</v>
      </c>
      <c r="AK105" s="394"/>
      <c r="AL105" s="364">
        <f t="shared" si="16"/>
        <v>0</v>
      </c>
      <c r="AM105" s="353"/>
      <c r="AN105" s="364"/>
      <c r="AO105" s="395"/>
    </row>
    <row r="106" spans="3:41" ht="12.75" customHeight="1" x14ac:dyDescent="0.25">
      <c r="C106" s="356"/>
      <c r="D106" s="397"/>
      <c r="E106" s="351"/>
      <c r="F106" s="351"/>
      <c r="G106" s="351"/>
      <c r="H106" s="351"/>
      <c r="I106" s="351"/>
      <c r="J106" s="351"/>
      <c r="K106" s="351"/>
      <c r="L106" s="352"/>
      <c r="M106" s="353"/>
      <c r="N106" s="184">
        <v>11</v>
      </c>
      <c r="O106" s="325">
        <f>Geometry!M24</f>
        <v>0</v>
      </c>
      <c r="P106" s="325">
        <f>Geometry!L24</f>
        <v>0</v>
      </c>
      <c r="Q106" s="326" t="str">
        <f>IF(P106=4,N117,R106)</f>
        <v/>
      </c>
      <c r="R106" s="184" t="str">
        <f>IF(P106=6,O117,S106)</f>
        <v/>
      </c>
      <c r="S106" s="184" t="str">
        <f>IF(P106=8,P117,T106)</f>
        <v/>
      </c>
      <c r="T106" s="184" t="str">
        <f>IF(P106=10,Q117,U106)</f>
        <v/>
      </c>
      <c r="U106" s="184" t="str">
        <f>IF(P106=12,R117,"")</f>
        <v/>
      </c>
      <c r="V106" s="184"/>
      <c r="W106" s="184">
        <f t="shared" si="15"/>
        <v>0</v>
      </c>
      <c r="X106" s="305"/>
      <c r="Y106" s="184"/>
      <c r="Z106" s="184"/>
      <c r="AA106" s="305"/>
      <c r="AB106" s="362"/>
      <c r="AC106" s="353"/>
      <c r="AD106" s="588" t="s">
        <v>480</v>
      </c>
      <c r="AE106" s="588"/>
      <c r="AF106" s="588"/>
      <c r="AG106" s="353"/>
      <c r="AH106" s="353"/>
      <c r="AI106" s="353"/>
      <c r="AJ106" s="353"/>
      <c r="AK106" s="353"/>
      <c r="AL106" s="353"/>
      <c r="AM106" s="353"/>
      <c r="AN106" s="364"/>
      <c r="AO106" s="395"/>
    </row>
    <row r="107" spans="3:41" ht="12.75" customHeight="1" x14ac:dyDescent="0.25">
      <c r="C107" s="351"/>
      <c r="D107" s="397"/>
      <c r="E107" s="351"/>
      <c r="F107" s="351"/>
      <c r="G107" s="351"/>
      <c r="H107" s="351"/>
      <c r="I107" s="351"/>
      <c r="J107" s="351"/>
      <c r="K107" s="351"/>
      <c r="L107" s="352"/>
      <c r="M107" s="353"/>
      <c r="N107" s="184">
        <v>12</v>
      </c>
      <c r="O107" s="325">
        <f>Geometry!M25</f>
        <v>0</v>
      </c>
      <c r="P107" s="325">
        <f>Geometry!L25</f>
        <v>0</v>
      </c>
      <c r="Q107" s="326" t="str">
        <f>IF(P107=4,N117,R107)</f>
        <v/>
      </c>
      <c r="R107" s="184" t="str">
        <f>IF(P107=6,O117,S107)</f>
        <v/>
      </c>
      <c r="S107" s="184" t="str">
        <f>IF(P107=8,P117,T107)</f>
        <v/>
      </c>
      <c r="T107" s="184" t="str">
        <f>IF(P107=10,Q117,U107)</f>
        <v/>
      </c>
      <c r="U107" s="184" t="str">
        <f>IF(P107=12,R117,"")</f>
        <v/>
      </c>
      <c r="V107" s="184"/>
      <c r="W107" s="184">
        <f t="shared" si="15"/>
        <v>0</v>
      </c>
      <c r="X107" s="305"/>
      <c r="Y107" s="184"/>
      <c r="Z107" s="184"/>
      <c r="AA107" s="305"/>
      <c r="AB107" s="362"/>
      <c r="AC107" s="353"/>
      <c r="AD107" s="589"/>
      <c r="AE107" s="589"/>
      <c r="AF107" s="589"/>
      <c r="AG107" s="353"/>
      <c r="AH107" s="364"/>
      <c r="AI107" s="384"/>
      <c r="AJ107" s="353"/>
      <c r="AK107" s="375" t="s">
        <v>208</v>
      </c>
      <c r="AL107" s="364">
        <f>SUM(AL96:AL105)</f>
        <v>0</v>
      </c>
      <c r="AM107" s="353"/>
      <c r="AN107" s="364"/>
      <c r="AO107" s="395"/>
    </row>
    <row r="108" spans="3:41" ht="12.75" customHeight="1" x14ac:dyDescent="0.25">
      <c r="C108" s="356"/>
      <c r="D108" s="397"/>
      <c r="E108" s="351"/>
      <c r="F108" s="351"/>
      <c r="G108" s="351"/>
      <c r="H108" s="351"/>
      <c r="I108" s="355"/>
      <c r="J108" s="355"/>
      <c r="K108" s="355"/>
      <c r="L108" s="353"/>
      <c r="M108" s="353"/>
      <c r="N108" s="184">
        <v>13</v>
      </c>
      <c r="O108" s="325">
        <f>Geometry!M26</f>
        <v>0</v>
      </c>
      <c r="P108" s="325">
        <f>Geometry!L26</f>
        <v>0</v>
      </c>
      <c r="Q108" s="326" t="str">
        <f>IF(P108=4,N117,R108)</f>
        <v/>
      </c>
      <c r="R108" s="184" t="str">
        <f>IF(P108=6,O117,S108)</f>
        <v/>
      </c>
      <c r="S108" s="184" t="str">
        <f>IF(P108=8,P117,T108)</f>
        <v/>
      </c>
      <c r="T108" s="184" t="str">
        <f>IF(P108=10,Q117,U108)</f>
        <v/>
      </c>
      <c r="U108" s="184" t="str">
        <f>IF(P108=12,R117,"")</f>
        <v/>
      </c>
      <c r="V108" s="184"/>
      <c r="W108" s="184">
        <f t="shared" si="15"/>
        <v>0</v>
      </c>
      <c r="X108" s="305"/>
      <c r="Y108" s="184"/>
      <c r="Z108" s="184"/>
      <c r="AA108" s="305"/>
      <c r="AB108" s="362"/>
      <c r="AC108" s="353"/>
      <c r="AD108" s="589"/>
      <c r="AE108" s="589"/>
      <c r="AF108" s="589"/>
      <c r="AG108" s="353"/>
      <c r="AH108" s="364"/>
      <c r="AI108" s="353"/>
      <c r="AJ108" s="353"/>
      <c r="AK108" s="399" t="s">
        <v>140</v>
      </c>
      <c r="AL108" s="400" t="e">
        <f>IF(AL107/(AH92*4)&gt;5,5,AL107/(AH92*4))</f>
        <v>#DIV/0!</v>
      </c>
      <c r="AM108" s="353"/>
      <c r="AN108" s="364"/>
      <c r="AO108" s="395"/>
    </row>
    <row r="109" spans="3:41" ht="12.75" customHeight="1" x14ac:dyDescent="0.25">
      <c r="C109" s="351"/>
      <c r="D109" s="397"/>
      <c r="E109" s="351"/>
      <c r="F109" s="351"/>
      <c r="G109" s="351"/>
      <c r="H109" s="351"/>
      <c r="I109" s="351"/>
      <c r="J109" s="351"/>
      <c r="K109" s="351"/>
      <c r="L109" s="353"/>
      <c r="M109" s="353"/>
      <c r="N109" s="184">
        <v>14</v>
      </c>
      <c r="O109" s="325">
        <f>Geometry!M27</f>
        <v>0</v>
      </c>
      <c r="P109" s="325">
        <f>Geometry!L27</f>
        <v>0</v>
      </c>
      <c r="Q109" s="326" t="str">
        <f>IF(P109=4,N117,R109)</f>
        <v/>
      </c>
      <c r="R109" s="184" t="str">
        <f>IF(P109=6,O117,S109)</f>
        <v/>
      </c>
      <c r="S109" s="184" t="str">
        <f>IF(P109=8,P117,T109)</f>
        <v/>
      </c>
      <c r="T109" s="184" t="str">
        <f>IF(P109=10,Q117,U109)</f>
        <v/>
      </c>
      <c r="U109" s="184" t="str">
        <f>IF(P109=12,R117,"")</f>
        <v/>
      </c>
      <c r="V109" s="184"/>
      <c r="W109" s="184">
        <f t="shared" si="15"/>
        <v>0</v>
      </c>
      <c r="X109" s="305"/>
      <c r="Y109" s="184"/>
      <c r="Z109" s="184"/>
      <c r="AA109" s="305"/>
      <c r="AB109" s="362"/>
      <c r="AC109" s="353"/>
      <c r="AD109" s="589"/>
      <c r="AE109" s="589"/>
      <c r="AF109" s="589"/>
      <c r="AG109" s="353"/>
      <c r="AH109" s="364"/>
      <c r="AI109" s="353"/>
      <c r="AJ109" s="353"/>
      <c r="AK109" s="401" t="s">
        <v>2</v>
      </c>
      <c r="AL109" s="325" t="e">
        <f>ROUNDUP(AL108,1)</f>
        <v>#DIV/0!</v>
      </c>
      <c r="AM109" s="353"/>
      <c r="AN109" s="364"/>
      <c r="AO109" s="395"/>
    </row>
    <row r="110" spans="3:41" ht="12.75" customHeight="1" x14ac:dyDescent="0.25">
      <c r="C110" s="355"/>
      <c r="D110" s="355"/>
      <c r="E110" s="355"/>
      <c r="F110" s="355"/>
      <c r="G110" s="355"/>
      <c r="H110" s="355"/>
      <c r="I110" s="355"/>
      <c r="J110" s="355"/>
      <c r="K110" s="355"/>
      <c r="L110" s="353"/>
      <c r="M110" s="353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184"/>
      <c r="Z110" s="184"/>
      <c r="AA110" s="305"/>
      <c r="AB110" s="362"/>
      <c r="AC110" s="353"/>
      <c r="AD110" s="353"/>
      <c r="AE110" s="353"/>
      <c r="AF110" s="353"/>
      <c r="AG110" s="353"/>
      <c r="AH110" s="364"/>
      <c r="AI110" s="353"/>
      <c r="AJ110" s="353"/>
      <c r="AK110" s="353"/>
      <c r="AL110" s="353"/>
      <c r="AM110" s="353"/>
      <c r="AN110" s="364"/>
      <c r="AO110" s="395"/>
    </row>
    <row r="111" spans="3:41" ht="12.75" customHeight="1" x14ac:dyDescent="0.25">
      <c r="C111" s="355"/>
      <c r="D111" s="355"/>
      <c r="E111" s="355"/>
      <c r="F111" s="355"/>
      <c r="G111" s="355"/>
      <c r="H111" s="355"/>
      <c r="I111" s="355"/>
      <c r="J111" s="355"/>
      <c r="K111" s="355"/>
      <c r="L111" s="353"/>
      <c r="M111" s="353"/>
      <c r="N111" s="305"/>
      <c r="O111" s="305"/>
      <c r="P111" s="305"/>
      <c r="Q111" s="305"/>
      <c r="R111" s="305"/>
      <c r="S111" s="184"/>
      <c r="T111" s="322"/>
      <c r="U111" s="305"/>
      <c r="V111" s="372" t="s">
        <v>137</v>
      </c>
      <c r="W111" s="184">
        <f>SUM(W96:W109)</f>
        <v>0</v>
      </c>
      <c r="X111" s="305"/>
      <c r="Y111" s="184"/>
      <c r="Z111" s="184"/>
      <c r="AA111" s="305"/>
      <c r="AB111" s="362"/>
      <c r="AC111" s="353"/>
      <c r="AD111" s="353"/>
      <c r="AE111" s="353"/>
      <c r="AF111" s="353"/>
      <c r="AG111" s="353"/>
      <c r="AH111" s="364"/>
      <c r="AI111" s="364"/>
      <c r="AJ111" s="353"/>
      <c r="AK111" s="353"/>
      <c r="AL111" s="353"/>
      <c r="AM111" s="353"/>
      <c r="AN111" s="364"/>
      <c r="AO111" s="395"/>
    </row>
    <row r="112" spans="3:41" ht="12.75" customHeight="1" x14ac:dyDescent="0.25">
      <c r="C112" s="355"/>
      <c r="D112" s="355"/>
      <c r="E112" s="355"/>
      <c r="F112" s="355"/>
      <c r="G112" s="355"/>
      <c r="H112" s="355"/>
      <c r="I112" s="355"/>
      <c r="J112" s="355"/>
      <c r="K112" s="355"/>
      <c r="L112" s="353"/>
      <c r="M112" s="353"/>
      <c r="N112" s="305"/>
      <c r="O112" s="305"/>
      <c r="P112" s="305"/>
      <c r="Q112" s="305"/>
      <c r="R112" s="305"/>
      <c r="S112" s="184"/>
      <c r="T112" s="305"/>
      <c r="U112" s="305"/>
      <c r="V112" s="402" t="s">
        <v>140</v>
      </c>
      <c r="W112" s="403" t="e">
        <f>IF(W111/(S92*4)&gt;5,5,W111/(S92*4))</f>
        <v>#DIV/0!</v>
      </c>
      <c r="X112" s="305"/>
      <c r="Y112" s="184"/>
      <c r="Z112" s="184"/>
      <c r="AA112" s="305"/>
      <c r="AB112" s="362"/>
      <c r="AC112" s="404">
        <v>0.04</v>
      </c>
      <c r="AD112" s="404">
        <v>0.06</v>
      </c>
      <c r="AE112" s="404">
        <v>0.08</v>
      </c>
      <c r="AF112" s="404">
        <v>0.1</v>
      </c>
      <c r="AG112" s="404">
        <v>0.12</v>
      </c>
      <c r="AH112" s="405" t="s">
        <v>148</v>
      </c>
      <c r="AI112" s="406">
        <v>0.04</v>
      </c>
      <c r="AJ112" s="406">
        <v>0.06</v>
      </c>
      <c r="AK112" s="406">
        <v>0.08</v>
      </c>
      <c r="AL112" s="406">
        <v>0.1</v>
      </c>
      <c r="AM112" s="407">
        <v>0.12</v>
      </c>
      <c r="AN112" s="408" t="s">
        <v>149</v>
      </c>
      <c r="AO112" s="395"/>
    </row>
    <row r="113" spans="3:41" ht="12.75" customHeight="1" x14ac:dyDescent="0.25">
      <c r="C113" s="380"/>
      <c r="D113" s="355"/>
      <c r="E113" s="355"/>
      <c r="F113" s="380"/>
      <c r="G113" s="380"/>
      <c r="H113" s="355"/>
      <c r="I113" s="355"/>
      <c r="J113" s="355"/>
      <c r="K113" s="381"/>
      <c r="L113" s="382"/>
      <c r="M113" s="353"/>
      <c r="N113" s="305"/>
      <c r="O113" s="305"/>
      <c r="P113" s="305"/>
      <c r="Q113" s="305"/>
      <c r="R113" s="305"/>
      <c r="S113" s="184"/>
      <c r="T113" s="305"/>
      <c r="U113" s="305"/>
      <c r="V113" s="320" t="s">
        <v>2</v>
      </c>
      <c r="W113" s="409" t="e">
        <f>ROUNDUP(W112,1)</f>
        <v>#DIV/0!</v>
      </c>
      <c r="X113" s="305"/>
      <c r="Y113" s="184"/>
      <c r="Z113" s="184"/>
      <c r="AA113" s="305"/>
      <c r="AB113" s="362"/>
      <c r="AC113" s="410" t="e">
        <f>IF(Geometry!V27=20,AI113,AC114)</f>
        <v>#REF!</v>
      </c>
      <c r="AD113" s="410" t="e">
        <f>IF(Geometry!V27=20,AJ113,AD114)</f>
        <v>#REF!</v>
      </c>
      <c r="AE113" s="410" t="e">
        <f>IF(Geometry!V27=20,AK113,AE114)</f>
        <v>#REF!</v>
      </c>
      <c r="AF113" s="410" t="e">
        <f>IF(Geometry!V27=20,AL113,AF114)</f>
        <v>#REF!</v>
      </c>
      <c r="AG113" s="410" t="e">
        <f>IF(Geometry!V27=20,AM113,AG114)</f>
        <v>#REF!</v>
      </c>
      <c r="AH113" s="411">
        <v>20</v>
      </c>
      <c r="AI113" s="412">
        <v>125</v>
      </c>
      <c r="AJ113" s="412">
        <v>115</v>
      </c>
      <c r="AK113" s="412">
        <v>105</v>
      </c>
      <c r="AL113" s="412">
        <v>100</v>
      </c>
      <c r="AM113" s="413">
        <v>90</v>
      </c>
      <c r="AN113" s="364"/>
      <c r="AO113" s="395"/>
    </row>
    <row r="114" spans="3:41" ht="12.75" customHeight="1" x14ac:dyDescent="0.25">
      <c r="C114" s="355"/>
      <c r="D114" s="355"/>
      <c r="E114" s="355"/>
      <c r="F114" s="355"/>
      <c r="G114" s="355"/>
      <c r="H114" s="355"/>
      <c r="I114" s="355"/>
      <c r="J114" s="355"/>
      <c r="K114" s="355"/>
      <c r="L114" s="353"/>
      <c r="M114" s="353"/>
      <c r="N114" s="305"/>
      <c r="O114" s="305"/>
      <c r="P114" s="305"/>
      <c r="Q114" s="305"/>
      <c r="R114" s="305"/>
      <c r="S114" s="184"/>
      <c r="T114" s="305"/>
      <c r="U114" s="305"/>
      <c r="V114" s="305"/>
      <c r="W114" s="305"/>
      <c r="X114" s="305"/>
      <c r="Y114" s="184"/>
      <c r="Z114" s="184"/>
      <c r="AA114" s="305"/>
      <c r="AB114" s="362"/>
      <c r="AC114" s="410" t="e">
        <f>IF(Geometry!V27=25,AI114,AC115)</f>
        <v>#REF!</v>
      </c>
      <c r="AD114" s="410" t="e">
        <f>IF(Geometry!V27=25,AJ114,AD115)</f>
        <v>#REF!</v>
      </c>
      <c r="AE114" s="410" t="e">
        <f>IF(Geometry!V27=25,AK114,AE115)</f>
        <v>#REF!</v>
      </c>
      <c r="AF114" s="410" t="e">
        <f>IF(Geometry!V27=25,AL114,AF115)</f>
        <v>#REF!</v>
      </c>
      <c r="AG114" s="410" t="e">
        <f>IF(Geometry!V27=25,AM114,AG115)</f>
        <v>#REF!</v>
      </c>
      <c r="AH114" s="411">
        <v>25</v>
      </c>
      <c r="AI114" s="412">
        <v>205</v>
      </c>
      <c r="AJ114" s="412">
        <v>185</v>
      </c>
      <c r="AK114" s="412">
        <v>170</v>
      </c>
      <c r="AL114" s="412">
        <v>160</v>
      </c>
      <c r="AM114" s="413">
        <v>145</v>
      </c>
      <c r="AN114" s="364"/>
      <c r="AO114" s="395"/>
    </row>
    <row r="115" spans="3:41" ht="12.75" customHeight="1" x14ac:dyDescent="0.25">
      <c r="C115" s="350"/>
      <c r="D115" s="350"/>
      <c r="E115" s="350"/>
      <c r="F115" s="350"/>
      <c r="G115" s="350"/>
      <c r="H115" s="350"/>
      <c r="I115" s="350"/>
      <c r="J115" s="350"/>
      <c r="K115" s="350"/>
      <c r="L115" s="353"/>
      <c r="M115" s="353"/>
      <c r="N115" s="305"/>
      <c r="O115" s="305"/>
      <c r="P115" s="305"/>
      <c r="Q115" s="305"/>
      <c r="R115" s="305"/>
      <c r="S115" s="184"/>
      <c r="T115" s="184"/>
      <c r="U115" s="305"/>
      <c r="V115" s="305"/>
      <c r="W115" s="305"/>
      <c r="X115" s="305"/>
      <c r="Y115" s="184"/>
      <c r="Z115" s="184"/>
      <c r="AA115" s="305"/>
      <c r="AB115" s="362"/>
      <c r="AC115" s="410" t="e">
        <f>IF(Geometry!V27=30,AI115,AC116)</f>
        <v>#REF!</v>
      </c>
      <c r="AD115" s="410" t="e">
        <f>IF(Geometry!V27=30,AJ115,AD116)</f>
        <v>#REF!</v>
      </c>
      <c r="AE115" s="410" t="e">
        <f>IF(Geometry!V27=30,AK115,AE116)</f>
        <v>#REF!</v>
      </c>
      <c r="AF115" s="410" t="e">
        <f>IF(Geometry!V27=30,AL115,AF116)</f>
        <v>#REF!</v>
      </c>
      <c r="AG115" s="410" t="e">
        <f>IF(Geometry!V27=30,AM115,AG116)</f>
        <v>#REF!</v>
      </c>
      <c r="AH115" s="411">
        <v>30</v>
      </c>
      <c r="AI115" s="412">
        <v>300</v>
      </c>
      <c r="AJ115" s="412">
        <v>275</v>
      </c>
      <c r="AK115" s="412">
        <v>250</v>
      </c>
      <c r="AL115" s="412">
        <v>230</v>
      </c>
      <c r="AM115" s="413">
        <v>215</v>
      </c>
      <c r="AN115" s="364"/>
      <c r="AO115" s="395"/>
    </row>
    <row r="116" spans="3:41" ht="12.75" customHeight="1" x14ac:dyDescent="0.25">
      <c r="C116" s="350"/>
      <c r="D116" s="350"/>
      <c r="E116" s="350"/>
      <c r="F116" s="350"/>
      <c r="G116" s="350"/>
      <c r="H116" s="350"/>
      <c r="I116" s="350"/>
      <c r="J116" s="350"/>
      <c r="K116" s="350"/>
      <c r="L116" s="353"/>
      <c r="M116" s="353"/>
      <c r="N116" s="414">
        <v>0.04</v>
      </c>
      <c r="O116" s="414">
        <v>0.06</v>
      </c>
      <c r="P116" s="414">
        <v>0.08</v>
      </c>
      <c r="Q116" s="414">
        <v>0.1</v>
      </c>
      <c r="R116" s="414">
        <v>0.12</v>
      </c>
      <c r="S116" s="415" t="s">
        <v>148</v>
      </c>
      <c r="T116" s="416">
        <v>0.04</v>
      </c>
      <c r="U116" s="416">
        <v>0.06</v>
      </c>
      <c r="V116" s="416">
        <v>0.08</v>
      </c>
      <c r="W116" s="416">
        <v>0.1</v>
      </c>
      <c r="X116" s="417">
        <v>0.12</v>
      </c>
      <c r="Y116" s="305" t="s">
        <v>149</v>
      </c>
      <c r="Z116" s="305"/>
      <c r="AA116" s="305"/>
      <c r="AB116" s="362"/>
      <c r="AC116" s="410" t="e">
        <f>IF(Geometry!V27=35,AI116,AC117)</f>
        <v>#REF!</v>
      </c>
      <c r="AD116" s="410" t="e">
        <f>IF(Geometry!V27=35,AJ116,AD117)</f>
        <v>#REF!</v>
      </c>
      <c r="AE116" s="410" t="e">
        <f>IF(Geometry!V27=35,AK116,AE117)</f>
        <v>#REF!</v>
      </c>
      <c r="AF116" s="410" t="e">
        <f>IF(Geometry!V27=35,AL116,AF117)</f>
        <v>#REF!</v>
      </c>
      <c r="AG116" s="410" t="e">
        <f>IF(Geometry!V27=35,AM116,AG117)</f>
        <v>#REF!</v>
      </c>
      <c r="AH116" s="411">
        <v>35</v>
      </c>
      <c r="AI116" s="412">
        <v>420</v>
      </c>
      <c r="AJ116" s="412">
        <v>380</v>
      </c>
      <c r="AK116" s="412">
        <v>350</v>
      </c>
      <c r="AL116" s="412">
        <v>320</v>
      </c>
      <c r="AM116" s="413">
        <v>300</v>
      </c>
      <c r="AN116" s="353"/>
      <c r="AO116" s="395"/>
    </row>
    <row r="117" spans="3:41" ht="12.75" customHeight="1" x14ac:dyDescent="0.25">
      <c r="C117" s="350"/>
      <c r="D117" s="350"/>
      <c r="E117" s="350"/>
      <c r="F117" s="350"/>
      <c r="G117" s="350"/>
      <c r="H117" s="350"/>
      <c r="I117" s="350"/>
      <c r="J117" s="350"/>
      <c r="K117" s="350"/>
      <c r="L117" s="353"/>
      <c r="M117" s="353"/>
      <c r="N117" s="184">
        <f>IF(Geometry!V27=20,T117,N118)</f>
        <v>0</v>
      </c>
      <c r="O117" s="184">
        <f>IF(Geometry!V27=20,U117,O118)</f>
        <v>0</v>
      </c>
      <c r="P117" s="184">
        <f>IF(Geometry!V27=20,V117,P118)</f>
        <v>0</v>
      </c>
      <c r="Q117" s="184">
        <f>IF(Geometry!V27=20,W117,Q118)</f>
        <v>0</v>
      </c>
      <c r="R117" s="184">
        <f>IF(Geometry!V27=20,X117,R118)</f>
        <v>0</v>
      </c>
      <c r="S117" s="418">
        <v>20</v>
      </c>
      <c r="T117" s="346">
        <v>45</v>
      </c>
      <c r="U117" s="346">
        <v>49.25</v>
      </c>
      <c r="V117" s="346">
        <v>53.5</v>
      </c>
      <c r="W117" s="346">
        <v>58</v>
      </c>
      <c r="X117" s="419">
        <v>62</v>
      </c>
      <c r="Y117" s="184"/>
      <c r="Z117" s="184"/>
      <c r="AA117" s="305"/>
      <c r="AB117" s="362"/>
      <c r="AC117" s="410" t="e">
        <f>IF(Geometry!V27=40,AI117,AC118)</f>
        <v>#REF!</v>
      </c>
      <c r="AD117" s="410" t="e">
        <f>IF(Geometry!V27=40,AJ117,AD118)</f>
        <v>#REF!</v>
      </c>
      <c r="AE117" s="410" t="e">
        <f>IF(Geometry!V27=40,AK117,AE118)</f>
        <v>#REF!</v>
      </c>
      <c r="AF117" s="410" t="e">
        <f>IF(Geometry!V27=40,AL117,AF118)</f>
        <v>#REF!</v>
      </c>
      <c r="AG117" s="410" t="e">
        <f>IF(Geometry!V27=40,AM117,AG118)</f>
        <v>#REF!</v>
      </c>
      <c r="AH117" s="411">
        <v>40</v>
      </c>
      <c r="AI117" s="412">
        <v>565</v>
      </c>
      <c r="AJ117" s="412">
        <v>510</v>
      </c>
      <c r="AK117" s="412">
        <v>465</v>
      </c>
      <c r="AL117" s="412">
        <v>430</v>
      </c>
      <c r="AM117" s="413">
        <v>395</v>
      </c>
      <c r="AN117" s="353"/>
      <c r="AO117" s="395"/>
    </row>
    <row r="118" spans="3:41" ht="12.75" customHeight="1" x14ac:dyDescent="0.25">
      <c r="C118" s="350"/>
      <c r="D118" s="350"/>
      <c r="E118" s="350"/>
      <c r="F118" s="350"/>
      <c r="G118" s="350"/>
      <c r="H118" s="350"/>
      <c r="I118" s="350"/>
      <c r="J118" s="350"/>
      <c r="K118" s="350"/>
      <c r="L118" s="353"/>
      <c r="M118" s="353"/>
      <c r="N118" s="184">
        <f>IF(Geometry!V27=25,T118,N119)</f>
        <v>0</v>
      </c>
      <c r="O118" s="184">
        <f>IF(Geometry!V27=25,U118,O119)</f>
        <v>0</v>
      </c>
      <c r="P118" s="184">
        <f>IF(Geometry!V27=25,V118,P119)</f>
        <v>0</v>
      </c>
      <c r="Q118" s="184">
        <f>IF(Geometry!V27=25,W118,Q119)</f>
        <v>0</v>
      </c>
      <c r="R118" s="184">
        <f>IF(Geometry!V27=25,X118,R119)</f>
        <v>0</v>
      </c>
      <c r="S118" s="418">
        <v>25</v>
      </c>
      <c r="T118" s="346">
        <v>28.096480000000003</v>
      </c>
      <c r="U118" s="346">
        <v>30.837599999999998</v>
      </c>
      <c r="V118" s="346">
        <v>33.578720000000004</v>
      </c>
      <c r="W118" s="346">
        <v>36.319839999999999</v>
      </c>
      <c r="X118" s="419">
        <v>39.060960000000001</v>
      </c>
      <c r="Y118" s="184"/>
      <c r="Z118" s="184"/>
      <c r="AA118" s="305"/>
      <c r="AB118" s="362"/>
      <c r="AC118" s="410" t="e">
        <f>IF(Geometry!V27=45,AI118,AC119)</f>
        <v>#REF!</v>
      </c>
      <c r="AD118" s="410" t="e">
        <f>IF(Geometry!V27=45,AJ118,AD119)</f>
        <v>#REF!</v>
      </c>
      <c r="AE118" s="410" t="e">
        <f>IF(Geometry!V27=45,AK118,AE119)</f>
        <v>#REF!</v>
      </c>
      <c r="AF118" s="410" t="e">
        <f>IF(Geometry!V27=45,AL118,AF119)</f>
        <v>#REF!</v>
      </c>
      <c r="AG118" s="410" t="e">
        <f>IF(Geometry!V27=45,AM118,AG119)</f>
        <v>#REF!</v>
      </c>
      <c r="AH118" s="411">
        <v>45</v>
      </c>
      <c r="AI118" s="412">
        <v>730</v>
      </c>
      <c r="AJ118" s="412">
        <v>660</v>
      </c>
      <c r="AK118" s="412">
        <v>500</v>
      </c>
      <c r="AL118" s="412">
        <v>555</v>
      </c>
      <c r="AM118" s="413">
        <v>510</v>
      </c>
      <c r="AN118" s="353" t="s">
        <v>211</v>
      </c>
      <c r="AO118" s="395"/>
    </row>
    <row r="119" spans="3:41" ht="12.75" customHeight="1" x14ac:dyDescent="0.25">
      <c r="C119" s="350"/>
      <c r="D119" s="350"/>
      <c r="E119" s="350"/>
      <c r="F119" s="350"/>
      <c r="G119" s="350"/>
      <c r="H119" s="350"/>
      <c r="I119" s="350"/>
      <c r="J119" s="350"/>
      <c r="K119" s="350"/>
      <c r="L119" s="353"/>
      <c r="M119" s="353"/>
      <c r="N119" s="184">
        <f>IF(Geometry!V27=30,T119,N120)</f>
        <v>0</v>
      </c>
      <c r="O119" s="184">
        <f>IF(Geometry!V27=30,U119,O120)</f>
        <v>0</v>
      </c>
      <c r="P119" s="184">
        <f>IF(Geometry!V27=30,V119,P120)</f>
        <v>0</v>
      </c>
      <c r="Q119" s="184">
        <f>IF(Geometry!V27=30,W119,Q120)</f>
        <v>0</v>
      </c>
      <c r="R119" s="184">
        <f>IF(Geometry!V27=30,X119,R120)</f>
        <v>0</v>
      </c>
      <c r="S119" s="418">
        <v>30</v>
      </c>
      <c r="T119" s="346">
        <v>19</v>
      </c>
      <c r="U119" s="346">
        <v>21</v>
      </c>
      <c r="V119" s="346">
        <v>22.75</v>
      </c>
      <c r="W119" s="346">
        <v>24.75</v>
      </c>
      <c r="X119" s="419">
        <v>26.75</v>
      </c>
      <c r="Y119" s="184"/>
      <c r="Z119" s="184"/>
      <c r="AA119" s="305"/>
      <c r="AB119" s="362"/>
      <c r="AC119" s="410" t="e">
        <f>IF(Geometry!V27=50,AI119,AC120)</f>
        <v>#REF!</v>
      </c>
      <c r="AD119" s="410" t="e">
        <f>IF(Geometry!V27=50,AJ119,AD120)</f>
        <v>#REF!</v>
      </c>
      <c r="AE119" s="410" t="e">
        <f>IF(Geometry!V27=50,AK119,AE120)</f>
        <v>#REF!</v>
      </c>
      <c r="AF119" s="410" t="e">
        <f>IF(Geometry!V27=50,AL119,AF120)</f>
        <v>#REF!</v>
      </c>
      <c r="AG119" s="410" t="e">
        <f>IF(Geometry!V27=50,AM119,AG120)</f>
        <v>#REF!</v>
      </c>
      <c r="AH119" s="411">
        <v>50</v>
      </c>
      <c r="AI119" s="412">
        <v>930</v>
      </c>
      <c r="AJ119" s="412">
        <v>835</v>
      </c>
      <c r="AK119" s="412">
        <v>760</v>
      </c>
      <c r="AL119" s="412">
        <v>695</v>
      </c>
      <c r="AM119" s="413">
        <v>645</v>
      </c>
      <c r="AN119" s="353"/>
      <c r="AO119" s="395"/>
    </row>
    <row r="120" spans="3:41" ht="12.75" customHeight="1" x14ac:dyDescent="0.25">
      <c r="C120" s="353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184">
        <f>IF(Geometry!V27=35,T120,N121)</f>
        <v>0</v>
      </c>
      <c r="O120" s="184">
        <f>IF(Geometry!V27=35,U120,O121)</f>
        <v>0</v>
      </c>
      <c r="P120" s="184">
        <f>IF(Geometry!V27=35,V120,P121)</f>
        <v>0</v>
      </c>
      <c r="Q120" s="184">
        <f>IF(Geometry!V27=35,W120,Q121)</f>
        <v>0</v>
      </c>
      <c r="R120" s="184">
        <f>IF(Geometry!V27=35,X120,R121)</f>
        <v>0</v>
      </c>
      <c r="S120" s="418">
        <v>35</v>
      </c>
      <c r="T120" s="346">
        <v>13.635673469387756</v>
      </c>
      <c r="U120" s="346">
        <v>15.034204081632653</v>
      </c>
      <c r="V120" s="346">
        <v>16.432734693877549</v>
      </c>
      <c r="W120" s="346">
        <v>17.831265306122447</v>
      </c>
      <c r="X120" s="419">
        <v>19.229795918367351</v>
      </c>
      <c r="Y120" s="305"/>
      <c r="Z120" s="305"/>
      <c r="AA120" s="305"/>
      <c r="AB120" s="362"/>
      <c r="AC120" s="410" t="e">
        <f>IF(Geometry!V27=55,AI120,AC121)</f>
        <v>#REF!</v>
      </c>
      <c r="AD120" s="410" t="e">
        <f>IF(Geometry!V27=55,AJ120,AD121)</f>
        <v>#REF!</v>
      </c>
      <c r="AE120" s="410" t="e">
        <f>IF(Geometry!V27=55,AK120,AE121)</f>
        <v>#REF!</v>
      </c>
      <c r="AF120" s="410" t="e">
        <f>IF(Geometry!V27=55,AL120,AF121)</f>
        <v>#REF!</v>
      </c>
      <c r="AG120" s="410" t="e">
        <f>IF(Geometry!V27=55,AM120,AG121)</f>
        <v>#REF!</v>
      </c>
      <c r="AH120" s="411">
        <v>55</v>
      </c>
      <c r="AI120" s="412">
        <v>1190</v>
      </c>
      <c r="AJ120" s="412">
        <v>1065</v>
      </c>
      <c r="AK120" s="412">
        <v>965</v>
      </c>
      <c r="AL120" s="412">
        <v>880</v>
      </c>
      <c r="AM120" s="413">
        <v>810</v>
      </c>
      <c r="AN120" s="353"/>
      <c r="AO120" s="395"/>
    </row>
    <row r="121" spans="3:41" ht="12.75" customHeight="1" x14ac:dyDescent="0.25">
      <c r="C121" s="353"/>
      <c r="D121" s="353"/>
      <c r="E121" s="353"/>
      <c r="F121" s="353"/>
      <c r="G121" s="353"/>
      <c r="H121" s="353"/>
      <c r="I121" s="353"/>
      <c r="J121" s="353"/>
      <c r="K121" s="353"/>
      <c r="L121" s="354"/>
      <c r="M121" s="353"/>
      <c r="N121" s="184">
        <f>IF(Geometry!V27=40,T121,N122)</f>
        <v>0</v>
      </c>
      <c r="O121" s="184">
        <f>IF(Geometry!V27=40,U121,O122)</f>
        <v>0</v>
      </c>
      <c r="P121" s="184">
        <f>IF(Geometry!V27=40,V121,P122)</f>
        <v>0</v>
      </c>
      <c r="Q121" s="184">
        <f>IF(Geometry!V27=40,W121,Q122)</f>
        <v>0</v>
      </c>
      <c r="R121" s="184">
        <f>IF(Geometry!V27=40,X121,R122)</f>
        <v>0</v>
      </c>
      <c r="S121" s="418">
        <v>40</v>
      </c>
      <c r="T121" s="346">
        <v>10</v>
      </c>
      <c r="U121" s="346">
        <v>11.25</v>
      </c>
      <c r="V121" s="346">
        <v>12.25</v>
      </c>
      <c r="W121" s="346">
        <v>13.25</v>
      </c>
      <c r="X121" s="419">
        <v>14.5</v>
      </c>
      <c r="Y121" s="305"/>
      <c r="Z121" s="305"/>
      <c r="AA121" s="305"/>
      <c r="AB121" s="362"/>
      <c r="AC121" s="410" t="e">
        <f>IF(Geometry!V27=60,AI121,AC122)</f>
        <v>#REF!</v>
      </c>
      <c r="AD121" s="410" t="e">
        <f>IF(Geometry!V27=60,AJ121,AD122)</f>
        <v>#REF!</v>
      </c>
      <c r="AE121" s="410" t="e">
        <f>IF(Geometry!V27=60,AK121,AE122)</f>
        <v>#REF!</v>
      </c>
      <c r="AF121" s="410" t="e">
        <f>IF(Geometry!V27=60,AL121,AF122)</f>
        <v>#REF!</v>
      </c>
      <c r="AG121" s="410" t="e">
        <f>IF(Geometry!V27=60,AM121,AG122)</f>
        <v>#REF!</v>
      </c>
      <c r="AH121" s="411">
        <v>60</v>
      </c>
      <c r="AI121" s="412">
        <v>1505</v>
      </c>
      <c r="AJ121" s="412">
        <v>1340</v>
      </c>
      <c r="AK121" s="412">
        <v>1205</v>
      </c>
      <c r="AL121" s="412">
        <v>1095</v>
      </c>
      <c r="AM121" s="413">
        <v>1005</v>
      </c>
      <c r="AN121" s="353"/>
      <c r="AO121" s="395"/>
    </row>
    <row r="122" spans="3:41" ht="12.75" customHeight="1" x14ac:dyDescent="0.25">
      <c r="C122" s="353"/>
      <c r="D122" s="353"/>
      <c r="E122" s="353"/>
      <c r="F122" s="353"/>
      <c r="G122" s="353"/>
      <c r="H122" s="353"/>
      <c r="I122" s="353"/>
      <c r="J122" s="353"/>
      <c r="K122" s="353"/>
      <c r="L122" s="354"/>
      <c r="M122" s="353"/>
      <c r="N122" s="184">
        <f>IF(Geometry!V27=45,T122,N123)</f>
        <v>0</v>
      </c>
      <c r="O122" s="184">
        <f>IF(Geometry!V27=45,U122,O123)</f>
        <v>0</v>
      </c>
      <c r="P122" s="184">
        <f>IF(Geometry!V27=45,V122,P123)</f>
        <v>0</v>
      </c>
      <c r="Q122" s="184">
        <f>IF(Geometry!V27=45,W122,Q123)</f>
        <v>0</v>
      </c>
      <c r="R122" s="184">
        <f>IF(Geometry!V27=45,X122,R123)</f>
        <v>0</v>
      </c>
      <c r="S122" s="418">
        <v>45</v>
      </c>
      <c r="T122" s="346">
        <v>7.8257283950617289</v>
      </c>
      <c r="U122" s="346">
        <v>8.6717530864197521</v>
      </c>
      <c r="V122" s="346">
        <v>9.5177777777777752</v>
      </c>
      <c r="W122" s="346">
        <v>10.363802469135802</v>
      </c>
      <c r="X122" s="419">
        <v>11.209827160493829</v>
      </c>
      <c r="Y122" s="305" t="s">
        <v>196</v>
      </c>
      <c r="Z122" s="305"/>
      <c r="AA122" s="305"/>
      <c r="AB122" s="362"/>
      <c r="AC122" s="410" t="e">
        <f>IF(Geometry!V27=65,AI122,AC123)</f>
        <v>#REF!</v>
      </c>
      <c r="AD122" s="410" t="e">
        <f>IF(Geometry!V27=65,AJ122,AD123)</f>
        <v>#REF!</v>
      </c>
      <c r="AE122" s="410" t="e">
        <f>IF(Geometry!V27=65,AK122,AE123)</f>
        <v>#REF!</v>
      </c>
      <c r="AF122" s="410" t="e">
        <f>IF(Geometry!V27=65,AL122,AF123)</f>
        <v>#REF!</v>
      </c>
      <c r="AG122" s="410" t="e">
        <f>IF(Geometry!V27=65,AM122,AG123)</f>
        <v>#REF!</v>
      </c>
      <c r="AH122" s="411">
        <v>65</v>
      </c>
      <c r="AI122" s="420" t="s">
        <v>164</v>
      </c>
      <c r="AJ122" s="412">
        <v>1660</v>
      </c>
      <c r="AK122" s="412">
        <v>1485</v>
      </c>
      <c r="AL122" s="412">
        <v>1345</v>
      </c>
      <c r="AM122" s="413">
        <v>1230</v>
      </c>
      <c r="AN122" s="364"/>
      <c r="AO122" s="395"/>
    </row>
    <row r="123" spans="3:41" ht="12.75" customHeight="1" x14ac:dyDescent="0.25">
      <c r="N123" s="184">
        <f>IF(Geometry!V27=50,T123,N124)</f>
        <v>0</v>
      </c>
      <c r="O123" s="184">
        <f>IF(Geometry!V27=50,U123,O124)</f>
        <v>0</v>
      </c>
      <c r="P123" s="184">
        <f>IF(Geometry!V27=50,V123,P124)</f>
        <v>0</v>
      </c>
      <c r="Q123" s="184">
        <f>IF(Geometry!V27=50,W123,Q124)</f>
        <v>0</v>
      </c>
      <c r="R123" s="184">
        <f>IF(Geometry!V27=50,X123,R124)</f>
        <v>0</v>
      </c>
      <c r="S123" s="418">
        <v>50</v>
      </c>
      <c r="T123" s="346">
        <v>6</v>
      </c>
      <c r="U123" s="346">
        <v>6.75</v>
      </c>
      <c r="V123" s="346">
        <v>7.5</v>
      </c>
      <c r="W123" s="346">
        <v>8.25</v>
      </c>
      <c r="X123" s="419">
        <v>9</v>
      </c>
      <c r="Y123" s="305"/>
      <c r="Z123" s="305"/>
      <c r="AA123" s="305"/>
      <c r="AB123" s="362"/>
      <c r="AC123" s="410" t="e">
        <f>IF(Geometry!V27=70,AI123,#REF!)</f>
        <v>#REF!</v>
      </c>
      <c r="AD123" s="410" t="e">
        <f>IF(Geometry!V27=70,AJ123,#REF!)</f>
        <v>#REF!</v>
      </c>
      <c r="AE123" s="410" t="e">
        <f>IF(Geometry!V27=70,AK123,#REF!)</f>
        <v>#REF!</v>
      </c>
      <c r="AF123" s="410" t="e">
        <f>IF(Geometry!V27=70,AL123,#REF!)</f>
        <v>#REF!</v>
      </c>
      <c r="AG123" s="410" t="e">
        <f>IF(Geometry!V27=70,AM123,#REF!)</f>
        <v>#REF!</v>
      </c>
      <c r="AH123" s="405">
        <v>70</v>
      </c>
      <c r="AI123" s="421" t="s">
        <v>164</v>
      </c>
      <c r="AJ123" s="422">
        <v>2050</v>
      </c>
      <c r="AK123" s="422">
        <v>1820</v>
      </c>
      <c r="AL123" s="422">
        <v>1840</v>
      </c>
      <c r="AM123" s="423">
        <v>1490</v>
      </c>
      <c r="AN123" s="364"/>
      <c r="AO123" s="395"/>
    </row>
    <row r="124" spans="3:41" ht="12.75" customHeight="1" x14ac:dyDescent="0.25">
      <c r="N124" s="184">
        <f>IF(Geometry!V27=55,T124,N125)</f>
        <v>0</v>
      </c>
      <c r="O124" s="184">
        <f>IF(Geometry!V27=55,U124,O125)</f>
        <v>0</v>
      </c>
      <c r="P124" s="184">
        <f>IF(Geometry!V27=55,V124,P125)</f>
        <v>0</v>
      </c>
      <c r="Q124" s="184">
        <f>IF(Geometry!V27=55,W124,Q125)</f>
        <v>0</v>
      </c>
      <c r="R124" s="184">
        <f>IF(Geometry!V27=55,X124,R125)</f>
        <v>0</v>
      </c>
      <c r="S124" s="418">
        <v>55</v>
      </c>
      <c r="T124" s="346">
        <v>4.75</v>
      </c>
      <c r="U124" s="346">
        <v>5.5</v>
      </c>
      <c r="V124" s="346">
        <v>6</v>
      </c>
      <c r="W124" s="346">
        <v>6.5</v>
      </c>
      <c r="X124" s="419">
        <v>7</v>
      </c>
      <c r="Y124" s="305"/>
      <c r="Z124" s="305"/>
      <c r="AA124" s="305"/>
      <c r="AB124" s="362"/>
      <c r="AC124" s="350"/>
      <c r="AD124" s="350"/>
      <c r="AE124" s="350"/>
      <c r="AF124" s="350"/>
      <c r="AG124" s="350"/>
      <c r="AH124" s="350"/>
      <c r="AI124" s="350"/>
      <c r="AJ124" s="350"/>
      <c r="AK124" s="350"/>
      <c r="AL124" s="350"/>
      <c r="AM124" s="350"/>
      <c r="AN124" s="350"/>
      <c r="AO124" s="395"/>
    </row>
    <row r="125" spans="3:41" ht="12.75" customHeight="1" x14ac:dyDescent="0.25">
      <c r="N125" s="184">
        <f>IF(Geometry!V27=60,T125,N126)</f>
        <v>0</v>
      </c>
      <c r="O125" s="184">
        <f>IF(Geometry!V27=60,U125,O126)</f>
        <v>0</v>
      </c>
      <c r="P125" s="184">
        <f>IF(Geometry!V27=60,V125,P126)</f>
        <v>0</v>
      </c>
      <c r="Q125" s="184">
        <f>IF(Geometry!V27=60,W125,Q126)</f>
        <v>0</v>
      </c>
      <c r="R125" s="184">
        <f>IF(Geometry!V27=60,X125,R126)</f>
        <v>0</v>
      </c>
      <c r="S125" s="418">
        <v>60</v>
      </c>
      <c r="T125" s="346">
        <v>3.75</v>
      </c>
      <c r="U125" s="346">
        <v>4.25</v>
      </c>
      <c r="V125" s="346">
        <v>4.75</v>
      </c>
      <c r="W125" s="346">
        <v>5.25</v>
      </c>
      <c r="X125" s="419">
        <v>5.75</v>
      </c>
      <c r="Y125" s="305"/>
      <c r="Z125" s="305"/>
      <c r="AA125" s="305"/>
      <c r="AB125" s="362"/>
      <c r="AC125" s="350"/>
      <c r="AD125" s="350"/>
      <c r="AE125" s="350"/>
      <c r="AF125" s="350"/>
      <c r="AG125" s="350"/>
      <c r="AH125" s="350"/>
      <c r="AI125" s="350"/>
      <c r="AJ125" s="350"/>
      <c r="AK125" s="350"/>
      <c r="AL125" s="350"/>
      <c r="AM125" s="350"/>
      <c r="AN125" s="350"/>
      <c r="AO125" s="395"/>
    </row>
    <row r="126" spans="3:41" ht="12.75" customHeight="1" x14ac:dyDescent="0.25">
      <c r="N126" s="184">
        <f>IF(Geometry!V27=65,T126,N127)</f>
        <v>0</v>
      </c>
      <c r="O126" s="184">
        <f>IF(Geometry!V27=65,U126,O127)</f>
        <v>0</v>
      </c>
      <c r="P126" s="184">
        <f>IF(Geometry!V27=65,V126,P127)</f>
        <v>0</v>
      </c>
      <c r="Q126" s="184">
        <f>IF(Geometry!V27=65,W126,Q127)</f>
        <v>0</v>
      </c>
      <c r="R126" s="184">
        <f>IF(Geometry!V27=65,X126,R127)</f>
        <v>0</v>
      </c>
      <c r="S126" s="418">
        <v>65</v>
      </c>
      <c r="T126" s="424" t="s">
        <v>164</v>
      </c>
      <c r="U126" s="346">
        <v>3.5</v>
      </c>
      <c r="V126" s="346">
        <v>3.75</v>
      </c>
      <c r="W126" s="346">
        <v>4.25</v>
      </c>
      <c r="X126" s="419">
        <v>4.75</v>
      </c>
      <c r="Y126" s="184"/>
      <c r="Z126" s="184"/>
      <c r="AB126" s="362"/>
      <c r="AC126" s="350"/>
      <c r="AD126" s="350"/>
      <c r="AE126" s="350"/>
      <c r="AF126" s="350"/>
      <c r="AG126" s="350"/>
      <c r="AH126" s="350"/>
      <c r="AI126" s="350"/>
      <c r="AJ126" s="350"/>
      <c r="AK126" s="350"/>
      <c r="AL126" s="350"/>
      <c r="AM126" s="350"/>
      <c r="AN126" s="350"/>
      <c r="AO126" s="395"/>
    </row>
    <row r="127" spans="3:41" ht="12.75" customHeight="1" thickBot="1" x14ac:dyDescent="0.3">
      <c r="N127" s="184">
        <f>IF(Geometry!V27=70,T127,0)</f>
        <v>0</v>
      </c>
      <c r="O127" s="184">
        <f>IF(Geometry!V27=70,U127,0)</f>
        <v>0</v>
      </c>
      <c r="P127" s="184">
        <f>IF(Geometry!V27=70,V127,0)</f>
        <v>0</v>
      </c>
      <c r="Q127" s="184">
        <f>IF(Geometry!V27=70,W127,0)</f>
        <v>0</v>
      </c>
      <c r="R127" s="184">
        <f>IF(Geometry!V27=70,X127,0)</f>
        <v>0</v>
      </c>
      <c r="S127" s="415">
        <v>70</v>
      </c>
      <c r="T127" s="425" t="s">
        <v>164</v>
      </c>
      <c r="U127" s="426">
        <v>2.75</v>
      </c>
      <c r="V127" s="426">
        <v>3</v>
      </c>
      <c r="W127" s="426">
        <v>3.5</v>
      </c>
      <c r="X127" s="427">
        <v>3.75</v>
      </c>
      <c r="Y127" s="184"/>
      <c r="Z127" s="184"/>
      <c r="AB127" s="428"/>
      <c r="AC127" s="429"/>
      <c r="AD127" s="429"/>
      <c r="AE127" s="429"/>
      <c r="AF127" s="429"/>
      <c r="AG127" s="429"/>
      <c r="AH127" s="429"/>
      <c r="AI127" s="429"/>
      <c r="AJ127" s="429"/>
      <c r="AK127" s="429"/>
      <c r="AL127" s="429"/>
      <c r="AM127" s="429"/>
      <c r="AN127" s="429"/>
      <c r="AO127" s="430"/>
    </row>
    <row r="128" spans="3:41" ht="12.75" customHeight="1" x14ac:dyDescent="0.2">
      <c r="N128" s="305"/>
      <c r="O128" s="305"/>
      <c r="P128" s="305"/>
      <c r="Q128" s="305"/>
      <c r="R128" s="305"/>
      <c r="S128" s="184"/>
      <c r="T128" s="184"/>
      <c r="U128" s="184"/>
      <c r="V128" s="305"/>
      <c r="W128" s="305"/>
      <c r="X128" s="305"/>
      <c r="Y128" s="305"/>
      <c r="Z128" s="305"/>
    </row>
    <row r="129" spans="14:26" ht="12.75" customHeight="1" x14ac:dyDescent="0.2">
      <c r="N129" s="305"/>
      <c r="O129" s="305"/>
      <c r="P129" s="305"/>
      <c r="Q129" s="305"/>
      <c r="R129" s="305"/>
      <c r="S129" s="184"/>
      <c r="T129" s="184"/>
      <c r="U129" s="184"/>
      <c r="V129" s="305"/>
      <c r="W129" s="305"/>
      <c r="X129" s="305"/>
      <c r="Y129" s="305"/>
      <c r="Z129" s="305"/>
    </row>
  </sheetData>
  <sheetProtection password="EC65" sheet="1" objects="1" scenarios="1" selectLockedCells="1"/>
  <mergeCells count="11">
    <mergeCell ref="AD106:AF109"/>
    <mergeCell ref="F9:L9"/>
    <mergeCell ref="D10:F10"/>
    <mergeCell ref="L10:N10"/>
    <mergeCell ref="L5:N8"/>
    <mergeCell ref="J11:J13"/>
    <mergeCell ref="S13:V13"/>
    <mergeCell ref="E58:E59"/>
    <mergeCell ref="G58:G59"/>
    <mergeCell ref="D11:F11"/>
    <mergeCell ref="L11:N11"/>
  </mergeCells>
  <conditionalFormatting sqref="R13:R25">
    <cfRule type="expression" dxfId="16" priority="2" stopIfTrue="1">
      <formula>ISERROR(#REF!)</formula>
    </cfRule>
  </conditionalFormatting>
  <conditionalFormatting sqref="D28">
    <cfRule type="expression" dxfId="15" priority="3" stopIfTrue="1">
      <formula>ISERROR($C$52)</formula>
    </cfRule>
  </conditionalFormatting>
  <conditionalFormatting sqref="N28">
    <cfRule type="expression" dxfId="14" priority="4" stopIfTrue="1">
      <formula>ISERROR($M$52)</formula>
    </cfRule>
  </conditionalFormatting>
  <conditionalFormatting sqref="G28 O28">
    <cfRule type="expression" dxfId="13" priority="5" stopIfTrue="1">
      <formula>ISERROR($N$60)</formula>
    </cfRule>
  </conditionalFormatting>
  <conditionalFormatting sqref="D29 L29">
    <cfRule type="expression" dxfId="12" priority="6" stopIfTrue="1">
      <formula>ISERROR($K$54)</formula>
    </cfRule>
  </conditionalFormatting>
  <conditionalFormatting sqref="Q13">
    <cfRule type="expression" dxfId="11" priority="7" stopIfTrue="1">
      <formula>ISERROR($P$47)</formula>
    </cfRule>
  </conditionalFormatting>
  <conditionalFormatting sqref="Q14:Q27">
    <cfRule type="expression" dxfId="10" priority="1" stopIfTrue="1">
      <formula>ISERROR($P$46)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60"/>
  <sheetViews>
    <sheetView showGridLines="0" workbookViewId="0">
      <selection activeCell="C10" sqref="C10"/>
    </sheetView>
  </sheetViews>
  <sheetFormatPr defaultColWidth="7.7109375" defaultRowHeight="12.75" x14ac:dyDescent="0.2"/>
  <cols>
    <col min="1" max="16384" width="7.7109375" style="196"/>
  </cols>
  <sheetData>
    <row r="2" spans="2:26" ht="13.5" thickBot="1" x14ac:dyDescent="0.25"/>
    <row r="3" spans="2:26" x14ac:dyDescent="0.2">
      <c r="B3" s="273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41"/>
      <c r="N3" s="193"/>
      <c r="O3" s="193"/>
      <c r="P3" s="193"/>
      <c r="Q3" s="205"/>
      <c r="R3" s="193"/>
      <c r="S3" s="193"/>
      <c r="T3" s="193"/>
      <c r="U3" s="193"/>
      <c r="V3" s="185"/>
      <c r="W3" s="185"/>
      <c r="X3" s="185"/>
      <c r="Y3" s="193"/>
      <c r="Z3" s="193"/>
    </row>
    <row r="4" spans="2:26" x14ac:dyDescent="0.2">
      <c r="B4" s="274"/>
      <c r="C4" s="142" t="s">
        <v>380</v>
      </c>
      <c r="D4" s="272"/>
      <c r="E4" s="143" t="s">
        <v>381</v>
      </c>
      <c r="F4" s="6"/>
      <c r="G4" s="6"/>
      <c r="H4" s="6"/>
      <c r="I4" s="80"/>
      <c r="J4" s="59"/>
      <c r="K4" s="6"/>
      <c r="L4" s="6"/>
      <c r="M4" s="144"/>
      <c r="N4" s="193"/>
      <c r="O4" s="193"/>
      <c r="P4" s="193"/>
      <c r="Q4" s="193"/>
      <c r="R4" s="193"/>
      <c r="S4" s="257" t="s">
        <v>401</v>
      </c>
      <c r="T4" s="193"/>
      <c r="U4" s="193"/>
      <c r="V4" s="193"/>
      <c r="W4" s="193"/>
      <c r="X4" s="193"/>
      <c r="Y4" s="193"/>
      <c r="Z4" s="204"/>
    </row>
    <row r="5" spans="2:26" x14ac:dyDescent="0.2">
      <c r="B5" s="274"/>
      <c r="C5" s="142"/>
      <c r="D5" s="143"/>
      <c r="E5" s="6"/>
      <c r="F5" s="6"/>
      <c r="G5" s="6"/>
      <c r="H5" s="6"/>
      <c r="I5" s="80"/>
      <c r="J5" s="59"/>
      <c r="K5" s="6"/>
      <c r="L5" s="6"/>
      <c r="M5" s="144"/>
      <c r="N5" s="193"/>
      <c r="O5" s="193"/>
      <c r="P5" s="193"/>
      <c r="Q5" s="258"/>
      <c r="R5" s="193"/>
      <c r="S5" s="193"/>
      <c r="T5" s="193"/>
      <c r="U5" s="193"/>
      <c r="V5" s="193"/>
      <c r="W5" s="193"/>
      <c r="X5" s="193" t="s">
        <v>402</v>
      </c>
      <c r="Y5" s="193"/>
      <c r="Z5" s="204"/>
    </row>
    <row r="6" spans="2:26" x14ac:dyDescent="0.2">
      <c r="B6" s="274"/>
      <c r="C6" s="6"/>
      <c r="D6" s="6"/>
      <c r="E6" s="6"/>
      <c r="F6" s="69"/>
      <c r="G6" s="6"/>
      <c r="H6" s="6"/>
      <c r="I6" s="23"/>
      <c r="J6" s="59"/>
      <c r="K6" s="59"/>
      <c r="L6" s="6"/>
      <c r="M6" s="144"/>
      <c r="N6" s="193"/>
      <c r="O6" s="193"/>
      <c r="P6" s="193"/>
      <c r="Q6" s="193" t="s">
        <v>403</v>
      </c>
      <c r="R6" s="193"/>
      <c r="S6" s="193"/>
      <c r="T6" s="193"/>
      <c r="U6" s="193"/>
      <c r="V6" s="193"/>
      <c r="X6" s="195" t="str">
        <f>Geometry!V27</f>
        <v/>
      </c>
      <c r="Y6" s="193"/>
      <c r="Z6" s="193"/>
    </row>
    <row r="7" spans="2:26" x14ac:dyDescent="0.2">
      <c r="B7" s="274"/>
      <c r="C7" s="190" t="s">
        <v>493</v>
      </c>
      <c r="D7" s="6"/>
      <c r="E7" s="6"/>
      <c r="F7" s="6"/>
      <c r="G7" s="145"/>
      <c r="H7" s="145"/>
      <c r="I7" s="6"/>
      <c r="J7" s="6"/>
      <c r="K7" s="59"/>
      <c r="L7" s="6"/>
      <c r="M7" s="144"/>
      <c r="N7" s="193"/>
      <c r="O7" s="193"/>
      <c r="P7" s="193"/>
      <c r="Q7" s="242" t="s">
        <v>404</v>
      </c>
      <c r="R7" s="193"/>
      <c r="S7" s="193"/>
      <c r="T7" s="193"/>
      <c r="U7" s="193"/>
      <c r="V7" s="193"/>
      <c r="X7" s="193"/>
      <c r="Y7" s="193"/>
      <c r="Z7" s="193"/>
    </row>
    <row r="8" spans="2:26" x14ac:dyDescent="0.2">
      <c r="B8" s="276">
        <v>1</v>
      </c>
      <c r="C8" s="146" t="s">
        <v>405</v>
      </c>
      <c r="D8" s="6"/>
      <c r="E8" s="6"/>
      <c r="F8" s="6"/>
      <c r="G8" s="6"/>
      <c r="H8" s="6"/>
      <c r="I8" s="601" t="s">
        <v>494</v>
      </c>
      <c r="J8" s="601"/>
      <c r="K8" s="601"/>
      <c r="L8" s="601"/>
      <c r="M8" s="144"/>
      <c r="N8" s="193"/>
      <c r="O8" s="193"/>
      <c r="P8" s="259" t="s">
        <v>406</v>
      </c>
      <c r="X8" s="193"/>
      <c r="Y8" s="193"/>
      <c r="Z8" s="193"/>
    </row>
    <row r="9" spans="2:26" x14ac:dyDescent="0.2">
      <c r="B9" s="123"/>
      <c r="C9" s="6"/>
      <c r="D9" s="6"/>
      <c r="E9" s="6"/>
      <c r="F9" s="6"/>
      <c r="G9" s="6"/>
      <c r="H9" s="6"/>
      <c r="I9" s="601"/>
      <c r="J9" s="601"/>
      <c r="K9" s="601"/>
      <c r="L9" s="601"/>
      <c r="M9" s="144"/>
      <c r="N9" s="193"/>
      <c r="O9" s="193"/>
      <c r="P9" s="193"/>
      <c r="Q9" s="193"/>
      <c r="R9" s="193"/>
      <c r="S9" s="193"/>
      <c r="T9" s="193"/>
      <c r="U9" s="242"/>
      <c r="V9" s="193"/>
      <c r="W9" s="260" t="s">
        <v>0</v>
      </c>
      <c r="X9" s="193"/>
      <c r="Y9" s="193"/>
      <c r="Z9" s="193"/>
    </row>
    <row r="10" spans="2:26" x14ac:dyDescent="0.2">
      <c r="B10" s="123"/>
      <c r="C10" s="55"/>
      <c r="D10" s="6" t="s">
        <v>491</v>
      </c>
      <c r="E10" s="6"/>
      <c r="F10" s="6"/>
      <c r="G10" s="6"/>
      <c r="H10" s="6"/>
      <c r="I10" s="6"/>
      <c r="J10" s="6"/>
      <c r="K10" s="12"/>
      <c r="L10" s="6"/>
      <c r="M10" s="144"/>
      <c r="N10" s="193"/>
      <c r="O10" s="193"/>
      <c r="P10" s="204"/>
      <c r="Q10" s="261" t="s">
        <v>407</v>
      </c>
      <c r="R10" s="193"/>
      <c r="S10" s="193"/>
      <c r="T10" s="193"/>
      <c r="U10" s="261"/>
      <c r="V10" s="193"/>
      <c r="W10" s="262" t="s">
        <v>2</v>
      </c>
      <c r="X10" s="193"/>
      <c r="Y10" s="193"/>
      <c r="Z10" s="193"/>
    </row>
    <row r="11" spans="2:26" x14ac:dyDescent="0.2">
      <c r="B11" s="123"/>
      <c r="C11" s="6"/>
      <c r="D11" s="6"/>
      <c r="E11" s="6"/>
      <c r="F11" s="6"/>
      <c r="G11" s="6"/>
      <c r="H11" s="6"/>
      <c r="I11" s="6"/>
      <c r="J11" s="6"/>
      <c r="K11" s="12"/>
      <c r="L11" s="6"/>
      <c r="M11" s="144"/>
      <c r="N11" s="193"/>
      <c r="O11" s="193"/>
      <c r="P11" s="204"/>
      <c r="Q11" s="193"/>
      <c r="R11" s="193"/>
      <c r="S11" s="193"/>
      <c r="T11" s="193"/>
      <c r="U11" s="185"/>
      <c r="V11" s="193"/>
      <c r="W11" s="260"/>
      <c r="X11" s="193"/>
      <c r="Y11" s="193"/>
      <c r="Z11" s="193"/>
    </row>
    <row r="12" spans="2:26" x14ac:dyDescent="0.2">
      <c r="B12" s="123"/>
      <c r="C12" s="103">
        <f>'Traffic &amp; Accidents'!F13</f>
        <v>0</v>
      </c>
      <c r="D12" s="6" t="s">
        <v>408</v>
      </c>
      <c r="E12" s="6"/>
      <c r="F12" s="6"/>
      <c r="G12" s="6"/>
      <c r="H12" s="6"/>
      <c r="I12" s="147"/>
      <c r="J12" s="148"/>
      <c r="K12" s="599" t="s">
        <v>492</v>
      </c>
      <c r="L12" s="599"/>
      <c r="M12" s="600"/>
      <c r="N12" s="263"/>
      <c r="O12" s="193"/>
      <c r="P12" s="264">
        <v>1</v>
      </c>
      <c r="Q12" s="193" t="s">
        <v>409</v>
      </c>
      <c r="R12" s="193"/>
      <c r="S12" s="193"/>
      <c r="T12" s="193"/>
      <c r="U12" s="193"/>
      <c r="V12" s="193"/>
      <c r="W12" s="260">
        <v>25</v>
      </c>
      <c r="X12" s="193"/>
      <c r="Y12" s="193"/>
      <c r="Z12" s="193"/>
    </row>
    <row r="13" spans="2:26" x14ac:dyDescent="0.2">
      <c r="B13" s="123"/>
      <c r="C13" s="6"/>
      <c r="D13" s="6"/>
      <c r="E13" s="6"/>
      <c r="F13" s="6"/>
      <c r="G13" s="6"/>
      <c r="H13" s="6"/>
      <c r="I13" s="147"/>
      <c r="J13" s="148"/>
      <c r="K13" s="599"/>
      <c r="L13" s="599"/>
      <c r="M13" s="600"/>
      <c r="N13" s="263"/>
      <c r="O13" s="193"/>
      <c r="P13" s="264"/>
      <c r="Q13" s="193"/>
      <c r="R13" s="193" t="s">
        <v>410</v>
      </c>
      <c r="S13" s="193"/>
      <c r="T13" s="193"/>
      <c r="U13" s="185"/>
      <c r="V13" s="193"/>
      <c r="W13" s="260"/>
      <c r="X13" s="193"/>
      <c r="Y13" s="193"/>
      <c r="Z13" s="193"/>
    </row>
    <row r="14" spans="2:26" x14ac:dyDescent="0.2">
      <c r="B14" s="123"/>
      <c r="C14" s="105">
        <f>IF('Traffic &amp; Accidents'!F13=0,0,C10/C12)</f>
        <v>0</v>
      </c>
      <c r="D14" s="6" t="s">
        <v>411</v>
      </c>
      <c r="E14" s="106">
        <f>IF(C12=0,0,C14*25)</f>
        <v>0</v>
      </c>
      <c r="F14" s="6" t="s">
        <v>412</v>
      </c>
      <c r="G14" s="6"/>
      <c r="H14" s="6"/>
      <c r="I14" s="147"/>
      <c r="J14" s="148"/>
      <c r="K14" s="104"/>
      <c r="L14" s="104"/>
      <c r="M14" s="149"/>
      <c r="N14" s="263"/>
      <c r="O14" s="193"/>
      <c r="P14" s="264"/>
      <c r="Q14" s="193"/>
      <c r="R14" s="193" t="s">
        <v>413</v>
      </c>
      <c r="S14" s="193"/>
      <c r="T14" s="193"/>
      <c r="U14" s="185"/>
      <c r="V14" s="193"/>
      <c r="W14" s="260"/>
      <c r="X14" s="193"/>
      <c r="Y14" s="258"/>
      <c r="Z14" s="195"/>
    </row>
    <row r="15" spans="2:26" x14ac:dyDescent="0.2">
      <c r="B15" s="123"/>
      <c r="C15" s="108"/>
      <c r="D15" s="6"/>
      <c r="E15" s="6"/>
      <c r="F15" s="6"/>
      <c r="G15" s="6"/>
      <c r="H15" s="6"/>
      <c r="I15" s="147"/>
      <c r="J15" s="148"/>
      <c r="K15" s="104"/>
      <c r="L15" s="104"/>
      <c r="M15" s="149"/>
      <c r="N15" s="263"/>
      <c r="O15" s="193"/>
      <c r="P15" s="264"/>
      <c r="Q15" s="193"/>
      <c r="R15" s="193"/>
      <c r="S15" s="193"/>
      <c r="T15" s="193"/>
      <c r="U15" s="185"/>
      <c r="V15" s="193"/>
      <c r="W15" s="260"/>
      <c r="X15" s="193"/>
      <c r="Y15" s="258"/>
      <c r="Z15" s="265"/>
    </row>
    <row r="16" spans="2:26" x14ac:dyDescent="0.2">
      <c r="B16" s="123"/>
      <c r="C16" s="6"/>
      <c r="D16" s="6"/>
      <c r="E16" s="6"/>
      <c r="F16" s="6"/>
      <c r="G16" s="6"/>
      <c r="H16" s="6"/>
      <c r="I16" s="147"/>
      <c r="J16" s="148"/>
      <c r="K16" s="104"/>
      <c r="L16" s="104"/>
      <c r="M16" s="149"/>
      <c r="N16" s="263"/>
      <c r="O16" s="193"/>
      <c r="P16" s="264"/>
      <c r="Q16" s="193" t="s">
        <v>414</v>
      </c>
      <c r="R16" s="193"/>
      <c r="S16" s="193"/>
      <c r="T16" s="193"/>
      <c r="U16" s="185"/>
      <c r="V16" s="193"/>
      <c r="W16" s="260"/>
      <c r="X16" s="193"/>
      <c r="Y16" s="195"/>
      <c r="Z16" s="266"/>
    </row>
    <row r="17" spans="2:26" x14ac:dyDescent="0.2">
      <c r="B17" s="277">
        <v>2</v>
      </c>
      <c r="C17" s="146" t="s">
        <v>415</v>
      </c>
      <c r="D17" s="6"/>
      <c r="E17" s="6"/>
      <c r="F17" s="6"/>
      <c r="G17" s="6"/>
      <c r="H17" s="6"/>
      <c r="I17" s="147"/>
      <c r="J17" s="148"/>
      <c r="K17" s="104"/>
      <c r="L17" s="104"/>
      <c r="M17" s="149"/>
      <c r="N17" s="263"/>
      <c r="O17" s="193"/>
      <c r="P17" s="264"/>
      <c r="Q17" s="193"/>
      <c r="R17" s="193"/>
      <c r="S17" s="193"/>
      <c r="T17" s="193"/>
      <c r="U17" s="185"/>
      <c r="V17" s="193"/>
      <c r="W17" s="260"/>
      <c r="X17" s="193"/>
      <c r="Y17" s="195"/>
      <c r="Z17" s="266"/>
    </row>
    <row r="18" spans="2:26" x14ac:dyDescent="0.2">
      <c r="B18" s="123"/>
      <c r="C18" s="6"/>
      <c r="D18" s="6"/>
      <c r="E18" s="6"/>
      <c r="F18" s="6"/>
      <c r="G18" s="6"/>
      <c r="H18" s="6"/>
      <c r="I18" s="6"/>
      <c r="J18" s="6"/>
      <c r="K18" s="6"/>
      <c r="L18" s="6"/>
      <c r="M18" s="144"/>
      <c r="N18" s="193"/>
      <c r="O18" s="193"/>
      <c r="P18" s="264"/>
      <c r="Q18" s="193"/>
      <c r="R18" s="193"/>
      <c r="S18" s="193"/>
      <c r="T18" s="193"/>
      <c r="U18" s="185"/>
      <c r="V18" s="193"/>
      <c r="W18" s="260"/>
      <c r="X18" s="193"/>
      <c r="Y18" s="195"/>
      <c r="Z18" s="266"/>
    </row>
    <row r="19" spans="2:26" x14ac:dyDescent="0.2">
      <c r="B19" s="123"/>
      <c r="C19" s="54"/>
      <c r="D19" s="6" t="s">
        <v>416</v>
      </c>
      <c r="E19" s="6"/>
      <c r="F19" s="6"/>
      <c r="G19" s="6"/>
      <c r="H19" s="6"/>
      <c r="I19" s="6"/>
      <c r="J19" s="6"/>
      <c r="K19" s="6"/>
      <c r="L19" s="6"/>
      <c r="M19" s="144"/>
      <c r="N19" s="193"/>
      <c r="O19" s="193"/>
      <c r="P19" s="264">
        <v>2</v>
      </c>
      <c r="Q19" s="193" t="s">
        <v>385</v>
      </c>
      <c r="R19" s="193"/>
      <c r="S19" s="193"/>
      <c r="T19" s="193"/>
      <c r="U19" s="193"/>
      <c r="V19" s="193"/>
      <c r="W19" s="260">
        <v>5</v>
      </c>
      <c r="X19" s="193"/>
      <c r="Y19" s="258"/>
      <c r="Z19" s="258"/>
    </row>
    <row r="20" spans="2:26" x14ac:dyDescent="0.2">
      <c r="B20" s="123"/>
      <c r="C20" s="12"/>
      <c r="D20" s="6"/>
      <c r="E20" s="6"/>
      <c r="F20" s="6"/>
      <c r="G20" s="6"/>
      <c r="H20" s="6"/>
      <c r="I20" s="6"/>
      <c r="J20" s="6"/>
      <c r="K20" s="6"/>
      <c r="L20" s="6"/>
      <c r="M20" s="144"/>
      <c r="N20" s="193"/>
      <c r="O20" s="193"/>
      <c r="P20" s="264"/>
      <c r="Q20" s="193"/>
      <c r="R20" s="193" t="s">
        <v>417</v>
      </c>
      <c r="S20" s="193"/>
      <c r="T20" s="193"/>
      <c r="U20" s="185"/>
      <c r="V20" s="193"/>
      <c r="W20" s="260"/>
      <c r="X20" s="193"/>
      <c r="Y20" s="258"/>
      <c r="Z20" s="258"/>
    </row>
    <row r="21" spans="2:26" x14ac:dyDescent="0.2">
      <c r="B21" s="277">
        <v>3</v>
      </c>
      <c r="C21" s="146" t="s">
        <v>419</v>
      </c>
      <c r="D21" s="6"/>
      <c r="E21" s="6"/>
      <c r="F21" s="6"/>
      <c r="G21" s="6"/>
      <c r="H21" s="6"/>
      <c r="I21" s="6"/>
      <c r="J21" s="6"/>
      <c r="K21" s="6"/>
      <c r="L21" s="6"/>
      <c r="M21" s="144"/>
      <c r="N21" s="193"/>
      <c r="O21" s="193"/>
      <c r="P21" s="264"/>
      <c r="Q21" s="193"/>
      <c r="R21" s="193" t="s">
        <v>418</v>
      </c>
      <c r="S21" s="193"/>
      <c r="T21" s="193"/>
      <c r="U21" s="185"/>
      <c r="V21" s="193"/>
      <c r="W21" s="260"/>
      <c r="X21" s="193"/>
      <c r="Y21" s="195"/>
      <c r="Z21" s="267"/>
    </row>
    <row r="22" spans="2:26" x14ac:dyDescent="0.2">
      <c r="B22" s="255"/>
      <c r="C22" s="146"/>
      <c r="D22" s="6"/>
      <c r="E22" s="6"/>
      <c r="F22" s="6"/>
      <c r="G22" s="6"/>
      <c r="H22" s="6"/>
      <c r="I22" s="6"/>
      <c r="J22" s="6"/>
      <c r="K22" s="6"/>
      <c r="L22" s="6"/>
      <c r="M22" s="144"/>
      <c r="N22" s="193"/>
      <c r="O22" s="193"/>
      <c r="P22" s="264"/>
      <c r="Q22" s="193"/>
      <c r="R22" s="193" t="s">
        <v>420</v>
      </c>
      <c r="S22" s="193"/>
      <c r="T22" s="193"/>
      <c r="U22" s="185"/>
      <c r="V22" s="193"/>
      <c r="W22" s="260"/>
      <c r="X22" s="204"/>
      <c r="Y22" s="195"/>
      <c r="Z22" s="267"/>
    </row>
    <row r="23" spans="2:26" x14ac:dyDescent="0.2">
      <c r="B23" s="255"/>
      <c r="C23" s="146"/>
      <c r="D23" s="54"/>
      <c r="E23" s="6" t="s">
        <v>474</v>
      </c>
      <c r="F23" s="6"/>
      <c r="G23" s="6"/>
      <c r="H23" s="6"/>
      <c r="I23" s="6"/>
      <c r="J23" s="6"/>
      <c r="K23" s="6"/>
      <c r="L23" s="6"/>
      <c r="M23" s="144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2:26" x14ac:dyDescent="0.2">
      <c r="B24" s="255"/>
      <c r="C24" s="146"/>
      <c r="D24" s="103" t="e">
        <f>D23/'Traffic &amp; Accidents'!F13</f>
        <v>#DIV/0!</v>
      </c>
      <c r="E24" s="6" t="s">
        <v>422</v>
      </c>
      <c r="F24" s="6"/>
      <c r="G24" s="150" t="s">
        <v>423</v>
      </c>
      <c r="H24" s="150"/>
      <c r="I24" s="6"/>
      <c r="J24" s="6"/>
      <c r="K24" s="6"/>
      <c r="L24" s="6"/>
      <c r="M24" s="144"/>
      <c r="N24" s="193"/>
      <c r="O24" s="193"/>
      <c r="P24" s="264">
        <v>3</v>
      </c>
      <c r="Q24" s="193" t="s">
        <v>421</v>
      </c>
      <c r="R24" s="193"/>
      <c r="S24" s="193"/>
      <c r="T24" s="193"/>
      <c r="U24" s="185"/>
      <c r="V24" s="193"/>
      <c r="W24" s="260">
        <v>15</v>
      </c>
      <c r="X24" s="193"/>
      <c r="Y24" s="193"/>
      <c r="Z24" s="193"/>
    </row>
    <row r="25" spans="2:26" x14ac:dyDescent="0.2">
      <c r="B25" s="255"/>
      <c r="C25" s="146"/>
      <c r="D25" s="6"/>
      <c r="E25" s="6"/>
      <c r="F25" s="6"/>
      <c r="G25" s="6"/>
      <c r="H25" s="6"/>
      <c r="I25" s="6"/>
      <c r="J25" s="6"/>
      <c r="K25" s="6"/>
      <c r="L25" s="6"/>
      <c r="M25" s="144"/>
      <c r="N25" s="193"/>
      <c r="O25" s="193"/>
      <c r="P25" s="264"/>
      <c r="Q25" s="204" t="s">
        <v>424</v>
      </c>
      <c r="R25" s="193" t="s">
        <v>425</v>
      </c>
      <c r="S25" s="193"/>
      <c r="T25" s="193"/>
      <c r="U25" s="193"/>
      <c r="V25" s="193" t="s">
        <v>426</v>
      </c>
      <c r="W25" s="193"/>
      <c r="X25" s="193"/>
      <c r="Y25" s="193"/>
      <c r="Z25" s="193"/>
    </row>
    <row r="26" spans="2:26" x14ac:dyDescent="0.2">
      <c r="B26" s="123"/>
      <c r="C26" s="6"/>
      <c r="D26" s="27"/>
      <c r="E26" s="6"/>
      <c r="F26" s="27" t="s">
        <v>428</v>
      </c>
      <c r="G26" s="6"/>
      <c r="H26" s="6"/>
      <c r="I26" s="6" t="s">
        <v>429</v>
      </c>
      <c r="J26" s="6"/>
      <c r="K26" s="6"/>
      <c r="L26" s="6"/>
      <c r="M26" s="144"/>
      <c r="N26" s="193"/>
      <c r="O26" s="193"/>
      <c r="P26" s="264"/>
      <c r="Q26" s="193"/>
      <c r="R26" s="268" t="s">
        <v>427</v>
      </c>
      <c r="S26" s="193"/>
      <c r="T26" s="193"/>
      <c r="U26" s="193"/>
      <c r="V26" s="193"/>
      <c r="W26" s="193"/>
      <c r="X26" s="193"/>
      <c r="Y26" s="193"/>
      <c r="Z26" s="193"/>
    </row>
    <row r="27" spans="2:26" x14ac:dyDescent="0.2">
      <c r="B27" s="123"/>
      <c r="C27" s="598"/>
      <c r="D27" s="10" t="e">
        <f>IF(AND(D24&gt;1,D24&lt;5),"X","")</f>
        <v>#DIV/0!</v>
      </c>
      <c r="E27" s="42" t="s">
        <v>431</v>
      </c>
      <c r="F27" s="113" t="e">
        <f>IF(D27&lt;&gt;"",5,"")</f>
        <v>#DIV/0!</v>
      </c>
      <c r="G27" s="151" t="e">
        <f>IF(F27="","",1)</f>
        <v>#DIV/0!</v>
      </c>
      <c r="H27" s="151"/>
      <c r="I27" s="6" t="s">
        <v>432</v>
      </c>
      <c r="J27" s="6"/>
      <c r="K27" s="6"/>
      <c r="L27" s="6"/>
      <c r="M27" s="144"/>
      <c r="N27" s="193"/>
      <c r="O27" s="193"/>
      <c r="P27" s="264"/>
      <c r="Q27" s="193"/>
      <c r="R27" s="268" t="s">
        <v>430</v>
      </c>
      <c r="S27" s="193"/>
      <c r="T27" s="193"/>
      <c r="U27" s="193"/>
      <c r="V27" s="193"/>
      <c r="W27" s="260"/>
      <c r="X27" s="193"/>
      <c r="Y27" s="193"/>
      <c r="Z27" s="193"/>
    </row>
    <row r="28" spans="2:26" x14ac:dyDescent="0.2">
      <c r="B28" s="123"/>
      <c r="C28" s="598"/>
      <c r="D28" s="10" t="e">
        <f>IF(AND(D24&gt;4,D24&lt;=10),"X","")</f>
        <v>#DIV/0!</v>
      </c>
      <c r="E28" s="42" t="s">
        <v>434</v>
      </c>
      <c r="F28" s="113" t="e">
        <f>IF(D28&lt;&gt;"",10,"")</f>
        <v>#DIV/0!</v>
      </c>
      <c r="G28" s="151" t="e">
        <f>IF(F28="","",1)</f>
        <v>#DIV/0!</v>
      </c>
      <c r="H28" s="151"/>
      <c r="I28" s="54"/>
      <c r="J28" s="6"/>
      <c r="K28" s="6" t="s">
        <v>4</v>
      </c>
      <c r="L28" s="6"/>
      <c r="M28" s="144"/>
      <c r="N28" s="193"/>
      <c r="O28" s="193"/>
      <c r="P28" s="264"/>
      <c r="Q28" s="193"/>
      <c r="R28" s="268" t="s">
        <v>433</v>
      </c>
      <c r="S28" s="193"/>
      <c r="T28" s="193"/>
      <c r="U28" s="193"/>
      <c r="V28" s="185"/>
      <c r="W28" s="269"/>
      <c r="X28" s="195"/>
      <c r="Y28" s="258"/>
      <c r="Z28" s="258"/>
    </row>
    <row r="29" spans="2:26" x14ac:dyDescent="0.2">
      <c r="B29" s="123"/>
      <c r="C29" s="598"/>
      <c r="D29" s="10" t="e">
        <f>IF(D24&gt;10,"X","")</f>
        <v>#DIV/0!</v>
      </c>
      <c r="E29" s="42" t="s">
        <v>435</v>
      </c>
      <c r="F29" s="112" t="e">
        <f>IF(D29&lt;&gt;"",12,"")</f>
        <v>#DIV/0!</v>
      </c>
      <c r="G29" s="151" t="e">
        <f>IF(F29="","",1)</f>
        <v>#DIV/0!</v>
      </c>
      <c r="H29" s="151"/>
      <c r="I29" s="114"/>
      <c r="J29" s="23"/>
      <c r="K29" s="23" t="s">
        <v>425</v>
      </c>
      <c r="L29" s="6"/>
      <c r="M29" s="144"/>
      <c r="N29" s="193"/>
      <c r="O29" s="193"/>
      <c r="P29" s="264"/>
      <c r="Q29" s="193"/>
      <c r="R29" s="193"/>
      <c r="S29" s="193"/>
      <c r="T29" s="193"/>
      <c r="U29" s="193"/>
      <c r="V29" s="185"/>
      <c r="W29" s="258"/>
      <c r="X29" s="195"/>
      <c r="Y29" s="258"/>
      <c r="Z29" s="258"/>
    </row>
    <row r="30" spans="2:26" x14ac:dyDescent="0.2">
      <c r="B30" s="123"/>
      <c r="C30" s="6"/>
      <c r="D30" s="12"/>
      <c r="E30" s="6"/>
      <c r="F30" s="23" t="e">
        <f>IF(G30&gt;1,0,SUM(F27:F29))</f>
        <v>#DIV/0!</v>
      </c>
      <c r="G30" s="151" t="e">
        <f>SUM(G27:G29)</f>
        <v>#DIV/0!</v>
      </c>
      <c r="H30" s="151"/>
      <c r="I30" s="12">
        <f>IF(I28&gt;3,3,I28)</f>
        <v>0</v>
      </c>
      <c r="J30" s="6"/>
      <c r="K30" s="14">
        <f>IF('Traffic &amp; Accidents'!F13=0,0,IF(SUM(F30,I30)&gt;15,15,SUM(F30,I30)))</f>
        <v>0</v>
      </c>
      <c r="L30" s="59" t="s">
        <v>438</v>
      </c>
      <c r="M30" s="136"/>
      <c r="O30" s="193"/>
      <c r="P30" s="264"/>
      <c r="Q30" s="204" t="s">
        <v>436</v>
      </c>
      <c r="R30" s="193" t="s">
        <v>437</v>
      </c>
      <c r="S30" s="193"/>
      <c r="T30" s="193"/>
      <c r="U30" s="193"/>
      <c r="V30" s="185"/>
      <c r="W30" s="269">
        <v>5</v>
      </c>
      <c r="X30" s="195"/>
      <c r="Y30" s="258"/>
      <c r="Z30" s="258"/>
    </row>
    <row r="31" spans="2:26" x14ac:dyDescent="0.2">
      <c r="B31" s="123"/>
      <c r="C31" s="6"/>
      <c r="D31" s="6"/>
      <c r="E31" s="6"/>
      <c r="F31" s="6"/>
      <c r="G31" s="12"/>
      <c r="H31" s="12"/>
      <c r="I31" s="23"/>
      <c r="J31" s="6"/>
      <c r="K31" s="12"/>
      <c r="L31" s="23"/>
      <c r="M31" s="135"/>
      <c r="N31" s="185"/>
      <c r="O31" s="193"/>
      <c r="P31" s="264"/>
      <c r="Q31" s="193"/>
      <c r="R31" s="193"/>
      <c r="S31" s="193"/>
      <c r="T31" s="193"/>
      <c r="U31" s="193"/>
      <c r="V31" s="185"/>
      <c r="W31" s="258"/>
      <c r="X31" s="195"/>
      <c r="Y31" s="258"/>
      <c r="Z31" s="258"/>
    </row>
    <row r="32" spans="2:26" x14ac:dyDescent="0.2">
      <c r="B32" s="277">
        <v>4</v>
      </c>
      <c r="C32" s="146" t="s">
        <v>439</v>
      </c>
      <c r="D32" s="6"/>
      <c r="E32" s="6"/>
      <c r="F32" s="6"/>
      <c r="G32" s="12"/>
      <c r="H32" s="12"/>
      <c r="I32" s="23"/>
      <c r="J32" s="6"/>
      <c r="K32" s="12"/>
      <c r="L32" s="23"/>
      <c r="M32" s="135"/>
      <c r="N32" s="185"/>
      <c r="O32" s="193"/>
      <c r="P32" s="264"/>
      <c r="Q32" s="193"/>
      <c r="R32" s="193"/>
      <c r="S32" s="193"/>
      <c r="T32" s="193"/>
      <c r="U32" s="193"/>
      <c r="V32" s="193"/>
      <c r="W32" s="269"/>
      <c r="X32" s="193"/>
      <c r="Y32" s="193"/>
      <c r="Z32" s="193"/>
    </row>
    <row r="33" spans="2:26" x14ac:dyDescent="0.2">
      <c r="B33" s="255"/>
      <c r="C33" s="146"/>
      <c r="D33" s="6"/>
      <c r="E33" s="6"/>
      <c r="F33" s="6"/>
      <c r="G33" s="12"/>
      <c r="H33" s="12"/>
      <c r="I33" s="23"/>
      <c r="J33" s="6"/>
      <c r="K33" s="12"/>
      <c r="L33" s="23"/>
      <c r="M33" s="135"/>
      <c r="N33" s="185"/>
      <c r="O33" s="193"/>
      <c r="P33" s="264">
        <v>4</v>
      </c>
      <c r="Q33" s="193" t="s">
        <v>387</v>
      </c>
      <c r="R33" s="205"/>
      <c r="S33" s="185"/>
      <c r="T33" s="193"/>
      <c r="U33" s="185"/>
      <c r="V33" s="193"/>
      <c r="W33" s="260">
        <v>5</v>
      </c>
      <c r="X33" s="193"/>
      <c r="Y33" s="193"/>
      <c r="Z33" s="193"/>
    </row>
    <row r="34" spans="2:26" x14ac:dyDescent="0.2">
      <c r="B34" s="123"/>
      <c r="C34" s="54"/>
      <c r="D34" s="6" t="s">
        <v>441</v>
      </c>
      <c r="E34" s="6"/>
      <c r="F34" s="6"/>
      <c r="G34" s="12"/>
      <c r="H34" s="12"/>
      <c r="I34" s="23"/>
      <c r="J34" s="6"/>
      <c r="K34" s="12"/>
      <c r="L34" s="23"/>
      <c r="M34" s="135"/>
      <c r="N34" s="185"/>
      <c r="O34" s="193"/>
      <c r="P34" s="204"/>
      <c r="Q34" s="193"/>
      <c r="R34" s="193" t="s">
        <v>440</v>
      </c>
      <c r="S34" s="185"/>
      <c r="T34" s="193"/>
      <c r="U34" s="185"/>
      <c r="V34" s="193"/>
      <c r="W34" s="260"/>
      <c r="X34" s="193"/>
      <c r="Y34" s="258"/>
      <c r="Z34" s="258"/>
    </row>
    <row r="35" spans="2:26" x14ac:dyDescent="0.2">
      <c r="B35" s="123"/>
      <c r="C35" s="12"/>
      <c r="D35" s="6"/>
      <c r="E35" s="6"/>
      <c r="F35" s="6"/>
      <c r="G35" s="12"/>
      <c r="H35" s="12"/>
      <c r="I35" s="23"/>
      <c r="J35" s="6"/>
      <c r="K35" s="12"/>
      <c r="L35" s="23"/>
      <c r="M35" s="135"/>
      <c r="N35" s="185"/>
      <c r="O35" s="193"/>
      <c r="P35" s="204"/>
      <c r="Q35" s="193"/>
      <c r="R35" s="193" t="s">
        <v>442</v>
      </c>
      <c r="S35" s="185"/>
      <c r="T35" s="193"/>
      <c r="U35" s="185"/>
      <c r="V35" s="193"/>
      <c r="W35" s="245"/>
      <c r="X35" s="193"/>
      <c r="Y35" s="258"/>
      <c r="Z35" s="258"/>
    </row>
    <row r="36" spans="2:26" x14ac:dyDescent="0.2">
      <c r="B36" s="123"/>
      <c r="C36" s="12"/>
      <c r="D36" s="6"/>
      <c r="E36" s="6"/>
      <c r="F36" s="6"/>
      <c r="G36" s="12"/>
      <c r="H36" s="12"/>
      <c r="I36" s="23"/>
      <c r="J36" s="6"/>
      <c r="K36" s="12"/>
      <c r="L36" s="23"/>
      <c r="M36" s="135"/>
      <c r="N36" s="185"/>
      <c r="O36" s="193"/>
      <c r="P36" s="193"/>
      <c r="R36" s="193"/>
      <c r="X36" s="193"/>
      <c r="Y36" s="258"/>
      <c r="Z36" s="258"/>
    </row>
    <row r="37" spans="2:26" x14ac:dyDescent="0.2">
      <c r="B37" s="123"/>
      <c r="C37" s="190" t="s">
        <v>495</v>
      </c>
      <c r="D37" s="6"/>
      <c r="E37" s="6"/>
      <c r="F37" s="6"/>
      <c r="G37" s="6"/>
      <c r="H37" s="6"/>
      <c r="I37" s="6"/>
      <c r="J37" s="602" t="s">
        <v>496</v>
      </c>
      <c r="K37" s="602"/>
      <c r="L37" s="602"/>
      <c r="M37" s="135"/>
      <c r="N37" s="185"/>
      <c r="O37" s="193"/>
      <c r="P37" s="193"/>
      <c r="W37" s="260">
        <f>SUM(W12,W19,W24,W33)</f>
        <v>50</v>
      </c>
      <c r="X37" s="193" t="s">
        <v>443</v>
      </c>
      <c r="Y37" s="193"/>
      <c r="Z37" s="193"/>
    </row>
    <row r="38" spans="2:26" x14ac:dyDescent="0.2">
      <c r="B38" s="275"/>
      <c r="C38" s="190"/>
      <c r="D38" s="107"/>
      <c r="E38" s="107"/>
      <c r="F38" s="107"/>
      <c r="G38" s="152"/>
      <c r="H38" s="152"/>
      <c r="I38" s="6"/>
      <c r="J38" s="602"/>
      <c r="K38" s="602"/>
      <c r="L38" s="602"/>
      <c r="M38" s="153"/>
      <c r="N38" s="258"/>
      <c r="O38" s="193"/>
      <c r="P38" s="204"/>
      <c r="Q38" s="193"/>
      <c r="R38" s="193"/>
      <c r="S38" s="193"/>
      <c r="T38" s="193"/>
      <c r="U38" s="185"/>
      <c r="V38" s="193"/>
      <c r="W38" s="269"/>
      <c r="X38" s="193"/>
      <c r="Y38" s="193"/>
      <c r="Z38" s="193"/>
    </row>
    <row r="39" spans="2:26" x14ac:dyDescent="0.2">
      <c r="B39" s="254"/>
      <c r="C39" s="6"/>
      <c r="D39" s="107"/>
      <c r="E39" s="107"/>
      <c r="F39" s="272"/>
      <c r="G39" s="272"/>
      <c r="H39" s="107"/>
      <c r="I39" s="12" t="s">
        <v>445</v>
      </c>
      <c r="J39" s="59"/>
      <c r="K39" s="59"/>
      <c r="L39" s="107"/>
      <c r="M39" s="153"/>
      <c r="N39" s="258"/>
      <c r="O39" s="193"/>
      <c r="P39" s="259" t="s">
        <v>444</v>
      </c>
      <c r="Q39" s="193"/>
      <c r="R39" s="205"/>
      <c r="S39" s="185"/>
      <c r="T39" s="193"/>
      <c r="U39" s="185"/>
      <c r="V39" s="193"/>
      <c r="W39" s="260"/>
      <c r="X39" s="193"/>
      <c r="Y39" s="185"/>
      <c r="Z39" s="193"/>
    </row>
    <row r="40" spans="2:26" x14ac:dyDescent="0.2">
      <c r="B40" s="256"/>
      <c r="C40" s="154">
        <v>1</v>
      </c>
      <c r="D40" s="155" t="s">
        <v>446</v>
      </c>
      <c r="E40" s="156"/>
      <c r="F40" s="272"/>
      <c r="G40" s="272"/>
      <c r="H40" s="6"/>
      <c r="I40" s="181"/>
      <c r="J40" s="6"/>
      <c r="K40" s="77" t="str">
        <f>IF(I40&lt;&gt;0,10,"")</f>
        <v/>
      </c>
      <c r="L40" s="107"/>
      <c r="M40" s="153"/>
      <c r="N40" s="258"/>
      <c r="O40" s="193"/>
      <c r="P40" s="204"/>
      <c r="Q40" s="193"/>
      <c r="R40" s="205"/>
      <c r="S40" s="185"/>
      <c r="T40" s="193"/>
      <c r="U40" s="185"/>
      <c r="V40" s="193"/>
      <c r="W40" s="260"/>
      <c r="X40" s="193"/>
      <c r="Y40" s="193"/>
      <c r="Z40" s="193"/>
    </row>
    <row r="41" spans="2:26" x14ac:dyDescent="0.2">
      <c r="B41" s="256"/>
      <c r="C41" s="154">
        <v>2</v>
      </c>
      <c r="D41" s="155" t="s">
        <v>448</v>
      </c>
      <c r="E41" s="156"/>
      <c r="F41" s="272"/>
      <c r="G41" s="272"/>
      <c r="H41" s="6"/>
      <c r="I41" s="54"/>
      <c r="J41" s="6"/>
      <c r="K41" s="115" t="str">
        <f>IF(I41&lt;&gt;0,2,"")</f>
        <v/>
      </c>
      <c r="L41" s="6"/>
      <c r="M41" s="144"/>
      <c r="N41" s="193"/>
      <c r="O41" s="193"/>
      <c r="P41" s="264">
        <v>1</v>
      </c>
      <c r="Q41" s="193" t="s">
        <v>447</v>
      </c>
      <c r="R41" s="205"/>
      <c r="S41" s="193"/>
      <c r="T41" s="193"/>
      <c r="U41" s="185"/>
      <c r="V41" s="193"/>
      <c r="W41" s="260">
        <v>10</v>
      </c>
      <c r="X41" s="193"/>
      <c r="Y41" s="195"/>
      <c r="Z41" s="258"/>
    </row>
    <row r="42" spans="2:26" x14ac:dyDescent="0.2">
      <c r="B42" s="256"/>
      <c r="C42" s="154">
        <v>3</v>
      </c>
      <c r="D42" s="155" t="s">
        <v>450</v>
      </c>
      <c r="E42" s="156"/>
      <c r="F42" s="272"/>
      <c r="G42" s="272"/>
      <c r="H42" s="6"/>
      <c r="I42" s="54"/>
      <c r="J42" s="6"/>
      <c r="K42" s="115" t="str">
        <f>IF(I42&lt;&gt;0,4,"")</f>
        <v/>
      </c>
      <c r="L42" s="6"/>
      <c r="M42" s="144"/>
      <c r="N42" s="193"/>
      <c r="O42" s="193"/>
      <c r="P42" s="204"/>
      <c r="Q42" s="193"/>
      <c r="R42" s="193" t="s">
        <v>449</v>
      </c>
      <c r="S42" s="185"/>
      <c r="T42" s="193"/>
      <c r="U42" s="185"/>
      <c r="V42" s="193"/>
      <c r="W42" s="260"/>
      <c r="X42" s="193"/>
      <c r="Y42" s="258"/>
      <c r="Z42" s="258"/>
    </row>
    <row r="43" spans="2:26" x14ac:dyDescent="0.2">
      <c r="B43" s="256"/>
      <c r="C43" s="154">
        <v>4</v>
      </c>
      <c r="D43" s="155" t="s">
        <v>452</v>
      </c>
      <c r="E43" s="156"/>
      <c r="F43" s="272"/>
      <c r="G43" s="272"/>
      <c r="H43" s="6"/>
      <c r="I43" s="54"/>
      <c r="J43" s="6"/>
      <c r="K43" s="115" t="str">
        <f>IF(I43&lt;&gt;0,6,"")</f>
        <v/>
      </c>
      <c r="L43" s="6"/>
      <c r="M43" s="144"/>
      <c r="N43" s="193"/>
      <c r="O43" s="193"/>
      <c r="P43" s="204"/>
      <c r="Q43" s="193"/>
      <c r="R43" s="193" t="s">
        <v>451</v>
      </c>
      <c r="S43" s="193"/>
      <c r="T43" s="193"/>
      <c r="U43" s="185"/>
      <c r="V43" s="193"/>
      <c r="W43" s="260"/>
      <c r="X43" s="193"/>
      <c r="Y43" s="258"/>
      <c r="Z43" s="258"/>
    </row>
    <row r="44" spans="2:26" x14ac:dyDescent="0.2">
      <c r="B44" s="256"/>
      <c r="C44" s="154">
        <v>5</v>
      </c>
      <c r="D44" s="155" t="s">
        <v>392</v>
      </c>
      <c r="E44" s="156"/>
      <c r="F44" s="272"/>
      <c r="G44" s="272"/>
      <c r="H44" s="6"/>
      <c r="I44" s="181"/>
      <c r="J44" s="6"/>
      <c r="K44" s="115" t="str">
        <f>IF(I44&lt;&gt;0,8,"")</f>
        <v/>
      </c>
      <c r="L44" s="6"/>
      <c r="M44" s="144"/>
      <c r="N44" s="193"/>
      <c r="O44" s="193"/>
      <c r="P44" s="204"/>
      <c r="Q44" s="193"/>
      <c r="R44" s="193"/>
      <c r="S44" s="193"/>
      <c r="T44" s="193"/>
      <c r="U44" s="185"/>
      <c r="V44" s="193"/>
      <c r="W44" s="260"/>
      <c r="X44" s="193"/>
      <c r="Y44" s="258"/>
      <c r="Z44" s="258"/>
    </row>
    <row r="45" spans="2:26" x14ac:dyDescent="0.2">
      <c r="B45" s="256"/>
      <c r="C45" s="154">
        <v>6</v>
      </c>
      <c r="D45" s="155" t="s">
        <v>393</v>
      </c>
      <c r="E45" s="155"/>
      <c r="F45" s="272"/>
      <c r="G45" s="272"/>
      <c r="H45" s="6"/>
      <c r="I45" s="54"/>
      <c r="J45" s="6"/>
      <c r="K45" s="70" t="str">
        <f>IF(I45&lt;&gt;0,10,"")</f>
        <v/>
      </c>
      <c r="L45" s="6"/>
      <c r="M45" s="144"/>
      <c r="N45" s="193"/>
      <c r="O45" s="193"/>
      <c r="P45" s="264">
        <v>2</v>
      </c>
      <c r="Q45" s="270" t="s">
        <v>453</v>
      </c>
      <c r="R45" s="193"/>
      <c r="S45" s="193"/>
      <c r="T45" s="193"/>
      <c r="U45" s="185"/>
      <c r="V45" s="193"/>
      <c r="W45" s="260">
        <v>2</v>
      </c>
      <c r="X45" s="193"/>
      <c r="Y45" s="195"/>
      <c r="Z45" s="258"/>
    </row>
    <row r="46" spans="2:26" x14ac:dyDescent="0.2">
      <c r="B46" s="256"/>
      <c r="C46" s="155"/>
      <c r="D46" s="155"/>
      <c r="E46" s="155"/>
      <c r="F46" s="272"/>
      <c r="G46" s="272"/>
      <c r="H46" s="27" t="s">
        <v>454</v>
      </c>
      <c r="I46" s="30">
        <v>10</v>
      </c>
      <c r="J46" s="6"/>
      <c r="K46" s="14">
        <f>IF(SUM(K40:K45)&gt;10,10,SUM(K40:K45))</f>
        <v>0</v>
      </c>
      <c r="L46" s="59" t="s">
        <v>360</v>
      </c>
      <c r="M46" s="136"/>
      <c r="O46" s="193"/>
      <c r="P46" s="193"/>
      <c r="Q46" s="193"/>
      <c r="R46" s="193"/>
      <c r="S46" s="193"/>
      <c r="T46" s="193"/>
      <c r="U46" s="193"/>
      <c r="V46" s="193"/>
      <c r="W46" s="260"/>
      <c r="X46" s="193"/>
      <c r="Y46" s="258"/>
      <c r="Z46" s="258"/>
    </row>
    <row r="47" spans="2:26" ht="13.5" thickBot="1" x14ac:dyDescent="0.25">
      <c r="B47" s="138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57"/>
      <c r="N47" s="193"/>
      <c r="O47" s="193"/>
      <c r="P47" s="264">
        <v>3</v>
      </c>
      <c r="Q47" s="193" t="s">
        <v>455</v>
      </c>
      <c r="R47" s="193"/>
      <c r="S47" s="193"/>
      <c r="T47" s="193"/>
      <c r="U47" s="193"/>
      <c r="V47" s="193"/>
      <c r="W47" s="260">
        <v>4</v>
      </c>
      <c r="X47" s="193"/>
      <c r="Y47" s="195"/>
      <c r="Z47" s="258"/>
    </row>
    <row r="48" spans="2:26" x14ac:dyDescent="0.2"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 t="s">
        <v>456</v>
      </c>
      <c r="S48" s="193"/>
      <c r="T48" s="193"/>
      <c r="U48" s="185"/>
      <c r="V48" s="193"/>
      <c r="W48" s="260"/>
      <c r="X48" s="193"/>
      <c r="Y48" s="258"/>
      <c r="Z48" s="258"/>
    </row>
    <row r="49" spans="2:26" x14ac:dyDescent="0.2"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85"/>
      <c r="V49" s="193"/>
      <c r="W49" s="193"/>
      <c r="X49" s="193"/>
      <c r="Y49" s="258"/>
      <c r="Z49" s="258"/>
    </row>
    <row r="50" spans="2:26" x14ac:dyDescent="0.2"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264">
        <v>4</v>
      </c>
      <c r="Q50" s="193" t="s">
        <v>517</v>
      </c>
      <c r="R50" s="193"/>
      <c r="S50" s="193"/>
      <c r="T50" s="193"/>
      <c r="U50" s="193"/>
      <c r="V50" s="193"/>
      <c r="W50" s="260">
        <v>6</v>
      </c>
      <c r="X50" s="193"/>
      <c r="Y50" s="195"/>
      <c r="Z50" s="258"/>
    </row>
    <row r="51" spans="2:26" x14ac:dyDescent="0.2"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258"/>
      <c r="Z51" s="258"/>
    </row>
    <row r="52" spans="2:26" x14ac:dyDescent="0.2"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258"/>
      <c r="Z52" s="258"/>
    </row>
    <row r="53" spans="2:26" x14ac:dyDescent="0.2"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264">
        <v>5</v>
      </c>
      <c r="Q53" s="193" t="s">
        <v>457</v>
      </c>
      <c r="R53" s="193"/>
      <c r="S53" s="193"/>
      <c r="T53" s="193"/>
      <c r="U53" s="193"/>
      <c r="V53" s="193"/>
      <c r="W53" s="260">
        <v>8</v>
      </c>
      <c r="X53" s="193"/>
      <c r="Y53" s="195"/>
      <c r="Z53" s="258"/>
    </row>
    <row r="54" spans="2:26" x14ac:dyDescent="0.2"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 t="s">
        <v>458</v>
      </c>
      <c r="S54" s="193"/>
      <c r="T54" s="193"/>
      <c r="U54" s="193"/>
      <c r="V54" s="193"/>
      <c r="W54" s="193"/>
      <c r="X54" s="193"/>
      <c r="Y54" s="258"/>
      <c r="Z54" s="258"/>
    </row>
    <row r="55" spans="2:26" x14ac:dyDescent="0.2"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258"/>
      <c r="Z55" s="258"/>
    </row>
    <row r="56" spans="2:26" x14ac:dyDescent="0.2"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264">
        <v>6</v>
      </c>
      <c r="Q56" s="193" t="s">
        <v>459</v>
      </c>
      <c r="R56" s="193"/>
      <c r="S56" s="193"/>
      <c r="T56" s="193"/>
      <c r="U56" s="193"/>
      <c r="V56" s="193"/>
      <c r="W56" s="271">
        <v>10</v>
      </c>
      <c r="X56" s="193"/>
      <c r="Y56" s="195"/>
      <c r="Z56" s="258"/>
    </row>
    <row r="57" spans="2:26" x14ac:dyDescent="0.2"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258"/>
      <c r="Z57" s="258"/>
    </row>
    <row r="58" spans="2:26" x14ac:dyDescent="0.2"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204"/>
      <c r="W58" s="260">
        <f>SUM(W41:W56)</f>
        <v>40</v>
      </c>
      <c r="X58" s="193" t="s">
        <v>460</v>
      </c>
      <c r="Y58" s="258"/>
      <c r="Z58" s="258"/>
    </row>
    <row r="59" spans="2:26" x14ac:dyDescent="0.2"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2:26" x14ac:dyDescent="0.2"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</sheetData>
  <sheetProtection password="EC65" sheet="1" objects="1" scenarios="1" selectLockedCells="1"/>
  <mergeCells count="4">
    <mergeCell ref="C27:C29"/>
    <mergeCell ref="K12:M13"/>
    <mergeCell ref="I8:L9"/>
    <mergeCell ref="J37:L38"/>
  </mergeCells>
  <conditionalFormatting sqref="D27">
    <cfRule type="expression" dxfId="9" priority="1" stopIfTrue="1">
      <formula>ISERROR(D24)</formula>
    </cfRule>
  </conditionalFormatting>
  <conditionalFormatting sqref="D28">
    <cfRule type="expression" dxfId="8" priority="2" stopIfTrue="1">
      <formula>ISERROR(D24)</formula>
    </cfRule>
  </conditionalFormatting>
  <conditionalFormatting sqref="D29">
    <cfRule type="expression" dxfId="7" priority="3" stopIfTrue="1">
      <formula>ISERROR(D24)</formula>
    </cfRule>
  </conditionalFormatting>
  <conditionalFormatting sqref="F27">
    <cfRule type="expression" dxfId="6" priority="4" stopIfTrue="1">
      <formula>ISERROR(D24)</formula>
    </cfRule>
  </conditionalFormatting>
  <conditionalFormatting sqref="F28">
    <cfRule type="expression" dxfId="5" priority="5" stopIfTrue="1">
      <formula>ISERROR(D24)</formula>
    </cfRule>
  </conditionalFormatting>
  <conditionalFormatting sqref="F29">
    <cfRule type="expression" dxfId="4" priority="6" stopIfTrue="1">
      <formula>ISERROR(D24)</formula>
    </cfRule>
  </conditionalFormatting>
  <conditionalFormatting sqref="F30">
    <cfRule type="expression" dxfId="3" priority="7" stopIfTrue="1">
      <formula>ISERROR(D24)</formula>
    </cfRule>
  </conditionalFormatting>
  <conditionalFormatting sqref="K30">
    <cfRule type="expression" dxfId="2" priority="8" stopIfTrue="1">
      <formula>ISERROR(D24)</formula>
    </cfRule>
  </conditionalFormatting>
  <conditionalFormatting sqref="C14 E14">
    <cfRule type="expression" dxfId="1" priority="9" stopIfTrue="1">
      <formula>ISERROR($D$72)</formula>
    </cfRule>
  </conditionalFormatting>
  <conditionalFormatting sqref="D24">
    <cfRule type="expression" dxfId="0" priority="10" stopIfTrue="1">
      <formula>ISERROR(D24)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zoomScale="75" workbookViewId="0">
      <selection activeCell="E1" sqref="E1:I1"/>
    </sheetView>
  </sheetViews>
  <sheetFormatPr defaultRowHeight="10.5" x14ac:dyDescent="0.2"/>
  <cols>
    <col min="1" max="1" width="16.5703125" style="43" customWidth="1"/>
    <col min="2" max="2" width="15.7109375" style="43" customWidth="1"/>
    <col min="3" max="3" width="18" style="43" customWidth="1"/>
    <col min="4" max="4" width="14.5703125" style="43" customWidth="1"/>
    <col min="5" max="5" width="23" style="43" customWidth="1"/>
    <col min="6" max="6" width="7.7109375" style="43" customWidth="1"/>
    <col min="7" max="7" width="7.140625" style="43" customWidth="1"/>
    <col min="8" max="16384" width="9.140625" style="43"/>
  </cols>
  <sheetData>
    <row r="1" spans="1:9" ht="24.95" customHeight="1" x14ac:dyDescent="0.2">
      <c r="E1" s="604" t="s">
        <v>309</v>
      </c>
      <c r="F1" s="604"/>
      <c r="G1" s="604"/>
      <c r="H1" s="604"/>
      <c r="I1" s="604"/>
    </row>
    <row r="2" spans="1:9" ht="24.95" customHeight="1" thickBot="1" x14ac:dyDescent="0.25">
      <c r="A2" s="44"/>
      <c r="F2" s="603"/>
      <c r="G2" s="603"/>
      <c r="H2" s="603"/>
      <c r="I2" s="603"/>
    </row>
    <row r="3" spans="1:9" ht="35.1" customHeight="1" thickTop="1" x14ac:dyDescent="0.2">
      <c r="A3" s="605" t="s">
        <v>310</v>
      </c>
      <c r="B3" s="606"/>
      <c r="C3" s="607"/>
      <c r="D3" s="45" t="s">
        <v>311</v>
      </c>
      <c r="E3" s="46" t="s">
        <v>312</v>
      </c>
    </row>
    <row r="4" spans="1:9" ht="35.1" customHeight="1" x14ac:dyDescent="0.2">
      <c r="A4" s="614" t="s">
        <v>313</v>
      </c>
      <c r="B4" s="608" t="s">
        <v>314</v>
      </c>
      <c r="C4" s="608" t="s">
        <v>315</v>
      </c>
      <c r="D4" s="47" t="s">
        <v>316</v>
      </c>
      <c r="E4" s="48" t="s">
        <v>317</v>
      </c>
    </row>
    <row r="5" spans="1:9" ht="35.1" customHeight="1" x14ac:dyDescent="0.15">
      <c r="A5" s="615"/>
      <c r="B5" s="613"/>
      <c r="C5" s="609"/>
      <c r="D5" s="47" t="s">
        <v>318</v>
      </c>
      <c r="E5" s="48" t="s">
        <v>319</v>
      </c>
      <c r="G5" s="49" t="s">
        <v>5</v>
      </c>
    </row>
    <row r="6" spans="1:9" ht="35.1" customHeight="1" x14ac:dyDescent="0.2">
      <c r="A6" s="615"/>
      <c r="B6" s="613"/>
      <c r="C6" s="608" t="s">
        <v>320</v>
      </c>
      <c r="D6" s="47" t="s">
        <v>321</v>
      </c>
      <c r="E6" s="48" t="s">
        <v>322</v>
      </c>
    </row>
    <row r="7" spans="1:9" ht="35.1" customHeight="1" x14ac:dyDescent="0.2">
      <c r="A7" s="615"/>
      <c r="B7" s="609"/>
      <c r="C7" s="609"/>
      <c r="D7" s="47" t="s">
        <v>323</v>
      </c>
      <c r="E7" s="48" t="s">
        <v>324</v>
      </c>
    </row>
    <row r="8" spans="1:9" ht="35.1" customHeight="1" x14ac:dyDescent="0.2">
      <c r="A8" s="615"/>
      <c r="B8" s="608" t="s">
        <v>325</v>
      </c>
      <c r="C8" s="608" t="s">
        <v>326</v>
      </c>
      <c r="D8" s="47" t="s">
        <v>327</v>
      </c>
      <c r="E8" s="48" t="s">
        <v>328</v>
      </c>
    </row>
    <row r="9" spans="1:9" ht="35.1" customHeight="1" x14ac:dyDescent="0.15">
      <c r="A9" s="615"/>
      <c r="B9" s="613"/>
      <c r="C9" s="609"/>
      <c r="D9" s="47" t="s">
        <v>329</v>
      </c>
      <c r="E9" s="48" t="s">
        <v>330</v>
      </c>
      <c r="G9" s="49" t="s">
        <v>300</v>
      </c>
    </row>
    <row r="10" spans="1:9" ht="35.1" customHeight="1" x14ac:dyDescent="0.2">
      <c r="A10" s="615"/>
      <c r="B10" s="613"/>
      <c r="C10" s="608" t="s">
        <v>331</v>
      </c>
      <c r="D10" s="47" t="s">
        <v>332</v>
      </c>
      <c r="E10" s="48" t="s">
        <v>333</v>
      </c>
    </row>
    <row r="11" spans="1:9" ht="35.1" customHeight="1" x14ac:dyDescent="0.2">
      <c r="A11" s="616"/>
      <c r="B11" s="609"/>
      <c r="C11" s="609"/>
      <c r="D11" s="47" t="s">
        <v>334</v>
      </c>
      <c r="E11" s="48" t="s">
        <v>335</v>
      </c>
    </row>
    <row r="12" spans="1:9" ht="35.1" customHeight="1" x14ac:dyDescent="0.2">
      <c r="A12" s="614" t="s">
        <v>336</v>
      </c>
      <c r="B12" s="608" t="s">
        <v>337</v>
      </c>
      <c r="C12" s="608" t="s">
        <v>338</v>
      </c>
      <c r="D12" s="47" t="s">
        <v>339</v>
      </c>
      <c r="E12" s="48" t="s">
        <v>303</v>
      </c>
      <c r="F12" s="50" t="s">
        <v>303</v>
      </c>
    </row>
    <row r="13" spans="1:9" ht="35.1" customHeight="1" x14ac:dyDescent="0.2">
      <c r="A13" s="615"/>
      <c r="B13" s="613"/>
      <c r="C13" s="609"/>
      <c r="D13" s="47" t="s">
        <v>340</v>
      </c>
      <c r="E13" s="48" t="s">
        <v>301</v>
      </c>
      <c r="F13" s="50" t="s">
        <v>301</v>
      </c>
    </row>
    <row r="14" spans="1:9" ht="35.1" customHeight="1" x14ac:dyDescent="0.2">
      <c r="A14" s="615"/>
      <c r="B14" s="609"/>
      <c r="C14" s="47" t="s">
        <v>302</v>
      </c>
      <c r="D14" s="47" t="s">
        <v>341</v>
      </c>
      <c r="E14" s="48" t="s">
        <v>342</v>
      </c>
      <c r="F14" s="50" t="s">
        <v>302</v>
      </c>
    </row>
    <row r="15" spans="1:9" ht="35.1" customHeight="1" x14ac:dyDescent="0.2">
      <c r="A15" s="615"/>
      <c r="B15" s="608" t="s">
        <v>343</v>
      </c>
      <c r="C15" s="608" t="s">
        <v>338</v>
      </c>
      <c r="D15" s="47" t="s">
        <v>344</v>
      </c>
      <c r="E15" s="48" t="s">
        <v>345</v>
      </c>
      <c r="F15" s="50" t="s">
        <v>303</v>
      </c>
    </row>
    <row r="16" spans="1:9" ht="35.1" customHeight="1" x14ac:dyDescent="0.2">
      <c r="A16" s="615"/>
      <c r="B16" s="613"/>
      <c r="C16" s="609"/>
      <c r="D16" s="47" t="s">
        <v>346</v>
      </c>
      <c r="E16" s="48" t="s">
        <v>347</v>
      </c>
      <c r="F16" s="50" t="s">
        <v>301</v>
      </c>
    </row>
    <row r="17" spans="1:6" ht="35.1" customHeight="1" x14ac:dyDescent="0.2">
      <c r="A17" s="616"/>
      <c r="B17" s="609"/>
      <c r="C17" s="47" t="s">
        <v>302</v>
      </c>
      <c r="D17" s="47" t="s">
        <v>348</v>
      </c>
      <c r="E17" s="48" t="s">
        <v>349</v>
      </c>
      <c r="F17" s="50" t="s">
        <v>302</v>
      </c>
    </row>
    <row r="18" spans="1:6" ht="35.1" customHeight="1" thickBot="1" x14ac:dyDescent="0.25">
      <c r="A18" s="610" t="s">
        <v>350</v>
      </c>
      <c r="B18" s="611"/>
      <c r="C18" s="612"/>
      <c r="D18" s="51" t="s">
        <v>351</v>
      </c>
      <c r="E18" s="52" t="s">
        <v>352</v>
      </c>
      <c r="F18" s="50" t="s">
        <v>302</v>
      </c>
    </row>
    <row r="19" spans="1:6" ht="12" thickTop="1" x14ac:dyDescent="0.2">
      <c r="A19" s="53"/>
    </row>
  </sheetData>
  <sheetProtection sheet="1" objects="1" scenarios="1" selectLockedCells="1"/>
  <mergeCells count="16">
    <mergeCell ref="F2:I2"/>
    <mergeCell ref="E1:I1"/>
    <mergeCell ref="A3:C3"/>
    <mergeCell ref="C4:C5"/>
    <mergeCell ref="A18:C18"/>
    <mergeCell ref="B8:B11"/>
    <mergeCell ref="B4:B7"/>
    <mergeCell ref="B15:B17"/>
    <mergeCell ref="B12:B14"/>
    <mergeCell ref="A12:A17"/>
    <mergeCell ref="A4:A11"/>
    <mergeCell ref="C10:C11"/>
    <mergeCell ref="C12:C13"/>
    <mergeCell ref="C15:C16"/>
    <mergeCell ref="C6:C7"/>
    <mergeCell ref="C8:C9"/>
  </mergeCells>
  <phoneticPr fontId="27" type="noConversion"/>
  <pageMargins left="0.32" right="0.28000000000000003" top="1" bottom="1" header="0.5" footer="0.5"/>
  <pageSetup orientation="portrait" r:id="rId1"/>
  <headerFooter alignWithMargins="0">
    <oddHeader>&amp;CUnified Soil Classification System;
from American Society for
 Testing and Materials, 1985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6"/>
  </sheetPr>
  <dimension ref="A1:L48"/>
  <sheetViews>
    <sheetView workbookViewId="0">
      <selection activeCell="N25" sqref="N25"/>
    </sheetView>
  </sheetViews>
  <sheetFormatPr defaultRowHeight="15" x14ac:dyDescent="0.2"/>
  <cols>
    <col min="1" max="1" width="3.28515625" style="38" customWidth="1"/>
    <col min="2" max="2" width="12" style="38" customWidth="1"/>
    <col min="3" max="3" width="3.7109375" style="38" customWidth="1"/>
    <col min="4" max="4" width="4.140625" style="38" customWidth="1"/>
    <col min="5" max="11" width="9.140625" style="38"/>
    <col min="12" max="12" width="3.28515625" style="38" customWidth="1"/>
    <col min="13" max="16384" width="9.140625" style="38"/>
  </cols>
  <sheetData>
    <row r="1" spans="1:12" ht="18.75" x14ac:dyDescent="0.3">
      <c r="A1" s="617" t="s">
        <v>268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</row>
    <row r="2" spans="1:12" ht="18.75" x14ac:dyDescent="0.3">
      <c r="A2" s="617" t="s">
        <v>269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</row>
    <row r="3" spans="1:12" ht="18.75" customHeight="1" x14ac:dyDescent="0.25">
      <c r="A3" s="618" t="s">
        <v>270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</row>
    <row r="7" spans="1:12" x14ac:dyDescent="0.2">
      <c r="A7" s="38" t="s">
        <v>271</v>
      </c>
      <c r="D7" s="619"/>
      <c r="E7" s="619"/>
      <c r="F7" s="619"/>
    </row>
    <row r="8" spans="1:12" x14ac:dyDescent="0.2">
      <c r="A8" s="38" t="s">
        <v>272</v>
      </c>
      <c r="D8" s="619"/>
      <c r="E8" s="619"/>
      <c r="F8" s="619"/>
      <c r="G8" s="619"/>
      <c r="H8" s="619"/>
    </row>
    <row r="9" spans="1:12" x14ac:dyDescent="0.2">
      <c r="A9" s="38" t="s">
        <v>273</v>
      </c>
      <c r="D9" s="622"/>
      <c r="E9" s="622"/>
      <c r="F9" s="622"/>
    </row>
    <row r="13" spans="1:12" x14ac:dyDescent="0.2">
      <c r="A13" s="38" t="s">
        <v>274</v>
      </c>
    </row>
    <row r="14" spans="1:12" x14ac:dyDescent="0.2">
      <c r="A14" s="38" t="s">
        <v>275</v>
      </c>
      <c r="E14" s="623"/>
      <c r="F14" s="623"/>
      <c r="G14" s="38" t="s">
        <v>276</v>
      </c>
    </row>
    <row r="15" spans="1:12" x14ac:dyDescent="0.2">
      <c r="A15" s="38" t="s">
        <v>277</v>
      </c>
    </row>
    <row r="17" spans="1:2" x14ac:dyDescent="0.2">
      <c r="A17" s="38" t="s">
        <v>278</v>
      </c>
    </row>
    <row r="18" spans="1:2" x14ac:dyDescent="0.2">
      <c r="A18" s="38" t="s">
        <v>279</v>
      </c>
    </row>
    <row r="20" spans="1:2" x14ac:dyDescent="0.2">
      <c r="B20" s="38" t="s">
        <v>280</v>
      </c>
    </row>
    <row r="21" spans="1:2" x14ac:dyDescent="0.2">
      <c r="B21" s="38" t="s">
        <v>281</v>
      </c>
    </row>
    <row r="22" spans="1:2" x14ac:dyDescent="0.2">
      <c r="B22" s="38" t="s">
        <v>282</v>
      </c>
    </row>
    <row r="23" spans="1:2" x14ac:dyDescent="0.2">
      <c r="B23" s="38" t="s">
        <v>283</v>
      </c>
    </row>
    <row r="24" spans="1:2" x14ac:dyDescent="0.2">
      <c r="B24" s="38" t="s">
        <v>284</v>
      </c>
    </row>
    <row r="25" spans="1:2" x14ac:dyDescent="0.2">
      <c r="B25" s="38" t="s">
        <v>285</v>
      </c>
    </row>
    <row r="27" spans="1:2" x14ac:dyDescent="0.2">
      <c r="A27" s="38" t="s">
        <v>286</v>
      </c>
    </row>
    <row r="29" spans="1:2" x14ac:dyDescent="0.2">
      <c r="B29" s="38" t="s">
        <v>287</v>
      </c>
    </row>
    <row r="30" spans="1:2" x14ac:dyDescent="0.2">
      <c r="B30" s="38" t="s">
        <v>288</v>
      </c>
    </row>
    <row r="31" spans="1:2" x14ac:dyDescent="0.2">
      <c r="B31" s="38" t="s">
        <v>289</v>
      </c>
    </row>
    <row r="32" spans="1:2" x14ac:dyDescent="0.2">
      <c r="B32" s="38" t="s">
        <v>290</v>
      </c>
    </row>
    <row r="33" spans="1:12" x14ac:dyDescent="0.2">
      <c r="B33" s="38" t="s">
        <v>291</v>
      </c>
    </row>
    <row r="34" spans="1:12" x14ac:dyDescent="0.2">
      <c r="B34" s="38" t="s">
        <v>292</v>
      </c>
    </row>
    <row r="35" spans="1:12" x14ac:dyDescent="0.2">
      <c r="B35" s="38" t="s">
        <v>293</v>
      </c>
    </row>
    <row r="37" spans="1:12" x14ac:dyDescent="0.2">
      <c r="A37" s="39" t="s">
        <v>294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x14ac:dyDescent="0.2">
      <c r="A38" s="39" t="s">
        <v>295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">
      <c r="A39" s="39" t="s">
        <v>296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4" spans="1:12" x14ac:dyDescent="0.2">
      <c r="A44" s="623"/>
      <c r="B44" s="623"/>
      <c r="C44" s="623"/>
      <c r="D44" s="623"/>
      <c r="E44" s="623"/>
      <c r="H44" s="624"/>
      <c r="I44" s="624"/>
    </row>
    <row r="45" spans="1:12" x14ac:dyDescent="0.2">
      <c r="A45" s="620" t="s">
        <v>297</v>
      </c>
      <c r="B45" s="620"/>
      <c r="C45" s="620"/>
      <c r="D45" s="620"/>
      <c r="E45" s="620"/>
      <c r="H45" s="621" t="s">
        <v>298</v>
      </c>
      <c r="I45" s="621"/>
    </row>
    <row r="47" spans="1:12" x14ac:dyDescent="0.2">
      <c r="A47" s="41" t="s">
        <v>299</v>
      </c>
      <c r="B47" s="41"/>
    </row>
    <row r="48" spans="1:12" x14ac:dyDescent="0.2">
      <c r="A48" s="41"/>
      <c r="B48" s="41"/>
    </row>
  </sheetData>
  <mergeCells count="11">
    <mergeCell ref="A1:L1"/>
    <mergeCell ref="A2:L2"/>
    <mergeCell ref="A3:L3"/>
    <mergeCell ref="D7:F7"/>
    <mergeCell ref="A45:E45"/>
    <mergeCell ref="H45:I45"/>
    <mergeCell ref="D8:H8"/>
    <mergeCell ref="D9:F9"/>
    <mergeCell ref="E14:F14"/>
    <mergeCell ref="A44:E44"/>
    <mergeCell ref="H44:I44"/>
  </mergeCells>
  <phoneticPr fontId="27" type="noConversion"/>
  <pageMargins left="0.75" right="0.75" top="0.65" bottom="0.7" header="0.32" footer="0.3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3R INPUT</vt:lpstr>
      <vt:lpstr>Traffic &amp; Accidents</vt:lpstr>
      <vt:lpstr>Structure</vt:lpstr>
      <vt:lpstr>Geometry</vt:lpstr>
      <vt:lpstr>3R Safety Checklist</vt:lpstr>
      <vt:lpstr>USCS</vt:lpstr>
      <vt:lpstr>Engr's 3R letter</vt:lpstr>
      <vt:lpstr>'3R Safety Checklist'!Print_Area</vt:lpstr>
      <vt:lpstr>Structure!Print_Area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2020-02-19T23:17:27Z</cp:lastPrinted>
  <dcterms:created xsi:type="dcterms:W3CDTF">2001-08-02T21:00:18Z</dcterms:created>
  <dcterms:modified xsi:type="dcterms:W3CDTF">2022-06-21T21:12:52Z</dcterms:modified>
</cp:coreProperties>
</file>