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E/"/>
    </mc:Choice>
  </mc:AlternateContent>
  <xr:revisionPtr revIDLastSave="0" documentId="11_812CE73AE3D6B9A7C40A30EB06D3DB4C4408440F" xr6:coauthVersionLast="47" xr6:coauthVersionMax="47" xr10:uidLastSave="{00000000-0000-0000-0000-000000000000}"/>
  <bookViews>
    <workbookView xWindow="28680" yWindow="-120" windowWidth="29040" windowHeight="15840" tabRatio="659" xr2:uid="{00000000-000D-0000-FFFF-FFFF00000000}"/>
  </bookViews>
  <sheets>
    <sheet name="2R Summary" sheetId="7" r:id="rId1"/>
    <sheet name="Traffic &amp; Accidents" sheetId="11" r:id="rId2"/>
    <sheet name="Structure" sheetId="12" r:id="rId3"/>
    <sheet name="Geometry" sheetId="13" r:id="rId4"/>
    <sheet name="2R Safety" sheetId="14" r:id="rId5"/>
  </sheets>
  <definedNames>
    <definedName name="_xlnm.Print_Area" localSheetId="0">'2R Summary'!$B$3:$L$59</definedName>
    <definedName name="_xlnm.Print_Area" localSheetId="3">Geometry!$B$4:$L$19</definedName>
    <definedName name="_xlnm.Print_Area" localSheetId="2">Structure!$B$3:$L$10,Structure!$B$15:$L$69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7" l="1"/>
  <c r="F15" i="14"/>
  <c r="G31" i="14"/>
  <c r="G30" i="14"/>
  <c r="G29" i="14"/>
  <c r="K69" i="12" l="1"/>
  <c r="K47" i="7" l="1"/>
  <c r="X37" i="14"/>
  <c r="J32" i="14"/>
  <c r="E26" i="14"/>
  <c r="E29" i="14" s="1"/>
  <c r="H29" i="14" s="1"/>
  <c r="D13" i="14"/>
  <c r="J40" i="13"/>
  <c r="J39" i="13"/>
  <c r="J38" i="13"/>
  <c r="E39" i="13"/>
  <c r="B30" i="13"/>
  <c r="B28" i="13"/>
  <c r="C17" i="13"/>
  <c r="K37" i="7" s="1"/>
  <c r="G8" i="12"/>
  <c r="E8" i="12"/>
  <c r="G25" i="11"/>
  <c r="O39" i="11" s="1"/>
  <c r="J25" i="11"/>
  <c r="D47" i="11"/>
  <c r="D46" i="11" s="1"/>
  <c r="D45" i="11" s="1"/>
  <c r="E49" i="11"/>
  <c r="E53" i="11" s="1"/>
  <c r="G49" i="11"/>
  <c r="G53" i="11" s="1"/>
  <c r="I49" i="11"/>
  <c r="I53" i="11" s="1"/>
  <c r="K22" i="7"/>
  <c r="K27" i="7"/>
  <c r="K32" i="7" s="1"/>
  <c r="H38" i="7"/>
  <c r="H18" i="7"/>
  <c r="K49" i="7"/>
  <c r="D15" i="14" l="1"/>
  <c r="O40" i="13"/>
  <c r="N40" i="13" s="1"/>
  <c r="M40" i="13" s="1"/>
  <c r="M39" i="13" s="1"/>
  <c r="M38" i="13" s="1"/>
  <c r="M42" i="13" s="1"/>
  <c r="I66" i="11"/>
  <c r="H53" i="7"/>
  <c r="E30" i="14"/>
  <c r="H30" i="14" s="1"/>
  <c r="E31" i="14"/>
  <c r="O39" i="13"/>
  <c r="N39" i="13" s="1"/>
  <c r="O38" i="13"/>
  <c r="N38" i="13" s="1"/>
  <c r="I30" i="13"/>
  <c r="I29" i="13" s="1"/>
  <c r="K36" i="7" s="1"/>
  <c r="K53" i="11"/>
  <c r="P39" i="11"/>
  <c r="P38" i="11" s="1"/>
  <c r="P37" i="11" s="1"/>
  <c r="P36" i="11" s="1"/>
  <c r="P35" i="11" s="1"/>
  <c r="P34" i="11" s="1"/>
  <c r="P33" i="11" s="1"/>
  <c r="P32" i="11" s="1"/>
  <c r="P31" i="11" s="1"/>
  <c r="P30" i="11" s="1"/>
  <c r="O38" i="11"/>
  <c r="O37" i="11" s="1"/>
  <c r="O36" i="11" s="1"/>
  <c r="O35" i="11" s="1"/>
  <c r="O34" i="11" s="1"/>
  <c r="O33" i="11" s="1"/>
  <c r="O32" i="11" s="1"/>
  <c r="O31" i="11" s="1"/>
  <c r="O30" i="11" s="1"/>
  <c r="L36" i="11" l="1"/>
  <c r="K15" i="7" s="1"/>
  <c r="H31" i="14"/>
  <c r="H32" i="14" s="1"/>
  <c r="G32" i="14" s="1"/>
  <c r="D40" i="13"/>
  <c r="D39" i="13" s="1"/>
  <c r="C40" i="13" s="1"/>
  <c r="C39" i="13" s="1"/>
  <c r="B40" i="13" s="1"/>
  <c r="B39" i="13" s="1"/>
  <c r="B33" i="13" s="1"/>
  <c r="G29" i="13" s="1"/>
  <c r="K66" i="11"/>
  <c r="K69" i="11" s="1"/>
  <c r="H66" i="11"/>
  <c r="L32" i="14" l="1"/>
  <c r="K48" i="7" s="1"/>
  <c r="K50" i="7" s="1"/>
  <c r="K17" i="7"/>
  <c r="J15" i="13"/>
  <c r="K38" i="7"/>
  <c r="K18" i="7" l="1"/>
  <c r="K53" i="7" s="1"/>
</calcChain>
</file>

<file path=xl/sharedStrings.xml><?xml version="1.0" encoding="utf-8"?>
<sst xmlns="http://schemas.openxmlformats.org/spreadsheetml/2006/main" count="290" uniqueCount="239">
  <si>
    <t>Possible</t>
  </si>
  <si>
    <t xml:space="preserve">                                                                      </t>
  </si>
  <si>
    <t>Points</t>
  </si>
  <si>
    <t xml:space="preserve"> </t>
  </si>
  <si>
    <t>Subtotal</t>
  </si>
  <si>
    <t>Surface Condition</t>
  </si>
  <si>
    <t>Drainage</t>
  </si>
  <si>
    <t>Subsurface Condition</t>
  </si>
  <si>
    <t>LOCAL SIGNIFICANCE</t>
  </si>
  <si>
    <t>Horizontal Alignment</t>
  </si>
  <si>
    <t>Calculation Table</t>
  </si>
  <si>
    <t>AADT =</t>
  </si>
  <si>
    <t>TRUCK AADT =</t>
  </si>
  <si>
    <t>CALC</t>
  </si>
  <si>
    <t xml:space="preserve">Note: Use the larger of AADT or Truck AADT.  All traffic data  </t>
  </si>
  <si>
    <t>AADT</t>
  </si>
  <si>
    <t>TRUCK AADT</t>
  </si>
  <si>
    <t xml:space="preserve">   shall be adjusted to reflect average annual daily traffic (AADT).</t>
  </si>
  <si>
    <t>POINTS</t>
  </si>
  <si>
    <t xml:space="preserve">                                                                         </t>
  </si>
  <si>
    <t>1-100</t>
  </si>
  <si>
    <t>101-200</t>
  </si>
  <si>
    <t>201-300</t>
  </si>
  <si>
    <t>301-450</t>
  </si>
  <si>
    <t>451-600</t>
  </si>
  <si>
    <t>601-750</t>
  </si>
  <si>
    <t>Trk AADT</t>
  </si>
  <si>
    <t>1-10</t>
  </si>
  <si>
    <t>11-20</t>
  </si>
  <si>
    <t>21-30</t>
  </si>
  <si>
    <t>31-45</t>
  </si>
  <si>
    <t>46-60</t>
  </si>
  <si>
    <t>61-75</t>
  </si>
  <si>
    <t>TRAFFIC VOLUME SUBTOTAL</t>
  </si>
  <si>
    <t xml:space="preserve">                      </t>
  </si>
  <si>
    <t>(Reported and Substantiated Unreported Accidents)</t>
  </si>
  <si>
    <t>(Indicate number of accidents, not number of fatalities, injuries or property damages)</t>
  </si>
  <si>
    <t>Year</t>
  </si>
  <si>
    <t>Prop. Damage</t>
  </si>
  <si>
    <t>Injury</t>
  </si>
  <si>
    <t xml:space="preserve">Fatality </t>
  </si>
  <si>
    <t>No. of accidents</t>
  </si>
  <si>
    <t xml:space="preserve">                                          </t>
  </si>
  <si>
    <t xml:space="preserve">    Subtotal</t>
  </si>
  <si>
    <t>Factor</t>
  </si>
  <si>
    <t>x3</t>
  </si>
  <si>
    <t xml:space="preserve">                                                     </t>
  </si>
  <si>
    <t>=</t>
  </si>
  <si>
    <t>+</t>
  </si>
  <si>
    <t>Total</t>
  </si>
  <si>
    <t>Accident Rate = Total(From Above) / AADT</t>
  </si>
  <si>
    <t>RATE</t>
  </si>
  <si>
    <t xml:space="preserve">  </t>
  </si>
  <si>
    <t>POINTS-ROADS</t>
  </si>
  <si>
    <t xml:space="preserve">ACCIDENT RATE = </t>
  </si>
  <si>
    <t>TOTAL (From Above)/AADT, =</t>
  </si>
  <si>
    <t>TOTAL TRAFFIC ACCIDENT RATING</t>
  </si>
  <si>
    <t>(Page to be filled out by RAP Engineer)</t>
  </si>
  <si>
    <t>(Intermediate values on scales are acceptable)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</si>
  <si>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</si>
  <si>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</si>
  <si>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</si>
  <si>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</si>
  <si>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</si>
  <si>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 xml:space="preserve"> slick or porous areas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</si>
  <si>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</si>
  <si>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</si>
  <si>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</si>
  <si>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</si>
  <si>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</si>
  <si>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</si>
  <si>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</si>
  <si>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</si>
  <si>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</si>
  <si>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</si>
  <si>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</si>
  <si>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</si>
  <si>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</si>
  <si>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</si>
  <si>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</si>
  <si>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</si>
  <si>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*  Intermediate values are acceptable</t>
  </si>
  <si>
    <t xml:space="preserve">No signs of displacement or settling                   </t>
  </si>
  <si>
    <t xml:space="preserve">Minor localized sags along shoulder                    </t>
  </si>
  <si>
    <t xml:space="preserve">Moderate alligator cracking mid lane, some sags on </t>
  </si>
  <si>
    <t xml:space="preserve">     shoulders and  mid lane, minor localized settling</t>
  </si>
  <si>
    <t xml:space="preserve">Large areas of heavy alligator cracking, </t>
  </si>
  <si>
    <t xml:space="preserve">     extensive sagging and settling.</t>
  </si>
  <si>
    <t>Very Poor</t>
  </si>
  <si>
    <t xml:space="preserve">Major subgrade deterioration;  extensive deep sags and  </t>
  </si>
  <si>
    <t xml:space="preserve">     settling;  heavy alligator cracking throughout section.</t>
  </si>
  <si>
    <t>Structural Condition - Paved Only</t>
  </si>
  <si>
    <t>&gt; 2000</t>
  </si>
  <si>
    <t>Terrain</t>
  </si>
  <si>
    <t>Minimum Des. Speed Calc. Table</t>
  </si>
  <si>
    <t>Flat</t>
  </si>
  <si>
    <t>Rolling</t>
  </si>
  <si>
    <t>Mountainous</t>
  </si>
  <si>
    <t>Minimum Design Speed</t>
  </si>
  <si>
    <t>FATAL ACCIDENTS</t>
  </si>
  <si>
    <t>TRUCK ADT</t>
  </si>
  <si>
    <t>P.D. ONLY ACCIDENTS</t>
  </si>
  <si>
    <t>Points:</t>
  </si>
  <si>
    <t>ADT</t>
  </si>
  <si>
    <t>from CRAB</t>
  </si>
  <si>
    <t>STRUCTURAL CONDITION:</t>
  </si>
  <si>
    <t>Surfaced</t>
  </si>
  <si>
    <t>Visual</t>
  </si>
  <si>
    <t>to 1/100s</t>
  </si>
  <si>
    <t>VOLUME:</t>
  </si>
  <si>
    <t>ACCIDENTS</t>
  </si>
  <si>
    <t>COUNTY</t>
  </si>
  <si>
    <t>PROJECT NAME</t>
  </si>
  <si>
    <t>INJURY, NON FATAL ACCIDENTS</t>
  </si>
  <si>
    <t>COLLECTORS</t>
  </si>
  <si>
    <t>&lt; 400</t>
  </si>
  <si>
    <t>400 - 1500</t>
  </si>
  <si>
    <t>1500 - 2000</t>
  </si>
  <si>
    <t xml:space="preserve">     Cannot be greater than:</t>
  </si>
  <si>
    <t>PROJECT LENGTH, MI.</t>
  </si>
  <si>
    <t>Scored</t>
  </si>
  <si>
    <t>TRAFFIC:</t>
  </si>
  <si>
    <t>TRAFFIC VOLUME</t>
  </si>
  <si>
    <t>TRAFFIC ACCIDENTS</t>
  </si>
  <si>
    <t>1. VISUAL:</t>
  </si>
  <si>
    <t>GEOMETRY:</t>
  </si>
  <si>
    <t>Roadside Safety - Reduce Roadside Hazards</t>
  </si>
  <si>
    <t>Remove Structures and Obstructions</t>
  </si>
  <si>
    <t>NOTES:</t>
  </si>
  <si>
    <t xml:space="preserve">   2.  No points are allowed for conditions which are not going to be improved by the proposed project.</t>
  </si>
  <si>
    <t>Rate only fot those conditions that will be improved to standard</t>
  </si>
  <si>
    <t>Reduce Roadside Hazards</t>
  </si>
  <si>
    <t>Condition:</t>
  </si>
  <si>
    <t>Project length</t>
  </si>
  <si>
    <t>X 25 pts =</t>
  </si>
  <si>
    <t>points</t>
  </si>
  <si>
    <t>Calculated as % project length treated X 25 pts</t>
  </si>
  <si>
    <t>Attach Inventory Sheet</t>
  </si>
  <si>
    <t>a)</t>
  </si>
  <si>
    <t>Structures and Obstructions</t>
  </si>
  <si>
    <t>trees, stumps &gt; 1.5 ft above ground level,</t>
  </si>
  <si>
    <t>Subtotals:</t>
  </si>
  <si>
    <t>Number of</t>
  </si>
  <si>
    <t xml:space="preserve">houses, concrete structures, </t>
  </si>
  <si>
    <t>1 - 4 / mile</t>
  </si>
  <si>
    <t>Mail Boxes</t>
  </si>
  <si>
    <t>5 - 10 / mile</t>
  </si>
  <si>
    <t>&gt; 10 / mile</t>
  </si>
  <si>
    <t>b)</t>
  </si>
  <si>
    <t>No. Acc.</t>
  </si>
  <si>
    <t xml:space="preserve">2. DRAINAGE (5 pts Max)  </t>
  </si>
  <si>
    <t>Widening:</t>
  </si>
  <si>
    <r>
      <t xml:space="preserve">Good/Adequate = </t>
    </r>
    <r>
      <rPr>
        <b/>
        <sz val="10"/>
        <color indexed="10"/>
        <rFont val="MS Sans Serif"/>
        <family val="2"/>
      </rPr>
      <t>0</t>
    </r>
  </si>
  <si>
    <r>
      <t xml:space="preserve">   Fair = </t>
    </r>
    <r>
      <rPr>
        <b/>
        <sz val="10"/>
        <color indexed="10"/>
        <rFont val="MS Sans Serif"/>
        <family val="2"/>
      </rPr>
      <t>3</t>
    </r>
  </si>
  <si>
    <r>
      <t xml:space="preserve">Poor = </t>
    </r>
    <r>
      <rPr>
        <b/>
        <sz val="10"/>
        <color indexed="10"/>
        <rFont val="MS Sans Serif"/>
        <family val="2"/>
      </rPr>
      <t>5</t>
    </r>
  </si>
  <si>
    <t>x6</t>
  </si>
  <si>
    <t>x15</t>
  </si>
  <si>
    <t>Subsurface</t>
  </si>
  <si>
    <t>Guardrail end treatments</t>
  </si>
  <si>
    <t>for new Guardrail end treatments.</t>
  </si>
  <si>
    <t>non - breakaway sign support on</t>
  </si>
  <si>
    <t>outside edge of curves.</t>
  </si>
  <si>
    <t>TOTAL SE 2R RAP WORKSHEET RATING:</t>
  </si>
  <si>
    <t>Superelevation Corrections</t>
  </si>
  <si>
    <t>Correct superelevation on curves</t>
  </si>
  <si>
    <t>with prelevel.</t>
  </si>
  <si>
    <t>condition corrected to at least crown superelevation.</t>
  </si>
  <si>
    <t>Install or Upgrade Guardrail</t>
  </si>
  <si>
    <t>1. SURFACE CONDITION (25 Points Max.)</t>
  </si>
  <si>
    <t>2R CHECKLIST:</t>
  </si>
  <si>
    <t>(30 points max.)</t>
  </si>
  <si>
    <t>Guardrail End Treatments (10)</t>
  </si>
  <si>
    <t>(Must upgrade both end terminals on each segment.)</t>
  </si>
  <si>
    <t>2 pt. for each guardrail section, up to 10 points</t>
  </si>
  <si>
    <t>Remove or protect structure and obstuction.</t>
  </si>
  <si>
    <t>Relocate or protect Other objects.</t>
  </si>
  <si>
    <t>Relocate Other objects (5)</t>
  </si>
  <si>
    <t>Remove or protect Structure and Obstructions (15)</t>
  </si>
  <si>
    <t>No. of objects to be relocated 4 ft beyond back of ditch or outside of clear zone</t>
  </si>
  <si>
    <t>Paved Traveled Way Width</t>
  </si>
  <si>
    <t>Widen Traveled Way</t>
  </si>
  <si>
    <t>to Standard Width</t>
  </si>
  <si>
    <t>20, 22 or 24 feet</t>
  </si>
  <si>
    <t>30 pts allowed</t>
  </si>
  <si>
    <t>1 point for each brokenback or adverse superelevation</t>
  </si>
  <si>
    <t>Attach Roadside Hazard and Curve Superelevation Review</t>
  </si>
  <si>
    <t>Objects per mile</t>
  </si>
  <si>
    <t>750 - 1000</t>
  </si>
  <si>
    <t>1001 - 1500</t>
  </si>
  <si>
    <t>1501 - 2000</t>
  </si>
  <si>
    <t>&gt;2000</t>
  </si>
  <si>
    <t>101 - 150</t>
  </si>
  <si>
    <t>151 - 200</t>
  </si>
  <si>
    <t>&gt;200</t>
  </si>
  <si>
    <t>TRAFFIC ACCIDENTS (5 Points Max.)</t>
  </si>
  <si>
    <t>3. SUBSURFACE CONDITION (5 pts Max)</t>
  </si>
  <si>
    <t>PAVED TRAVELED WAY WIDTH</t>
  </si>
  <si>
    <t>Existing Traveled Way Width</t>
  </si>
  <si>
    <t>Proposed Traveled Way Width</t>
  </si>
  <si>
    <t>TERRAIN:</t>
  </si>
  <si>
    <t>(check one)</t>
  </si>
  <si>
    <t>DESIGN PAVEMENT WIDTH CALCULATION</t>
  </si>
  <si>
    <t>DESIGN PAVEMENT WIDTH</t>
  </si>
  <si>
    <t>TRAVELLED WAY WIDENING:</t>
  </si>
  <si>
    <t>76 - 100</t>
  </si>
  <si>
    <t>Check if this is your one Local Significant Route this RAP Cycle</t>
  </si>
  <si>
    <t xml:space="preserve"> SUPERELEVATION ADJUSTMENT: max 5</t>
  </si>
  <si>
    <t>LOCAL SIGNIFICANCE (20)</t>
  </si>
  <si>
    <r>
      <t xml:space="preserve">Number of </t>
    </r>
    <r>
      <rPr>
        <sz val="10"/>
        <rFont val="MS Sans Serif"/>
      </rPr>
      <t xml:space="preserve">objects that are </t>
    </r>
    <r>
      <rPr>
        <b/>
        <sz val="10"/>
        <rFont val="MS Sans Serif"/>
        <family val="2"/>
      </rPr>
      <t>"Roadside Hazards"</t>
    </r>
    <r>
      <rPr>
        <sz val="10"/>
        <rFont val="MS Sans Serif"/>
        <family val="2"/>
      </rPr>
      <t xml:space="preserve"> - see instructions - Right</t>
    </r>
  </si>
  <si>
    <t>TRAFFIC VOLUME (17 Points Max.)</t>
  </si>
  <si>
    <t>SE 2R</t>
  </si>
  <si>
    <r>
      <t>STRUCTURAL CONDITION   ASPHALT (</t>
    </r>
    <r>
      <rPr>
        <sz val="10"/>
        <color indexed="10"/>
        <rFont val="MS Sans Serif"/>
        <family val="2"/>
      </rPr>
      <t>35</t>
    </r>
    <r>
      <rPr>
        <sz val="10"/>
        <rFont val="MS Sans Serif"/>
        <family val="2"/>
      </rPr>
      <t xml:space="preserve"> Points Max.)</t>
    </r>
  </si>
  <si>
    <t>TRAFFIC RATING</t>
  </si>
  <si>
    <t>STRUCTURAL RATING (35 Max)</t>
  </si>
  <si>
    <r>
      <rPr>
        <b/>
        <sz val="8"/>
        <rFont val="MS Sans Serif"/>
        <family val="2"/>
      </rPr>
      <t>Existing</t>
    </r>
    <r>
      <rPr>
        <sz val="8"/>
        <rFont val="MS Sans Serif"/>
        <family val="2"/>
      </rPr>
      <t xml:space="preserve"> Paved Travelled Way (Lanes) Width</t>
    </r>
  </si>
  <si>
    <r>
      <rPr>
        <b/>
        <sz val="8"/>
        <rFont val="MS Sans Serif"/>
        <family val="2"/>
      </rPr>
      <t>Proposed</t>
    </r>
    <r>
      <rPr>
        <sz val="8"/>
        <rFont val="MS Sans Serif"/>
        <family val="2"/>
      </rPr>
      <t xml:space="preserve"> Paved Travelled Way (Lanes) Width</t>
    </r>
  </si>
  <si>
    <t>Don't measure shoulders</t>
  </si>
  <si>
    <t>2R Safety Checklist:</t>
  </si>
  <si>
    <t xml:space="preserve"> Must upgrade both end terminals (if double ended) on each segment.)</t>
  </si>
  <si>
    <t>2R Safety Checklist Instructions</t>
  </si>
  <si>
    <t>Guardrail (25)</t>
  </si>
  <si>
    <r>
      <t>Length of new or upgraded guardrail runs, in miles</t>
    </r>
    <r>
      <rPr>
        <b/>
        <sz val="10"/>
        <color rgb="FFC00000"/>
        <rFont val="MS Sans Serif"/>
      </rPr>
      <t>.</t>
    </r>
  </si>
  <si>
    <t>Count existing guardrail segments for which only guardrail terminals will be upgraded.</t>
  </si>
  <si>
    <t>15 Max.</t>
  </si>
  <si>
    <r>
      <t xml:space="preserve">A. Roadside Safety - Reduce Roadside Hazards (30 pts) - </t>
    </r>
    <r>
      <rPr>
        <b/>
        <sz val="10"/>
        <color indexed="10"/>
        <rFont val="MS Sans Serif"/>
        <family val="2"/>
      </rPr>
      <t>Attach Hazard Review Documentation</t>
    </r>
  </si>
  <si>
    <t>2R RATING SUMMARY</t>
  </si>
  <si>
    <t>RAP 2R project</t>
  </si>
  <si>
    <t>SE REGION</t>
  </si>
  <si>
    <t xml:space="preserve">   1.  Points for Visual Rating portion of the STRUCTURAL RATING are assigned by CRAB staff.</t>
  </si>
  <si>
    <t>Number of Curves</t>
  </si>
  <si>
    <t>Guardrail</t>
  </si>
  <si>
    <t>Mailboxes</t>
  </si>
  <si>
    <t>Relocate other objects.</t>
  </si>
  <si>
    <t>was X 100</t>
  </si>
  <si>
    <t>changed to 50</t>
  </si>
  <si>
    <t>If forested, count every 100 ft as 1 object</t>
  </si>
  <si>
    <t>GEOMETRY RATING:  (15)</t>
  </si>
  <si>
    <t>Use the last five
full years' reports</t>
  </si>
  <si>
    <r>
      <t xml:space="preserve">Indicate </t>
    </r>
    <r>
      <rPr>
        <b/>
        <sz val="10"/>
        <color rgb="FF0070C0"/>
        <rFont val="MS Sans Serif"/>
      </rPr>
      <t>Number of Horizontal Curves</t>
    </r>
    <r>
      <rPr>
        <sz val="10"/>
        <rFont val="MS Sans Serif"/>
      </rPr>
      <t xml:space="preserve"> to be adjusted to increase the design superelevation.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</si>
</sst>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0.0"/>
    <numFmt numFmtId="166" formatCode="[$-409]mmmm\ d\,\ yyyy;@"/>
  </numFmts>
  <fonts count="46" x14ac:knownFonts="1">
    <font>
      <sz val="10"/>
      <name val="MS Sans Serif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10"/>
      <color indexed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b/>
      <u/>
      <sz val="12"/>
      <color indexed="14"/>
      <name val="MS Sans Serif"/>
      <family val="2"/>
    </font>
    <font>
      <sz val="8"/>
      <color indexed="10"/>
      <name val="MS Sans Serif"/>
      <family val="2"/>
    </font>
    <font>
      <sz val="10"/>
      <name val="MS Sans Serif"/>
      <family val="2"/>
    </font>
    <font>
      <sz val="10"/>
      <color indexed="10"/>
      <name val="MS Sans Serif"/>
      <family val="2"/>
    </font>
    <font>
      <b/>
      <u/>
      <sz val="10"/>
      <color indexed="12"/>
      <name val="MS Sans Serif"/>
      <family val="2"/>
    </font>
    <font>
      <sz val="10"/>
      <color indexed="9"/>
      <name val="MS Sans Serif"/>
      <family val="2"/>
    </font>
    <font>
      <b/>
      <sz val="10"/>
      <name val="Arial"/>
      <family val="2"/>
    </font>
    <font>
      <sz val="8.5"/>
      <name val="MS Sans Serif"/>
      <family val="2"/>
    </font>
    <font>
      <sz val="8"/>
      <color indexed="9"/>
      <name val="MS Sans Serif"/>
      <family val="2"/>
    </font>
    <font>
      <sz val="14"/>
      <color indexed="10"/>
      <name val="MS Sans Serif"/>
      <family val="2"/>
    </font>
    <font>
      <sz val="7"/>
      <color indexed="10"/>
      <name val="MS Sans Serif"/>
      <family val="2"/>
    </font>
    <font>
      <b/>
      <u/>
      <sz val="18"/>
      <name val="MS Sans Serif"/>
      <family val="2"/>
    </font>
    <font>
      <b/>
      <sz val="10"/>
      <name val="MS Sans Serif"/>
    </font>
    <font>
      <sz val="8"/>
      <color rgb="FFFF0000"/>
      <name val="MS Sans Serif"/>
      <family val="2"/>
    </font>
    <font>
      <sz val="10"/>
      <color rgb="FFFF0000"/>
      <name val="MS Sans Serif"/>
      <family val="2"/>
    </font>
    <font>
      <b/>
      <sz val="10"/>
      <color rgb="FFC00000"/>
      <name val="MS Sans Serif"/>
    </font>
    <font>
      <sz val="8"/>
      <name val="MS Sans Serif"/>
    </font>
    <font>
      <b/>
      <sz val="18"/>
      <color rgb="FF7030A0"/>
      <name val="Arial"/>
      <family val="2"/>
    </font>
    <font>
      <b/>
      <u/>
      <sz val="14"/>
      <name val="MS Sans Serif"/>
      <family val="2"/>
    </font>
    <font>
      <b/>
      <u/>
      <sz val="10"/>
      <color indexed="12"/>
      <name val="MS Sans Serif"/>
    </font>
    <font>
      <b/>
      <sz val="8"/>
      <color rgb="FFFF0000"/>
      <name val="MS Sans Serif"/>
    </font>
    <font>
      <b/>
      <sz val="10"/>
      <color rgb="FF0070C0"/>
      <name val="MS Sans Serif"/>
    </font>
    <font>
      <b/>
      <sz val="18"/>
      <color rgb="FF0070C0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50"/>
      </left>
      <right/>
      <top style="thick">
        <color indexed="50"/>
      </top>
      <bottom/>
      <diagonal/>
    </border>
    <border>
      <left/>
      <right/>
      <top style="thick">
        <color indexed="50"/>
      </top>
      <bottom/>
      <diagonal/>
    </border>
    <border>
      <left/>
      <right style="thick">
        <color indexed="50"/>
      </right>
      <top style="thick">
        <color indexed="50"/>
      </top>
      <bottom/>
      <diagonal/>
    </border>
    <border>
      <left style="thick">
        <color indexed="50"/>
      </left>
      <right/>
      <top/>
      <bottom/>
      <diagonal/>
    </border>
    <border>
      <left/>
      <right style="thick">
        <color indexed="50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50"/>
      </left>
      <right/>
      <top/>
      <bottom style="thick">
        <color indexed="50"/>
      </bottom>
      <diagonal/>
    </border>
    <border>
      <left/>
      <right/>
      <top/>
      <bottom style="thick">
        <color indexed="50"/>
      </bottom>
      <diagonal/>
    </border>
    <border>
      <left/>
      <right style="thick">
        <color indexed="50"/>
      </right>
      <top/>
      <bottom style="thick">
        <color indexed="50"/>
      </bottom>
      <diagonal/>
    </border>
    <border>
      <left/>
      <right/>
      <top/>
      <bottom style="thick">
        <color rgb="FF00B050"/>
      </bottom>
      <diagonal/>
    </border>
    <border>
      <left style="thick">
        <color indexed="50"/>
      </left>
      <right/>
      <top/>
      <bottom style="thick">
        <color rgb="FF00B050"/>
      </bottom>
      <diagonal/>
    </border>
    <border>
      <left/>
      <right style="thick">
        <color indexed="50"/>
      </right>
      <top/>
      <bottom style="thick">
        <color rgb="FF00B05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/>
      <right/>
      <top/>
      <bottom style="double">
        <color auto="1"/>
      </bottom>
      <diagonal/>
    </border>
    <border>
      <left style="medium">
        <color rgb="FF00B050"/>
      </left>
      <right/>
      <top/>
      <bottom style="thin">
        <color indexed="64"/>
      </bottom>
      <diagonal/>
    </border>
    <border>
      <left/>
      <right style="medium">
        <color rgb="FF00B050"/>
      </right>
      <top/>
      <bottom style="thin">
        <color indexed="64"/>
      </bottom>
      <diagonal/>
    </border>
  </borders>
  <cellStyleXfs count="6">
    <xf numFmtId="0" fontId="0" fillId="0" borderId="0"/>
    <xf numFmtId="40" fontId="25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25" fillId="0" borderId="0"/>
    <xf numFmtId="9" fontId="1" fillId="0" borderId="0" applyFont="0" applyFill="0" applyBorder="0" applyAlignment="0" applyProtection="0"/>
  </cellStyleXfs>
  <cellXfs count="394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15" fillId="0" borderId="0" xfId="0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0" fillId="0" borderId="0" xfId="0" applyBorder="1" applyAlignment="1" applyProtection="1">
      <alignment horizontal="center"/>
    </xf>
    <xf numFmtId="0" fontId="16" fillId="0" borderId="0" xfId="0" applyFont="1" applyBorder="1" applyAlignment="1" applyProtection="1"/>
    <xf numFmtId="0" fontId="15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0" fillId="0" borderId="1" xfId="0" applyBorder="1" applyAlignment="1" applyProtection="1">
      <alignment horizontal="left"/>
    </xf>
    <xf numFmtId="0" fontId="18" fillId="0" borderId="0" xfId="0" applyFont="1" applyBorder="1" applyAlignment="1" applyProtection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0" fontId="22" fillId="0" borderId="0" xfId="0" applyFont="1" applyBorder="1" applyAlignment="1" applyProtection="1"/>
    <xf numFmtId="0" fontId="0" fillId="0" borderId="0" xfId="0" applyBorder="1" applyProtection="1"/>
    <xf numFmtId="0" fontId="8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0" fillId="0" borderId="1" xfId="0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0" fontId="0" fillId="0" borderId="8" xfId="0" applyBorder="1" applyAlignment="1" applyProtection="1">
      <alignment horizontal="center"/>
    </xf>
    <xf numFmtId="0" fontId="30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6" fillId="0" borderId="0" xfId="0" applyFont="1" applyAlignment="1" applyProtection="1"/>
    <xf numFmtId="0" fontId="0" fillId="0" borderId="0" xfId="0" applyFill="1" applyAlignment="1" applyProtection="1">
      <alignment horizontal="left"/>
    </xf>
    <xf numFmtId="2" fontId="0" fillId="0" borderId="2" xfId="0" applyNumberForma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 vertical="center"/>
    </xf>
    <xf numFmtId="9" fontId="25" fillId="0" borderId="2" xfId="5" applyFont="1" applyFill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9" fontId="25" fillId="0" borderId="0" xfId="5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0" fontId="18" fillId="0" borderId="0" xfId="0" applyFont="1" applyBorder="1" applyProtection="1"/>
    <xf numFmtId="0" fontId="27" fillId="0" borderId="0" xfId="0" applyFont="1" applyBorder="1" applyAlignment="1" applyProtection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0" fontId="26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/>
    </xf>
    <xf numFmtId="0" fontId="28" fillId="0" borderId="0" xfId="0" applyFont="1" applyBorder="1" applyAlignment="1" applyProtection="1">
      <alignment horizontal="left"/>
    </xf>
    <xf numFmtId="0" fontId="19" fillId="0" borderId="0" xfId="0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8" fillId="0" borderId="0" xfId="0" applyFont="1" applyBorder="1" applyAlignment="1" applyProtection="1">
      <alignment horizontal="right"/>
    </xf>
    <xf numFmtId="164" fontId="6" fillId="0" borderId="0" xfId="0" applyNumberFormat="1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left"/>
    </xf>
    <xf numFmtId="0" fontId="19" fillId="0" borderId="0" xfId="0" applyFont="1" applyBorder="1" applyProtection="1"/>
    <xf numFmtId="0" fontId="8" fillId="0" borderId="0" xfId="0" applyFont="1" applyBorder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0" fillId="3" borderId="0" xfId="0" applyFill="1" applyBorder="1" applyAlignment="1" applyProtection="1">
      <alignment horizontal="center"/>
    </xf>
    <xf numFmtId="0" fontId="0" fillId="0" borderId="14" xfId="0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0" fillId="0" borderId="16" xfId="0" applyBorder="1" applyAlignment="1" applyProtection="1">
      <alignment horizontal="left"/>
    </xf>
    <xf numFmtId="0" fontId="0" fillId="0" borderId="17" xfId="0" applyBorder="1" applyAlignment="1" applyProtection="1">
      <alignment horizontal="left"/>
    </xf>
    <xf numFmtId="0" fontId="0" fillId="0" borderId="18" xfId="0" applyBorder="1" applyAlignment="1" applyProtection="1">
      <alignment horizontal="left"/>
    </xf>
    <xf numFmtId="0" fontId="22" fillId="0" borderId="18" xfId="0" applyFont="1" applyBorder="1" applyAlignment="1" applyProtection="1">
      <alignment horizontal="center"/>
    </xf>
    <xf numFmtId="0" fontId="0" fillId="0" borderId="18" xfId="0" applyFill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  <protection locked="0"/>
    </xf>
    <xf numFmtId="0" fontId="0" fillId="0" borderId="0" xfId="0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28" fillId="0" borderId="18" xfId="0" applyFont="1" applyFill="1" applyBorder="1" applyAlignment="1" applyProtection="1">
      <alignment horizontal="left"/>
    </xf>
    <xf numFmtId="0" fontId="36" fillId="0" borderId="0" xfId="0" applyFont="1" applyBorder="1" applyAlignment="1" applyProtection="1">
      <alignment horizontal="right"/>
    </xf>
    <xf numFmtId="0" fontId="0" fillId="4" borderId="0" xfId="0" applyFill="1" applyAlignment="1" applyProtection="1">
      <alignment horizontal="left"/>
    </xf>
    <xf numFmtId="0" fontId="0" fillId="4" borderId="0" xfId="0" applyFill="1" applyProtection="1"/>
    <xf numFmtId="0" fontId="0" fillId="4" borderId="0" xfId="0" applyFill="1" applyAlignment="1" applyProtection="1">
      <alignment horizontal="center"/>
    </xf>
    <xf numFmtId="0" fontId="0" fillId="4" borderId="0" xfId="0" applyFill="1" applyBorder="1" applyAlignment="1" applyProtection="1">
      <alignment horizontal="left"/>
    </xf>
    <xf numFmtId="0" fontId="22" fillId="4" borderId="0" xfId="0" applyFont="1" applyFill="1" applyAlignment="1" applyProtection="1">
      <alignment horizontal="center"/>
    </xf>
    <xf numFmtId="0" fontId="0" fillId="4" borderId="0" xfId="0" applyFill="1" applyBorder="1" applyAlignment="1" applyProtection="1">
      <alignment horizontal="center"/>
    </xf>
    <xf numFmtId="0" fontId="28" fillId="4" borderId="0" xfId="0" applyFont="1" applyFill="1" applyAlignment="1" applyProtection="1">
      <alignment horizontal="left"/>
    </xf>
    <xf numFmtId="0" fontId="24" fillId="4" borderId="0" xfId="0" applyFont="1" applyFill="1" applyAlignment="1" applyProtection="1">
      <alignment vertical="top" wrapText="1"/>
    </xf>
    <xf numFmtId="0" fontId="11" fillId="4" borderId="0" xfId="0" applyFont="1" applyFill="1" applyAlignment="1" applyProtection="1">
      <alignment horizontal="left"/>
    </xf>
    <xf numFmtId="9" fontId="31" fillId="4" borderId="0" xfId="5" quotePrefix="1" applyFont="1" applyFill="1" applyBorder="1" applyAlignment="1" applyProtection="1"/>
    <xf numFmtId="0" fontId="19" fillId="4" borderId="0" xfId="0" applyFont="1" applyFill="1" applyBorder="1" applyAlignment="1" applyProtection="1">
      <alignment horizontal="left" vertical="center"/>
    </xf>
    <xf numFmtId="0" fontId="8" fillId="4" borderId="0" xfId="0" applyFont="1" applyFill="1" applyAlignment="1" applyProtection="1">
      <alignment horizontal="right"/>
    </xf>
    <xf numFmtId="0" fontId="8" fillId="4" borderId="0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right"/>
    </xf>
    <xf numFmtId="0" fontId="8" fillId="4" borderId="0" xfId="0" applyFont="1" applyFill="1" applyAlignment="1" applyProtection="1">
      <alignment horizontal="center"/>
    </xf>
    <xf numFmtId="0" fontId="15" fillId="4" borderId="0" xfId="0" applyFont="1" applyFill="1" applyBorder="1" applyAlignment="1" applyProtection="1">
      <alignment horizontal="center"/>
    </xf>
    <xf numFmtId="0" fontId="18" fillId="4" borderId="0" xfId="0" applyFont="1" applyFill="1" applyProtection="1"/>
    <xf numFmtId="2" fontId="0" fillId="4" borderId="0" xfId="0" applyNumberFormat="1" applyFill="1" applyBorder="1" applyAlignment="1" applyProtection="1">
      <alignment horizontal="center"/>
    </xf>
    <xf numFmtId="0" fontId="0" fillId="4" borderId="0" xfId="0" quotePrefix="1" applyFill="1" applyBorder="1" applyAlignment="1" applyProtection="1">
      <alignment horizontal="center"/>
    </xf>
    <xf numFmtId="9" fontId="0" fillId="4" borderId="0" xfId="0" applyNumberForma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right"/>
    </xf>
    <xf numFmtId="0" fontId="27" fillId="4" borderId="0" xfId="0" applyFont="1" applyFill="1" applyBorder="1" applyAlignment="1" applyProtection="1"/>
    <xf numFmtId="0" fontId="33" fillId="4" borderId="0" xfId="0" applyFont="1" applyFill="1" applyBorder="1" applyAlignment="1" applyProtection="1">
      <alignment vertical="top" wrapText="1"/>
    </xf>
    <xf numFmtId="0" fontId="24" fillId="4" borderId="0" xfId="0" applyFont="1" applyFill="1" applyBorder="1" applyAlignment="1" applyProtection="1">
      <alignment vertical="top" wrapText="1"/>
    </xf>
    <xf numFmtId="0" fontId="0" fillId="0" borderId="0" xfId="0" applyFill="1" applyBorder="1" applyAlignment="1" applyProtection="1"/>
    <xf numFmtId="0" fontId="5" fillId="0" borderId="0" xfId="0" applyFont="1" applyFill="1" applyBorder="1" applyAlignment="1" applyProtection="1">
      <alignment horizontal="left"/>
    </xf>
    <xf numFmtId="0" fontId="2" fillId="0" borderId="0" xfId="2" applyBorder="1" applyAlignment="1" applyProtection="1">
      <alignment horizontal="left"/>
    </xf>
    <xf numFmtId="0" fontId="2" fillId="0" borderId="0" xfId="2" applyBorder="1" applyAlignment="1" applyProtection="1">
      <alignment horizontal="center"/>
    </xf>
    <xf numFmtId="0" fontId="0" fillId="0" borderId="15" xfId="0" applyBorder="1" applyProtection="1"/>
    <xf numFmtId="0" fontId="23" fillId="0" borderId="15" xfId="0" applyFont="1" applyFill="1" applyBorder="1" applyAlignment="1" applyProtection="1">
      <alignment horizontal="center"/>
    </xf>
    <xf numFmtId="0" fontId="0" fillId="0" borderId="30" xfId="0" applyBorder="1" applyAlignment="1" applyProtection="1">
      <alignment horizontal="left"/>
    </xf>
    <xf numFmtId="0" fontId="0" fillId="0" borderId="31" xfId="0" applyBorder="1" applyProtection="1"/>
    <xf numFmtId="0" fontId="18" fillId="0" borderId="31" xfId="0" applyFont="1" applyBorder="1" applyAlignment="1" applyProtection="1">
      <alignment horizontal="right"/>
    </xf>
    <xf numFmtId="0" fontId="0" fillId="0" borderId="31" xfId="0" applyFill="1" applyBorder="1" applyAlignment="1" applyProtection="1">
      <alignment horizontal="center"/>
    </xf>
    <xf numFmtId="0" fontId="18" fillId="0" borderId="31" xfId="0" applyFont="1" applyBorder="1" applyAlignment="1" applyProtection="1">
      <alignment horizontal="center"/>
    </xf>
    <xf numFmtId="0" fontId="0" fillId="0" borderId="31" xfId="0" applyBorder="1" applyAlignment="1" applyProtection="1">
      <alignment horizontal="left"/>
    </xf>
    <xf numFmtId="0" fontId="0" fillId="0" borderId="32" xfId="0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5" borderId="0" xfId="0" applyFill="1"/>
    <xf numFmtId="0" fontId="16" fillId="5" borderId="0" xfId="0" applyFont="1" applyFill="1" applyAlignment="1" applyProtection="1">
      <alignment horizontal="left"/>
    </xf>
    <xf numFmtId="0" fontId="0" fillId="5" borderId="0" xfId="0" applyFill="1" applyAlignment="1" applyProtection="1">
      <alignment horizontal="left"/>
    </xf>
    <xf numFmtId="0" fontId="6" fillId="5" borderId="0" xfId="0" applyFont="1" applyFill="1" applyAlignment="1" applyProtection="1">
      <alignment horizontal="center"/>
    </xf>
    <xf numFmtId="0" fontId="8" fillId="5" borderId="0" xfId="0" applyFont="1" applyFill="1" applyAlignment="1" applyProtection="1">
      <alignment horizontal="centerContinuous"/>
    </xf>
    <xf numFmtId="0" fontId="5" fillId="5" borderId="0" xfId="0" applyFont="1" applyFill="1" applyAlignment="1" applyProtection="1">
      <alignment horizontal="left"/>
    </xf>
    <xf numFmtId="38" fontId="13" fillId="5" borderId="2" xfId="1" applyNumberFormat="1" applyFont="1" applyFill="1" applyBorder="1" applyAlignment="1" applyProtection="1">
      <alignment horizontal="center"/>
    </xf>
    <xf numFmtId="0" fontId="0" fillId="5" borderId="0" xfId="0" applyFill="1" applyAlignment="1" applyProtection="1">
      <alignment horizontal="right"/>
    </xf>
    <xf numFmtId="0" fontId="0" fillId="5" borderId="0" xfId="0" applyFill="1" applyAlignment="1" applyProtection="1"/>
    <xf numFmtId="0" fontId="10" fillId="5" borderId="0" xfId="0" applyFont="1" applyFill="1" applyAlignment="1" applyProtection="1">
      <alignment horizontal="left"/>
    </xf>
    <xf numFmtId="0" fontId="11" fillId="5" borderId="0" xfId="0" applyFont="1" applyFill="1" applyAlignment="1" applyProtection="1">
      <alignment horizontal="left"/>
    </xf>
    <xf numFmtId="0" fontId="9" fillId="5" borderId="0" xfId="0" applyFont="1" applyFill="1" applyAlignment="1" applyProtection="1">
      <alignment horizontal="center"/>
    </xf>
    <xf numFmtId="0" fontId="11" fillId="5" borderId="19" xfId="0" applyFont="1" applyFill="1" applyBorder="1" applyAlignment="1" applyProtection="1">
      <alignment horizontal="left"/>
    </xf>
    <xf numFmtId="0" fontId="11" fillId="5" borderId="20" xfId="0" applyFont="1" applyFill="1" applyBorder="1" applyAlignment="1" applyProtection="1">
      <alignment horizontal="center"/>
    </xf>
    <xf numFmtId="0" fontId="11" fillId="5" borderId="21" xfId="0" applyFont="1" applyFill="1" applyBorder="1" applyAlignment="1" applyProtection="1">
      <alignment horizontal="center"/>
    </xf>
    <xf numFmtId="0" fontId="11" fillId="5" borderId="22" xfId="0" applyFont="1" applyFill="1" applyBorder="1" applyAlignment="1" applyProtection="1">
      <alignment horizontal="left"/>
    </xf>
    <xf numFmtId="0" fontId="11" fillId="5" borderId="23" xfId="0" applyFont="1" applyFill="1" applyBorder="1" applyAlignment="1" applyProtection="1">
      <alignment horizontal="center"/>
    </xf>
    <xf numFmtId="0" fontId="11" fillId="5" borderId="24" xfId="0" applyFont="1" applyFill="1" applyBorder="1" applyAlignment="1" applyProtection="1">
      <alignment horizontal="center"/>
    </xf>
    <xf numFmtId="0" fontId="11" fillId="5" borderId="23" xfId="0" applyFont="1" applyFill="1" applyBorder="1" applyAlignment="1" applyProtection="1">
      <alignment horizontal="left"/>
    </xf>
    <xf numFmtId="0" fontId="11" fillId="5" borderId="24" xfId="0" applyFont="1" applyFill="1" applyBorder="1" applyAlignment="1" applyProtection="1">
      <alignment horizontal="left"/>
    </xf>
    <xf numFmtId="0" fontId="11" fillId="5" borderId="25" xfId="0" applyFont="1" applyFill="1" applyBorder="1" applyAlignment="1" applyProtection="1"/>
    <xf numFmtId="1" fontId="11" fillId="5" borderId="26" xfId="0" quotePrefix="1" applyNumberFormat="1" applyFont="1" applyFill="1" applyBorder="1" applyAlignment="1" applyProtection="1">
      <alignment horizontal="center"/>
    </xf>
    <xf numFmtId="1" fontId="11" fillId="5" borderId="6" xfId="0" applyNumberFormat="1" applyFont="1" applyFill="1" applyBorder="1" applyAlignment="1" applyProtection="1">
      <alignment horizontal="center"/>
    </xf>
    <xf numFmtId="1" fontId="11" fillId="5" borderId="26" xfId="0" applyNumberFormat="1" applyFont="1" applyFill="1" applyBorder="1" applyAlignment="1" applyProtection="1">
      <alignment horizontal="center"/>
    </xf>
    <xf numFmtId="16" fontId="0" fillId="5" borderId="0" xfId="0" applyNumberFormat="1" applyFill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0" fillId="5" borderId="0" xfId="0" applyFill="1" applyBorder="1" applyAlignment="1" applyProtection="1"/>
    <xf numFmtId="38" fontId="13" fillId="5" borderId="3" xfId="1" applyNumberFormat="1" applyFont="1" applyFill="1" applyBorder="1" applyAlignment="1" applyProtection="1">
      <alignment horizontal="center"/>
    </xf>
    <xf numFmtId="0" fontId="5" fillId="5" borderId="0" xfId="0" applyFont="1" applyFill="1" applyAlignment="1" applyProtection="1">
      <alignment horizontal="right"/>
    </xf>
    <xf numFmtId="38" fontId="13" fillId="5" borderId="0" xfId="1" applyNumberFormat="1" applyFont="1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left"/>
    </xf>
    <xf numFmtId="0" fontId="0" fillId="5" borderId="10" xfId="0" applyFill="1" applyBorder="1" applyAlignment="1" applyProtection="1"/>
    <xf numFmtId="0" fontId="0" fillId="5" borderId="13" xfId="0" applyFill="1" applyBorder="1" applyAlignment="1" applyProtection="1">
      <alignment horizontal="left"/>
    </xf>
    <xf numFmtId="0" fontId="11" fillId="5" borderId="0" xfId="0" applyFont="1" applyFill="1" applyAlignment="1" applyProtection="1">
      <alignment horizontal="right"/>
    </xf>
    <xf numFmtId="0" fontId="0" fillId="5" borderId="7" xfId="0" applyFill="1" applyBorder="1" applyAlignment="1" applyProtection="1">
      <alignment horizontal="left"/>
    </xf>
    <xf numFmtId="0" fontId="4" fillId="5" borderId="0" xfId="0" applyFont="1" applyFill="1" applyAlignment="1" applyProtection="1">
      <alignment horizontal="left"/>
    </xf>
    <xf numFmtId="0" fontId="4" fillId="5" borderId="0" xfId="0" applyFont="1" applyFill="1" applyAlignment="1" applyProtection="1"/>
    <xf numFmtId="0" fontId="0" fillId="5" borderId="5" xfId="0" applyFill="1" applyBorder="1" applyAlignment="1" applyProtection="1">
      <alignment horizontal="left"/>
    </xf>
    <xf numFmtId="14" fontId="13" fillId="5" borderId="7" xfId="0" applyNumberFormat="1" applyFont="1" applyFill="1" applyBorder="1" applyAlignment="1" applyProtection="1">
      <alignment horizontal="left"/>
    </xf>
    <xf numFmtId="0" fontId="0" fillId="5" borderId="7" xfId="0" applyFill="1" applyBorder="1" applyAlignment="1" applyProtection="1">
      <alignment horizontal="right"/>
    </xf>
    <xf numFmtId="164" fontId="0" fillId="5" borderId="0" xfId="0" applyNumberFormat="1" applyFill="1" applyAlignment="1" applyProtection="1">
      <alignment horizontal="left"/>
    </xf>
    <xf numFmtId="0" fontId="0" fillId="5" borderId="2" xfId="0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0" fontId="0" fillId="5" borderId="7" xfId="0" applyFill="1" applyBorder="1" applyAlignment="1" applyProtection="1"/>
    <xf numFmtId="14" fontId="0" fillId="5" borderId="0" xfId="0" applyNumberFormat="1" applyFill="1" applyAlignment="1" applyProtection="1">
      <alignment horizontal="left"/>
    </xf>
    <xf numFmtId="0" fontId="0" fillId="5" borderId="11" xfId="0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left"/>
    </xf>
    <xf numFmtId="0" fontId="0" fillId="5" borderId="1" xfId="0" applyFill="1" applyBorder="1" applyAlignment="1" applyProtection="1">
      <alignment horizontal="center"/>
    </xf>
    <xf numFmtId="0" fontId="0" fillId="5" borderId="6" xfId="0" applyFill="1" applyBorder="1" applyAlignment="1" applyProtection="1">
      <alignment horizontal="left"/>
    </xf>
    <xf numFmtId="0" fontId="3" fillId="5" borderId="1" xfId="0" applyFont="1" applyFill="1" applyBorder="1" applyAlignment="1" applyProtection="1">
      <alignment horizontal="center"/>
    </xf>
    <xf numFmtId="0" fontId="8" fillId="5" borderId="0" xfId="0" applyFont="1" applyFill="1" applyAlignment="1" applyProtection="1">
      <alignment horizontal="left"/>
    </xf>
    <xf numFmtId="2" fontId="3" fillId="5" borderId="3" xfId="0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7" fillId="5" borderId="10" xfId="0" applyFont="1" applyFill="1" applyBorder="1" applyAlignment="1" applyProtection="1">
      <alignment horizontal="left"/>
    </xf>
    <xf numFmtId="0" fontId="7" fillId="5" borderId="13" xfId="0" applyFont="1" applyFill="1" applyBorder="1" applyAlignment="1" applyProtection="1">
      <alignment horizontal="left"/>
    </xf>
    <xf numFmtId="0" fontId="6" fillId="5" borderId="7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left"/>
    </xf>
    <xf numFmtId="0" fontId="10" fillId="5" borderId="7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left"/>
    </xf>
    <xf numFmtId="0" fontId="11" fillId="5" borderId="5" xfId="0" applyFont="1" applyFill="1" applyBorder="1" applyAlignment="1" applyProtection="1">
      <alignment horizontal="left"/>
    </xf>
    <xf numFmtId="0" fontId="9" fillId="5" borderId="7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/>
    <xf numFmtId="0" fontId="12" fillId="5" borderId="5" xfId="0" applyFont="1" applyFill="1" applyBorder="1" applyAlignment="1" applyProtection="1"/>
    <xf numFmtId="0" fontId="11" fillId="5" borderId="5" xfId="0" quotePrefix="1" applyFont="1" applyFill="1" applyBorder="1" applyAlignment="1" applyProtection="1">
      <alignment horizontal="left"/>
    </xf>
    <xf numFmtId="0" fontId="11" fillId="5" borderId="0" xfId="0" quotePrefix="1" applyFont="1" applyFill="1" applyBorder="1" applyAlignment="1" applyProtection="1">
      <alignment horizontal="left"/>
    </xf>
    <xf numFmtId="0" fontId="22" fillId="5" borderId="0" xfId="0" applyFont="1" applyFill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0" fillId="0" borderId="15" xfId="0" applyFill="1" applyBorder="1" applyAlignment="1" applyProtection="1">
      <alignment horizontal="left"/>
    </xf>
    <xf numFmtId="0" fontId="13" fillId="0" borderId="15" xfId="0" applyFont="1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left"/>
    </xf>
    <xf numFmtId="0" fontId="0" fillId="0" borderId="15" xfId="0" applyFill="1" applyBorder="1" applyProtection="1"/>
    <xf numFmtId="0" fontId="0" fillId="0" borderId="16" xfId="0" applyFill="1" applyBorder="1" applyAlignment="1" applyProtection="1">
      <alignment horizontal="left"/>
    </xf>
    <xf numFmtId="0" fontId="0" fillId="0" borderId="17" xfId="0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right"/>
    </xf>
    <xf numFmtId="0" fontId="0" fillId="0" borderId="18" xfId="0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right"/>
    </xf>
    <xf numFmtId="0" fontId="2" fillId="0" borderId="0" xfId="2" applyFill="1" applyBorder="1" applyAlignment="1" applyProtection="1">
      <alignment horizontal="center"/>
    </xf>
    <xf numFmtId="0" fontId="24" fillId="0" borderId="0" xfId="0" applyFont="1" applyFill="1" applyBorder="1" applyProtection="1"/>
    <xf numFmtId="0" fontId="28" fillId="0" borderId="0" xfId="0" applyFont="1" applyFill="1" applyBorder="1" applyAlignment="1" applyProtection="1">
      <alignment horizontal="left"/>
    </xf>
    <xf numFmtId="0" fontId="0" fillId="0" borderId="34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left"/>
    </xf>
    <xf numFmtId="0" fontId="0" fillId="0" borderId="35" xfId="0" applyFill="1" applyBorder="1" applyAlignment="1" applyProtection="1">
      <alignment horizontal="left"/>
    </xf>
    <xf numFmtId="0" fontId="0" fillId="4" borderId="0" xfId="0" applyFill="1" applyBorder="1" applyAlignment="1" applyProtection="1"/>
    <xf numFmtId="0" fontId="5" fillId="4" borderId="0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/>
      <protection locked="0"/>
    </xf>
    <xf numFmtId="0" fontId="9" fillId="6" borderId="2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0" borderId="36" xfId="0" applyFill="1" applyBorder="1" applyAlignment="1" applyProtection="1">
      <alignment horizontal="left"/>
    </xf>
    <xf numFmtId="0" fontId="27" fillId="0" borderId="37" xfId="0" applyFont="1" applyFill="1" applyBorder="1" applyAlignment="1" applyProtection="1"/>
    <xf numFmtId="0" fontId="0" fillId="0" borderId="37" xfId="0" applyFill="1" applyBorder="1" applyAlignment="1" applyProtection="1">
      <alignment horizontal="left"/>
    </xf>
    <xf numFmtId="0" fontId="33" fillId="0" borderId="37" xfId="0" applyFont="1" applyFill="1" applyBorder="1" applyAlignment="1" applyProtection="1">
      <alignment vertical="top" wrapText="1"/>
    </xf>
    <xf numFmtId="0" fontId="24" fillId="0" borderId="38" xfId="0" applyFont="1" applyFill="1" applyBorder="1" applyAlignment="1" applyProtection="1">
      <alignment vertical="top" wrapText="1"/>
    </xf>
    <xf numFmtId="0" fontId="0" fillId="0" borderId="39" xfId="0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vertical="top" wrapText="1"/>
    </xf>
    <xf numFmtId="0" fontId="24" fillId="0" borderId="4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wrapText="1"/>
    </xf>
    <xf numFmtId="0" fontId="22" fillId="0" borderId="40" xfId="0" applyFont="1" applyFill="1" applyBorder="1" applyAlignment="1" applyProtection="1">
      <alignment horizontal="center"/>
    </xf>
    <xf numFmtId="0" fontId="11" fillId="0" borderId="4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/>
    <xf numFmtId="0" fontId="11" fillId="0" borderId="4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0" fontId="12" fillId="0" borderId="40" xfId="0" applyFont="1" applyFill="1" applyBorder="1" applyAlignment="1" applyProtection="1">
      <alignment horizontal="center"/>
    </xf>
    <xf numFmtId="0" fontId="32" fillId="0" borderId="39" xfId="0" applyFont="1" applyFill="1" applyBorder="1" applyAlignment="1" applyProtection="1">
      <alignment horizontal="center" vertical="top"/>
    </xf>
    <xf numFmtId="0" fontId="2" fillId="0" borderId="0" xfId="2" applyFill="1" applyBorder="1" applyAlignment="1" applyProtection="1"/>
    <xf numFmtId="0" fontId="11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textRotation="90"/>
    </xf>
    <xf numFmtId="0" fontId="5" fillId="0" borderId="0" xfId="0" applyFont="1" applyFill="1" applyBorder="1" applyAlignment="1" applyProtection="1">
      <alignment textRotation="180"/>
    </xf>
    <xf numFmtId="0" fontId="11" fillId="0" borderId="0" xfId="0" applyFont="1" applyFill="1" applyBorder="1" applyAlignment="1" applyProtection="1">
      <alignment horizontal="center"/>
    </xf>
    <xf numFmtId="0" fontId="0" fillId="0" borderId="40" xfId="0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top"/>
    </xf>
    <xf numFmtId="0" fontId="32" fillId="0" borderId="41" xfId="0" applyFont="1" applyFill="1" applyBorder="1" applyAlignment="1" applyProtection="1">
      <alignment horizontal="center" vertical="top"/>
    </xf>
    <xf numFmtId="0" fontId="0" fillId="0" borderId="33" xfId="0" applyFill="1" applyBorder="1" applyAlignment="1" applyProtection="1">
      <alignment horizontal="center"/>
    </xf>
    <xf numFmtId="9" fontId="25" fillId="0" borderId="33" xfId="5" applyFont="1" applyFill="1" applyBorder="1" applyAlignment="1" applyProtection="1">
      <alignment horizontal="center"/>
    </xf>
    <xf numFmtId="0" fontId="32" fillId="0" borderId="33" xfId="0" applyFont="1" applyFill="1" applyBorder="1" applyAlignment="1" applyProtection="1">
      <alignment horizontal="center" vertical="top"/>
    </xf>
    <xf numFmtId="0" fontId="0" fillId="0" borderId="42" xfId="0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/>
    </xf>
    <xf numFmtId="0" fontId="16" fillId="4" borderId="0" xfId="0" applyFont="1" applyFill="1" applyBorder="1" applyAlignment="1" applyProtection="1">
      <alignment horizontal="left"/>
    </xf>
    <xf numFmtId="0" fontId="1" fillId="4" borderId="2" xfId="4" applyFont="1" applyFill="1" applyBorder="1" applyAlignment="1" applyProtection="1">
      <alignment horizontal="center"/>
    </xf>
    <xf numFmtId="0" fontId="5" fillId="4" borderId="0" xfId="4" applyFont="1" applyFill="1" applyAlignment="1" applyProtection="1">
      <alignment horizontal="left"/>
    </xf>
    <xf numFmtId="0" fontId="25" fillId="4" borderId="0" xfId="4" applyFill="1" applyAlignment="1" applyProtection="1">
      <alignment horizontal="left"/>
    </xf>
    <xf numFmtId="0" fontId="25" fillId="4" borderId="0" xfId="4" applyFill="1" applyAlignment="1" applyProtection="1">
      <alignment horizontal="center"/>
    </xf>
    <xf numFmtId="1" fontId="3" fillId="4" borderId="3" xfId="0" applyNumberFormat="1" applyFont="1" applyFill="1" applyBorder="1" applyAlignment="1" applyProtection="1">
      <alignment horizontal="center" vertical="center"/>
    </xf>
    <xf numFmtId="1" fontId="8" fillId="4" borderId="0" xfId="0" applyNumberFormat="1" applyFont="1" applyFill="1" applyBorder="1" applyAlignment="1" applyProtection="1">
      <alignment horizontal="center" vertical="center"/>
    </xf>
    <xf numFmtId="0" fontId="0" fillId="4" borderId="2" xfId="0" quotePrefix="1" applyFill="1" applyBorder="1" applyAlignment="1" applyProtection="1">
      <alignment horizontal="center"/>
    </xf>
    <xf numFmtId="0" fontId="7" fillId="4" borderId="0" xfId="0" applyFont="1" applyFill="1" applyAlignment="1" applyProtection="1">
      <alignment horizontal="left"/>
    </xf>
    <xf numFmtId="0" fontId="0" fillId="4" borderId="1" xfId="0" applyFill="1" applyBorder="1" applyAlignment="1" applyProtection="1">
      <alignment horizontal="center"/>
    </xf>
    <xf numFmtId="0" fontId="29" fillId="4" borderId="2" xfId="0" applyFont="1" applyFill="1" applyBorder="1" applyAlignment="1" applyProtection="1">
      <alignment horizontal="center"/>
    </xf>
    <xf numFmtId="0" fontId="29" fillId="4" borderId="0" xfId="0" applyFont="1" applyFill="1" applyBorder="1" applyAlignment="1" applyProtection="1">
      <alignment horizontal="center"/>
    </xf>
    <xf numFmtId="0" fontId="0" fillId="0" borderId="43" xfId="0" applyBorder="1" applyAlignment="1" applyProtection="1">
      <alignment horizontal="left"/>
    </xf>
    <xf numFmtId="0" fontId="0" fillId="0" borderId="44" xfId="0" applyBorder="1" applyAlignment="1" applyProtection="1">
      <alignment horizontal="left"/>
    </xf>
    <xf numFmtId="0" fontId="0" fillId="0" borderId="45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0" fillId="0" borderId="47" xfId="0" applyBorder="1" applyAlignment="1" applyProtection="1">
      <alignment horizontal="left"/>
    </xf>
    <xf numFmtId="0" fontId="19" fillId="0" borderId="47" xfId="0" applyFont="1" applyFill="1" applyBorder="1" applyAlignment="1" applyProtection="1">
      <alignment horizontal="left" vertical="center"/>
    </xf>
    <xf numFmtId="0" fontId="0" fillId="0" borderId="47" xfId="0" applyBorder="1" applyProtection="1"/>
    <xf numFmtId="0" fontId="0" fillId="0" borderId="47" xfId="0" applyBorder="1" applyAlignment="1" applyProtection="1">
      <alignment horizontal="center"/>
    </xf>
    <xf numFmtId="0" fontId="0" fillId="0" borderId="46" xfId="0" applyFill="1" applyBorder="1" applyAlignment="1" applyProtection="1">
      <alignment horizontal="left"/>
    </xf>
    <xf numFmtId="0" fontId="0" fillId="0" borderId="48" xfId="0" applyFill="1" applyBorder="1" applyAlignment="1" applyProtection="1">
      <alignment horizontal="left"/>
    </xf>
    <xf numFmtId="0" fontId="0" fillId="0" borderId="47" xfId="0" applyFill="1" applyBorder="1" applyAlignment="1" applyProtection="1">
      <alignment horizontal="left"/>
    </xf>
    <xf numFmtId="0" fontId="0" fillId="0" borderId="49" xfId="0" applyFill="1" applyBorder="1" applyAlignment="1" applyProtection="1">
      <alignment horizontal="left"/>
    </xf>
    <xf numFmtId="0" fontId="0" fillId="0" borderId="50" xfId="0" applyFill="1" applyBorder="1" applyAlignment="1" applyProtection="1">
      <alignment horizontal="left"/>
    </xf>
    <xf numFmtId="0" fontId="3" fillId="0" borderId="0" xfId="0" applyFont="1" applyBorder="1" applyAlignment="1" applyProtection="1"/>
    <xf numFmtId="0" fontId="0" fillId="0" borderId="51" xfId="0" applyBorder="1" applyAlignment="1" applyProtection="1">
      <alignment horizontal="left"/>
    </xf>
    <xf numFmtId="0" fontId="18" fillId="0" borderId="51" xfId="0" applyFont="1" applyBorder="1" applyAlignment="1" applyProtection="1">
      <alignment horizontal="right"/>
    </xf>
    <xf numFmtId="0" fontId="8" fillId="0" borderId="51" xfId="0" applyFont="1" applyBorder="1" applyAlignment="1" applyProtection="1">
      <alignment horizontal="right"/>
    </xf>
    <xf numFmtId="0" fontId="3" fillId="0" borderId="51" xfId="0" applyFont="1" applyBorder="1" applyAlignment="1" applyProtection="1">
      <alignment horizontal="center"/>
    </xf>
    <xf numFmtId="0" fontId="16" fillId="0" borderId="51" xfId="0" applyFont="1" applyBorder="1" applyAlignment="1" applyProtection="1"/>
    <xf numFmtId="0" fontId="0" fillId="0" borderId="51" xfId="0" applyBorder="1" applyAlignment="1" applyProtection="1"/>
    <xf numFmtId="0" fontId="8" fillId="0" borderId="51" xfId="0" applyFont="1" applyBorder="1" applyAlignment="1" applyProtection="1">
      <alignment horizontal="center"/>
    </xf>
    <xf numFmtId="0" fontId="3" fillId="0" borderId="51" xfId="0" applyFont="1" applyBorder="1" applyAlignment="1" applyProtection="1">
      <alignment horizontal="right"/>
    </xf>
    <xf numFmtId="0" fontId="15" fillId="0" borderId="51" xfId="0" applyFont="1" applyBorder="1" applyAlignment="1" applyProtection="1">
      <alignment horizontal="left"/>
    </xf>
    <xf numFmtId="0" fontId="0" fillId="0" borderId="51" xfId="0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left"/>
    </xf>
    <xf numFmtId="0" fontId="0" fillId="0" borderId="44" xfId="0" applyBorder="1" applyAlignment="1" applyProtection="1">
      <alignment horizontal="center"/>
    </xf>
    <xf numFmtId="0" fontId="5" fillId="0" borderId="44" xfId="0" applyFont="1" applyBorder="1" applyAlignment="1" applyProtection="1">
      <alignment horizontal="left"/>
    </xf>
    <xf numFmtId="0" fontId="0" fillId="0" borderId="52" xfId="0" applyBorder="1" applyAlignment="1" applyProtection="1"/>
    <xf numFmtId="0" fontId="0" fillId="0" borderId="53" xfId="0" applyBorder="1" applyAlignment="1" applyProtection="1">
      <alignment horizontal="left"/>
    </xf>
    <xf numFmtId="0" fontId="0" fillId="0" borderId="46" xfId="0" applyBorder="1" applyAlignment="1" applyProtection="1"/>
    <xf numFmtId="0" fontId="16" fillId="0" borderId="46" xfId="0" applyFont="1" applyBorder="1" applyAlignment="1" applyProtection="1"/>
    <xf numFmtId="0" fontId="0" fillId="0" borderId="47" xfId="0" applyBorder="1" applyAlignment="1" applyProtection="1"/>
    <xf numFmtId="0" fontId="15" fillId="0" borderId="0" xfId="0" applyFont="1" applyBorder="1" applyAlignment="1" applyProtection="1">
      <alignment horizontal="left"/>
    </xf>
    <xf numFmtId="0" fontId="39" fillId="0" borderId="0" xfId="0" applyFont="1" applyBorder="1" applyAlignment="1" applyProtection="1"/>
    <xf numFmtId="0" fontId="39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3" fillId="0" borderId="46" xfId="0" applyFont="1" applyBorder="1" applyAlignment="1" applyProtection="1">
      <alignment horizontal="left"/>
    </xf>
    <xf numFmtId="0" fontId="0" fillId="0" borderId="48" xfId="0" applyBorder="1" applyAlignment="1" applyProtection="1">
      <alignment horizontal="left"/>
    </xf>
    <xf numFmtId="0" fontId="0" fillId="0" borderId="49" xfId="0" applyBorder="1" applyAlignment="1" applyProtection="1"/>
    <xf numFmtId="0" fontId="0" fillId="0" borderId="49" xfId="0" applyBorder="1" applyAlignment="1" applyProtection="1">
      <alignment horizontal="left"/>
    </xf>
    <xf numFmtId="0" fontId="0" fillId="0" borderId="49" xfId="0" applyBorder="1" applyAlignment="1" applyProtection="1">
      <alignment horizontal="center"/>
    </xf>
    <xf numFmtId="0" fontId="0" fillId="0" borderId="50" xfId="0" applyBorder="1" applyAlignment="1" applyProtection="1">
      <alignment horizontal="left"/>
    </xf>
    <xf numFmtId="0" fontId="0" fillId="0" borderId="0" xfId="0" quotePrefix="1" applyBorder="1" applyAlignment="1" applyProtection="1">
      <alignment horizontal="center"/>
    </xf>
    <xf numFmtId="0" fontId="0" fillId="0" borderId="43" xfId="0" applyFill="1" applyBorder="1" applyAlignment="1" applyProtection="1">
      <alignment horizontal="left"/>
    </xf>
    <xf numFmtId="0" fontId="0" fillId="0" borderId="44" xfId="0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44" xfId="0" applyFill="1" applyBorder="1" applyAlignment="1" applyProtection="1">
      <alignment horizontal="center"/>
    </xf>
    <xf numFmtId="0" fontId="27" fillId="0" borderId="0" xfId="0" applyFont="1" applyBorder="1" applyAlignment="1" applyProtection="1">
      <alignment horizontal="right"/>
    </xf>
    <xf numFmtId="0" fontId="14" fillId="4" borderId="0" xfId="0" applyFont="1" applyFill="1" applyBorder="1" applyAlignment="1" applyProtection="1">
      <alignment horizontal="left"/>
    </xf>
    <xf numFmtId="0" fontId="3" fillId="4" borderId="0" xfId="0" applyFont="1" applyFill="1" applyAlignment="1" applyProtection="1">
      <alignment horizontal="left"/>
    </xf>
    <xf numFmtId="0" fontId="16" fillId="4" borderId="0" xfId="0" applyFont="1" applyFill="1" applyAlignment="1" applyProtection="1"/>
    <xf numFmtId="0" fontId="8" fillId="4" borderId="0" xfId="0" applyFont="1" applyFill="1" applyAlignment="1" applyProtection="1">
      <alignment horizontal="left"/>
    </xf>
    <xf numFmtId="0" fontId="15" fillId="4" borderId="0" xfId="0" applyFont="1" applyFill="1" applyAlignment="1" applyProtection="1">
      <alignment horizontal="left"/>
    </xf>
    <xf numFmtId="0" fontId="15" fillId="4" borderId="0" xfId="0" applyFont="1" applyFill="1" applyAlignment="1" applyProtection="1">
      <alignment horizontal="center"/>
    </xf>
    <xf numFmtId="0" fontId="5" fillId="4" borderId="0" xfId="0" applyFont="1" applyFill="1" applyAlignment="1" applyProtection="1">
      <alignment horizontal="left"/>
    </xf>
    <xf numFmtId="0" fontId="30" fillId="4" borderId="0" xfId="0" applyFont="1" applyFill="1" applyAlignment="1" applyProtection="1">
      <alignment horizontal="left"/>
    </xf>
    <xf numFmtId="0" fontId="13" fillId="4" borderId="0" xfId="0" applyFont="1" applyFill="1" applyAlignment="1" applyProtection="1">
      <alignment horizontal="left"/>
    </xf>
    <xf numFmtId="0" fontId="0" fillId="4" borderId="0" xfId="0" applyFill="1" applyAlignment="1" applyProtection="1"/>
    <xf numFmtId="0" fontId="0" fillId="4" borderId="1" xfId="0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/>
    </xf>
    <xf numFmtId="0" fontId="0" fillId="7" borderId="0" xfId="0" applyFill="1" applyAlignment="1" applyProtection="1">
      <alignment horizontal="left"/>
    </xf>
    <xf numFmtId="38" fontId="0" fillId="0" borderId="8" xfId="0" applyNumberFormat="1" applyFill="1" applyBorder="1" applyAlignment="1" applyProtection="1">
      <alignment horizontal="center"/>
    </xf>
    <xf numFmtId="2" fontId="0" fillId="0" borderId="9" xfId="0" applyNumberForma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2" fontId="20" fillId="0" borderId="51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Border="1" applyAlignment="1" applyProtection="1">
      <alignment horizontal="center"/>
    </xf>
    <xf numFmtId="0" fontId="6" fillId="0" borderId="51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51" xfId="0" applyFont="1" applyFill="1" applyBorder="1" applyAlignment="1" applyProtection="1">
      <alignment horizontal="center"/>
    </xf>
    <xf numFmtId="1" fontId="5" fillId="0" borderId="8" xfId="0" applyNumberFormat="1" applyFont="1" applyFill="1" applyBorder="1" applyAlignment="1" applyProtection="1">
      <alignment horizontal="center"/>
    </xf>
    <xf numFmtId="0" fontId="3" fillId="0" borderId="51" xfId="0" applyFont="1" applyFill="1" applyBorder="1" applyAlignment="1" applyProtection="1">
      <alignment horizontal="center"/>
    </xf>
    <xf numFmtId="165" fontId="0" fillId="0" borderId="8" xfId="0" applyNumberForma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9" xfId="0" applyFill="1" applyBorder="1" applyAlignment="1" applyProtection="1">
      <alignment horizontal="center"/>
    </xf>
    <xf numFmtId="2" fontId="6" fillId="0" borderId="0" xfId="0" applyNumberFormat="1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left"/>
    </xf>
    <xf numFmtId="1" fontId="0" fillId="0" borderId="0" xfId="0" applyNumberFormat="1" applyFill="1" applyBorder="1" applyAlignment="1" applyProtection="1">
      <alignment horizontal="center"/>
    </xf>
    <xf numFmtId="1" fontId="0" fillId="0" borderId="1" xfId="0" applyNumberFormat="1" applyFill="1" applyBorder="1" applyAlignment="1" applyProtection="1">
      <alignment horizontal="center"/>
    </xf>
    <xf numFmtId="0" fontId="0" fillId="5" borderId="0" xfId="0" applyFill="1" applyProtection="1"/>
    <xf numFmtId="0" fontId="5" fillId="3" borderId="0" xfId="0" applyFont="1" applyFill="1" applyAlignment="1" applyProtection="1">
      <alignment horizontal="left"/>
    </xf>
    <xf numFmtId="0" fontId="0" fillId="3" borderId="0" xfId="0" applyFill="1" applyAlignment="1" applyProtection="1">
      <alignment horizontal="left"/>
    </xf>
    <xf numFmtId="0" fontId="0" fillId="3" borderId="0" xfId="0" applyFill="1" applyAlignment="1" applyProtection="1"/>
    <xf numFmtId="0" fontId="16" fillId="3" borderId="0" xfId="0" applyFont="1" applyFill="1" applyAlignment="1" applyProtection="1">
      <alignment horizontal="left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0" fontId="20" fillId="3" borderId="0" xfId="0" applyFont="1" applyFill="1" applyAlignment="1" applyProtection="1">
      <alignment horizontal="center"/>
    </xf>
    <xf numFmtId="0" fontId="39" fillId="3" borderId="0" xfId="0" applyFont="1" applyFill="1" applyAlignment="1" applyProtection="1">
      <alignment horizontal="left"/>
    </xf>
    <xf numFmtId="0" fontId="39" fillId="3" borderId="0" xfId="0" applyFont="1" applyFill="1" applyAlignment="1" applyProtection="1"/>
    <xf numFmtId="0" fontId="6" fillId="3" borderId="0" xfId="0" applyFont="1" applyFill="1" applyAlignment="1" applyProtection="1">
      <alignment horizontal="center"/>
    </xf>
    <xf numFmtId="0" fontId="0" fillId="3" borderId="10" xfId="0" applyFill="1" applyBorder="1" applyAlignment="1" applyProtection="1"/>
    <xf numFmtId="0" fontId="3" fillId="3" borderId="0" xfId="0" applyFont="1" applyFill="1" applyAlignment="1" applyProtection="1"/>
    <xf numFmtId="0" fontId="0" fillId="3" borderId="1" xfId="0" applyFill="1" applyBorder="1" applyAlignment="1" applyProtection="1"/>
    <xf numFmtId="0" fontId="0" fillId="3" borderId="2" xfId="0" applyFill="1" applyBorder="1" applyAlignment="1" applyProtection="1">
      <alignment horizontal="center"/>
    </xf>
    <xf numFmtId="0" fontId="0" fillId="3" borderId="27" xfId="0" applyFill="1" applyBorder="1" applyAlignment="1" applyProtection="1">
      <alignment horizontal="center"/>
    </xf>
    <xf numFmtId="0" fontId="0" fillId="3" borderId="0" xfId="0" applyFill="1" applyAlignment="1" applyProtection="1">
      <alignment horizontal="right"/>
    </xf>
    <xf numFmtId="0" fontId="0" fillId="3" borderId="3" xfId="0" applyFill="1" applyBorder="1" applyAlignment="1" applyProtection="1">
      <alignment horizontal="center"/>
    </xf>
    <xf numFmtId="0" fontId="0" fillId="3" borderId="0" xfId="0" applyFill="1" applyProtection="1"/>
    <xf numFmtId="0" fontId="44" fillId="0" borderId="0" xfId="0" applyFont="1" applyFill="1" applyBorder="1" applyAlignment="1" applyProtection="1">
      <alignment horizontal="left"/>
    </xf>
    <xf numFmtId="0" fontId="40" fillId="0" borderId="0" xfId="0" applyFont="1" applyBorder="1" applyAlignment="1" applyProtection="1">
      <alignment horizontal="center" vertical="top"/>
    </xf>
    <xf numFmtId="0" fontId="40" fillId="0" borderId="47" xfId="0" applyFont="1" applyBorder="1" applyAlignment="1" applyProtection="1">
      <alignment horizontal="center" vertical="top"/>
    </xf>
    <xf numFmtId="0" fontId="40" fillId="0" borderId="0" xfId="0" applyFont="1" applyBorder="1" applyAlignment="1" applyProtection="1">
      <alignment horizontal="center" vertical="center"/>
    </xf>
    <xf numFmtId="0" fontId="40" fillId="0" borderId="47" xfId="0" applyFont="1" applyBorder="1" applyAlignment="1" applyProtection="1">
      <alignment horizontal="center" vertical="center"/>
    </xf>
    <xf numFmtId="166" fontId="0" fillId="0" borderId="0" xfId="0" applyNumberFormat="1" applyFill="1" applyBorder="1" applyAlignment="1" applyProtection="1">
      <alignment horizontal="center"/>
    </xf>
    <xf numFmtId="0" fontId="42" fillId="0" borderId="0" xfId="2" applyFont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41" fillId="0" borderId="1" xfId="0" applyFont="1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17" fillId="0" borderId="28" xfId="0" applyFont="1" applyFill="1" applyBorder="1" applyAlignment="1" applyProtection="1">
      <alignment horizontal="center" vertical="center"/>
    </xf>
    <xf numFmtId="0" fontId="17" fillId="0" borderId="29" xfId="0" applyFont="1" applyFill="1" applyBorder="1" applyAlignment="1" applyProtection="1">
      <alignment horizontal="center" vertical="center"/>
    </xf>
    <xf numFmtId="0" fontId="17" fillId="0" borderId="27" xfId="0" applyFont="1" applyFill="1" applyBorder="1" applyAlignment="1" applyProtection="1">
      <alignment horizontal="center" vertical="center"/>
    </xf>
    <xf numFmtId="0" fontId="35" fillId="0" borderId="0" xfId="0" applyFont="1"/>
    <xf numFmtId="0" fontId="3" fillId="0" borderId="0" xfId="0" applyFont="1" applyBorder="1" applyAlignment="1" applyProtection="1">
      <alignment horizontal="left"/>
    </xf>
    <xf numFmtId="0" fontId="3" fillId="0" borderId="5" xfId="0" applyFont="1" applyBorder="1" applyAlignment="1" applyProtection="1">
      <alignment horizontal="left"/>
    </xf>
    <xf numFmtId="0" fontId="43" fillId="0" borderId="0" xfId="0" applyFont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35" fillId="0" borderId="0" xfId="0" applyFont="1" applyFill="1" applyAlignment="1" applyProtection="1">
      <alignment horizontal="left"/>
    </xf>
    <xf numFmtId="0" fontId="34" fillId="3" borderId="0" xfId="0" applyFont="1" applyFill="1" applyAlignment="1" applyProtection="1">
      <alignment horizontal="center"/>
    </xf>
    <xf numFmtId="0" fontId="45" fillId="0" borderId="0" xfId="0" applyFont="1" applyFill="1" applyBorder="1" applyAlignment="1" applyProtection="1">
      <alignment horizontal="center" vertical="top" wrapText="1"/>
    </xf>
    <xf numFmtId="0" fontId="0" fillId="0" borderId="39" xfId="0" applyFill="1" applyBorder="1" applyAlignment="1" applyProtection="1">
      <alignment horizontal="center" vertical="top" wrapText="1"/>
    </xf>
    <xf numFmtId="0" fontId="0" fillId="0" borderId="0" xfId="0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/>
    </xf>
    <xf numFmtId="9" fontId="37" fillId="0" borderId="7" xfId="5" applyFont="1" applyFill="1" applyBorder="1" applyAlignment="1" applyProtection="1">
      <alignment horizontal="center" wrapText="1"/>
    </xf>
    <xf numFmtId="9" fontId="37" fillId="0" borderId="40" xfId="5" applyFont="1" applyFill="1" applyBorder="1" applyAlignment="1" applyProtection="1">
      <alignment horizontal="center" wrapText="1"/>
    </xf>
    <xf numFmtId="0" fontId="11" fillId="0" borderId="7" xfId="0" applyFont="1" applyFill="1" applyBorder="1" applyAlignment="1" applyProtection="1">
      <alignment horizontal="left" vertical="top" wrapText="1"/>
    </xf>
    <xf numFmtId="0" fontId="11" fillId="0" borderId="40" xfId="0" applyFont="1" applyFill="1" applyBorder="1" applyAlignment="1" applyProtection="1">
      <alignment horizontal="left" vertical="top" wrapText="1"/>
    </xf>
    <xf numFmtId="0" fontId="24" fillId="0" borderId="5" xfId="0" applyFont="1" applyBorder="1" applyAlignment="1" applyProtection="1">
      <alignment horizontal="center" vertical="center" wrapText="1"/>
    </xf>
  </cellXfs>
  <cellStyles count="6">
    <cellStyle name="Comma_SERWKSHT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_SWRWKSHT" xfId="4" xr:uid="{00000000-0005-0000-0000-000004000000}"/>
    <cellStyle name="Percent" xfId="5" builtinId="5"/>
  </cellStyles>
  <dxfs count="1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21</xdr:row>
      <xdr:rowOff>85725</xdr:rowOff>
    </xdr:from>
    <xdr:to>
      <xdr:col>6</xdr:col>
      <xdr:colOff>561975</xdr:colOff>
      <xdr:row>21</xdr:row>
      <xdr:rowOff>85725</xdr:rowOff>
    </xdr:to>
    <xdr:sp macro="" textlink="">
      <xdr:nvSpPr>
        <xdr:cNvPr id="13448" name="Line 1">
          <a:extLst>
            <a:ext uri="{FF2B5EF4-FFF2-40B4-BE49-F238E27FC236}">
              <a16:creationId xmlns:a16="http://schemas.microsoft.com/office/drawing/2014/main" id="{00000000-0008-0000-0000-000088340000}"/>
            </a:ext>
          </a:extLst>
        </xdr:cNvPr>
        <xdr:cNvSpPr>
          <a:spLocks noChangeShapeType="1"/>
        </xdr:cNvSpPr>
      </xdr:nvSpPr>
      <xdr:spPr bwMode="auto">
        <a:xfrm>
          <a:off x="10334625" y="3209925"/>
          <a:ext cx="1047750" cy="0"/>
        </a:xfrm>
        <a:prstGeom prst="lin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57</xdr:row>
      <xdr:rowOff>66675</xdr:rowOff>
    </xdr:from>
    <xdr:to>
      <xdr:col>10</xdr:col>
      <xdr:colOff>0</xdr:colOff>
      <xdr:row>63</xdr:row>
      <xdr:rowOff>104775</xdr:rowOff>
    </xdr:to>
    <xdr:sp macro="" textlink="">
      <xdr:nvSpPr>
        <xdr:cNvPr id="15361" name="Rectangle 5">
          <a:extLst>
            <a:ext uri="{FF2B5EF4-FFF2-40B4-BE49-F238E27FC236}">
              <a16:creationId xmlns:a16="http://schemas.microsoft.com/office/drawing/2014/main" id="{00000000-0008-0000-0100-0000013C0000}"/>
            </a:ext>
          </a:extLst>
        </xdr:cNvPr>
        <xdr:cNvSpPr>
          <a:spLocks noChangeArrowheads="1"/>
        </xdr:cNvSpPr>
      </xdr:nvSpPr>
      <xdr:spPr bwMode="auto">
        <a:xfrm>
          <a:off x="1038225" y="8743950"/>
          <a:ext cx="4105275" cy="1009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85725</xdr:colOff>
      <xdr:row>30</xdr:row>
      <xdr:rowOff>66675</xdr:rowOff>
    </xdr:from>
    <xdr:to>
      <xdr:col>13</xdr:col>
      <xdr:colOff>381000</xdr:colOff>
      <xdr:row>30</xdr:row>
      <xdr:rowOff>66675</xdr:rowOff>
    </xdr:to>
    <xdr:sp macro="" textlink="">
      <xdr:nvSpPr>
        <xdr:cNvPr id="15362" name="Line 8">
          <a:extLst>
            <a:ext uri="{FF2B5EF4-FFF2-40B4-BE49-F238E27FC236}">
              <a16:creationId xmlns:a16="http://schemas.microsoft.com/office/drawing/2014/main" id="{00000000-0008-0000-0100-0000023C0000}"/>
            </a:ext>
          </a:extLst>
        </xdr:cNvPr>
        <xdr:cNvSpPr>
          <a:spLocks noChangeShapeType="1"/>
        </xdr:cNvSpPr>
      </xdr:nvSpPr>
      <xdr:spPr bwMode="auto">
        <a:xfrm flipH="1">
          <a:off x="6772275" y="43529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504825</xdr:colOff>
      <xdr:row>64</xdr:row>
      <xdr:rowOff>85725</xdr:rowOff>
    </xdr:from>
    <xdr:to>
      <xdr:col>8</xdr:col>
      <xdr:colOff>66675</xdr:colOff>
      <xdr:row>66</xdr:row>
      <xdr:rowOff>76200</xdr:rowOff>
    </xdr:to>
    <xdr:sp macro="" textlink="">
      <xdr:nvSpPr>
        <xdr:cNvPr id="15363" name="Line 16">
          <a:extLst>
            <a:ext uri="{FF2B5EF4-FFF2-40B4-BE49-F238E27FC236}">
              <a16:creationId xmlns:a16="http://schemas.microsoft.com/office/drawing/2014/main" id="{00000000-0008-0000-0100-0000033C0000}"/>
            </a:ext>
          </a:extLst>
        </xdr:cNvPr>
        <xdr:cNvSpPr>
          <a:spLocks noChangeShapeType="1"/>
        </xdr:cNvSpPr>
      </xdr:nvSpPr>
      <xdr:spPr bwMode="auto">
        <a:xfrm flipH="1">
          <a:off x="4105275" y="9896475"/>
          <a:ext cx="76200" cy="314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152400</xdr:colOff>
      <xdr:row>65</xdr:row>
      <xdr:rowOff>123825</xdr:rowOff>
    </xdr:from>
    <xdr:to>
      <xdr:col>8</xdr:col>
      <xdr:colOff>266700</xdr:colOff>
      <xdr:row>66</xdr:row>
      <xdr:rowOff>66675</xdr:rowOff>
    </xdr:to>
    <xdr:sp macro="" textlink="">
      <xdr:nvSpPr>
        <xdr:cNvPr id="15364" name="Line 33">
          <a:extLst>
            <a:ext uri="{FF2B5EF4-FFF2-40B4-BE49-F238E27FC236}">
              <a16:creationId xmlns:a16="http://schemas.microsoft.com/office/drawing/2014/main" id="{00000000-0008-0000-0100-0000043C0000}"/>
            </a:ext>
          </a:extLst>
        </xdr:cNvPr>
        <xdr:cNvSpPr>
          <a:spLocks noChangeShapeType="1"/>
        </xdr:cNvSpPr>
      </xdr:nvSpPr>
      <xdr:spPr bwMode="auto">
        <a:xfrm flipH="1" flipV="1">
          <a:off x="4267200" y="10096500"/>
          <a:ext cx="11430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65</xdr:row>
      <xdr:rowOff>66675</xdr:rowOff>
    </xdr:from>
    <xdr:to>
      <xdr:col>7</xdr:col>
      <xdr:colOff>371475</xdr:colOff>
      <xdr:row>66</xdr:row>
      <xdr:rowOff>0</xdr:rowOff>
    </xdr:to>
    <xdr:sp macro="" textlink="">
      <xdr:nvSpPr>
        <xdr:cNvPr id="15365" name="Line 34">
          <a:extLst>
            <a:ext uri="{FF2B5EF4-FFF2-40B4-BE49-F238E27FC236}">
              <a16:creationId xmlns:a16="http://schemas.microsoft.com/office/drawing/2014/main" id="{00000000-0008-0000-0100-0000053C0000}"/>
            </a:ext>
          </a:extLst>
        </xdr:cNvPr>
        <xdr:cNvSpPr>
          <a:spLocks noChangeShapeType="1"/>
        </xdr:cNvSpPr>
      </xdr:nvSpPr>
      <xdr:spPr bwMode="auto">
        <a:xfrm flipV="1">
          <a:off x="3857625" y="10039350"/>
          <a:ext cx="114300" cy="95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51</xdr:row>
      <xdr:rowOff>0</xdr:rowOff>
    </xdr:from>
    <xdr:to>
      <xdr:col>3</xdr:col>
      <xdr:colOff>304800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1714500" y="12858750"/>
          <a:ext cx="0" cy="128587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22</xdr:row>
      <xdr:rowOff>9525</xdr:rowOff>
    </xdr:from>
    <xdr:to>
      <xdr:col>3</xdr:col>
      <xdr:colOff>304800</xdr:colOff>
      <xdr:row>38</xdr:row>
      <xdr:rowOff>9525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714500" y="8296275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22</xdr:row>
      <xdr:rowOff>0</xdr:rowOff>
    </xdr:from>
    <xdr:to>
      <xdr:col>3</xdr:col>
      <xdr:colOff>304800</xdr:colOff>
      <xdr:row>38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714500" y="8286750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51</xdr:row>
      <xdr:rowOff>9525</xdr:rowOff>
    </xdr:from>
    <xdr:to>
      <xdr:col>3</xdr:col>
      <xdr:colOff>304800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714500" y="12868275"/>
          <a:ext cx="0" cy="12763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342900</xdr:colOff>
      <xdr:row>33</xdr:row>
      <xdr:rowOff>28575</xdr:rowOff>
    </xdr:from>
    <xdr:to>
      <xdr:col>1</xdr:col>
      <xdr:colOff>342900</xdr:colOff>
      <xdr:row>35</xdr:row>
      <xdr:rowOff>104775</xdr:rowOff>
    </xdr:to>
    <xdr:sp macro="" textlink="">
      <xdr:nvSpPr>
        <xdr:cNvPr id="2" name="Line 3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H="1">
          <a:off x="419100" y="210312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342900</xdr:colOff>
      <xdr:row>33</xdr:row>
      <xdr:rowOff>28575</xdr:rowOff>
    </xdr:from>
    <xdr:to>
      <xdr:col>1</xdr:col>
      <xdr:colOff>342900</xdr:colOff>
      <xdr:row>35</xdr:row>
      <xdr:rowOff>104775</xdr:rowOff>
    </xdr:to>
    <xdr:sp macro="" textlink="">
      <xdr:nvSpPr>
        <xdr:cNvPr id="3" name="Line 3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419100" y="21031200"/>
          <a:ext cx="0" cy="361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2:AC117"/>
  <sheetViews>
    <sheetView showGridLines="0" tabSelected="1" zoomScale="88" zoomScaleNormal="88" workbookViewId="0">
      <selection activeCell="C44" sqref="C44:D44"/>
    </sheetView>
  </sheetViews>
  <sheetFormatPr defaultRowHeight="12.75" customHeight="1" x14ac:dyDescent="0.2"/>
  <cols>
    <col min="1" max="6" width="7.7109375" style="81" customWidth="1"/>
    <col min="7" max="7" width="7.7109375" style="83" customWidth="1"/>
    <col min="8" max="256" width="7.7109375" style="81" customWidth="1"/>
    <col min="257" max="16384" width="9.140625" style="81"/>
  </cols>
  <sheetData>
    <row r="2" spans="2:29" ht="12.75" customHeight="1" thickBot="1" x14ac:dyDescent="0.25"/>
    <row r="3" spans="2:29" ht="16.5" customHeight="1" x14ac:dyDescent="0.2">
      <c r="B3" s="302"/>
      <c r="C3" s="303"/>
      <c r="D3" s="306"/>
      <c r="E3" s="306"/>
      <c r="F3" s="306"/>
      <c r="G3" s="283"/>
      <c r="H3" s="258"/>
      <c r="I3" s="258"/>
      <c r="J3" s="284"/>
      <c r="K3" s="258"/>
      <c r="L3" s="259"/>
    </row>
    <row r="4" spans="2:29" ht="12.75" customHeight="1" x14ac:dyDescent="0.2">
      <c r="B4" s="260" t="s">
        <v>111</v>
      </c>
      <c r="C4" s="4"/>
      <c r="D4" s="367"/>
      <c r="E4" s="367"/>
      <c r="F4" s="367"/>
      <c r="G4" s="15"/>
      <c r="H4" s="361" t="s">
        <v>226</v>
      </c>
      <c r="I4" s="361"/>
      <c r="J4" s="361"/>
      <c r="K4" s="361"/>
      <c r="L4" s="362"/>
    </row>
    <row r="5" spans="2:29" ht="12.75" customHeight="1" x14ac:dyDescent="0.2">
      <c r="B5" s="260" t="s">
        <v>112</v>
      </c>
      <c r="C5" s="4"/>
      <c r="D5" s="367"/>
      <c r="E5" s="367"/>
      <c r="F5" s="367"/>
      <c r="G5" s="367"/>
      <c r="H5" s="361"/>
      <c r="I5" s="361"/>
      <c r="J5" s="361"/>
      <c r="K5" s="361"/>
      <c r="L5" s="362"/>
    </row>
    <row r="6" spans="2:29" ht="12.75" customHeight="1" x14ac:dyDescent="0.2">
      <c r="B6" s="265"/>
      <c r="C6" s="44"/>
      <c r="D6" s="365"/>
      <c r="E6" s="365"/>
      <c r="F6" s="365"/>
      <c r="G6" s="15"/>
      <c r="H6" s="363" t="s">
        <v>227</v>
      </c>
      <c r="I6" s="363"/>
      <c r="J6" s="363"/>
      <c r="K6" s="363"/>
      <c r="L6" s="364"/>
    </row>
    <row r="7" spans="2:29" ht="12.75" customHeight="1" x14ac:dyDescent="0.2">
      <c r="B7" s="265"/>
      <c r="C7" s="44"/>
      <c r="D7" s="44"/>
      <c r="E7" s="44"/>
      <c r="F7" s="44"/>
      <c r="G7" s="15"/>
      <c r="H7" s="363"/>
      <c r="I7" s="363"/>
      <c r="J7" s="363"/>
      <c r="K7" s="363"/>
      <c r="L7" s="364"/>
    </row>
    <row r="8" spans="2:29" ht="12.75" customHeight="1" x14ac:dyDescent="0.2">
      <c r="B8" s="260"/>
      <c r="C8" s="15"/>
      <c r="D8" s="369" t="s">
        <v>225</v>
      </c>
      <c r="E8" s="369"/>
      <c r="F8" s="369"/>
      <c r="G8" s="369"/>
      <c r="H8" s="369"/>
      <c r="I8" s="369"/>
      <c r="J8" s="4"/>
      <c r="K8" s="4"/>
      <c r="L8" s="261"/>
    </row>
    <row r="9" spans="2:29" ht="12.75" customHeight="1" x14ac:dyDescent="0.2">
      <c r="B9" s="260"/>
      <c r="C9" s="28"/>
      <c r="D9" s="369"/>
      <c r="E9" s="369"/>
      <c r="F9" s="369"/>
      <c r="G9" s="369"/>
      <c r="H9" s="369"/>
      <c r="I9" s="369"/>
      <c r="J9" s="4"/>
      <c r="K9" s="4"/>
      <c r="L9" s="261"/>
    </row>
    <row r="10" spans="2:29" ht="12.75" customHeight="1" x14ac:dyDescent="0.2">
      <c r="B10" s="285"/>
      <c r="C10" s="21"/>
      <c r="D10" s="370"/>
      <c r="E10" s="370"/>
      <c r="F10" s="370"/>
      <c r="G10" s="370"/>
      <c r="H10" s="370"/>
      <c r="I10" s="370"/>
      <c r="J10" s="29"/>
      <c r="K10" s="29"/>
      <c r="L10" s="286"/>
    </row>
    <row r="11" spans="2:29" ht="12.75" customHeight="1" x14ac:dyDescent="0.2">
      <c r="B11" s="287"/>
      <c r="C11" s="4"/>
      <c r="D11" s="4"/>
      <c r="E11" s="4"/>
      <c r="F11" s="4"/>
      <c r="G11" s="4"/>
      <c r="H11" s="15"/>
      <c r="I11" s="15"/>
      <c r="J11" s="15"/>
      <c r="K11" s="15"/>
      <c r="L11" s="261"/>
    </row>
    <row r="12" spans="2:29" ht="12.75" customHeight="1" x14ac:dyDescent="0.2">
      <c r="B12" s="260"/>
      <c r="C12" s="4"/>
      <c r="D12" s="28"/>
      <c r="E12" s="28"/>
      <c r="F12" s="28"/>
      <c r="G12" s="28"/>
      <c r="H12" s="15" t="s">
        <v>0</v>
      </c>
      <c r="I12" s="15"/>
      <c r="J12" s="15"/>
      <c r="K12" s="15" t="s">
        <v>120</v>
      </c>
      <c r="L12" s="261"/>
      <c r="Z12" s="93"/>
    </row>
    <row r="13" spans="2:29" ht="12.75" customHeight="1" x14ac:dyDescent="0.2">
      <c r="B13" s="260"/>
      <c r="C13" s="4"/>
      <c r="D13" s="28"/>
      <c r="E13" s="28"/>
      <c r="F13" s="28"/>
      <c r="G13" s="28"/>
      <c r="H13" s="30" t="s">
        <v>2</v>
      </c>
      <c r="I13" s="30"/>
      <c r="J13" s="30"/>
      <c r="K13" s="30" t="s">
        <v>2</v>
      </c>
      <c r="L13" s="261"/>
      <c r="Z13" s="96"/>
      <c r="AA13" s="83"/>
    </row>
    <row r="14" spans="2:29" ht="12.75" customHeight="1" x14ac:dyDescent="0.2">
      <c r="B14" s="288"/>
      <c r="C14" s="366" t="s">
        <v>121</v>
      </c>
      <c r="D14" s="366"/>
      <c r="E14" s="4"/>
      <c r="F14" s="4"/>
      <c r="G14" s="4"/>
      <c r="H14" s="15"/>
      <c r="I14" s="15"/>
      <c r="J14" s="15"/>
      <c r="K14" s="15"/>
      <c r="L14" s="261"/>
      <c r="AC14" s="82"/>
    </row>
    <row r="15" spans="2:29" ht="12.75" customHeight="1" x14ac:dyDescent="0.2">
      <c r="B15" s="260"/>
      <c r="C15" s="4"/>
      <c r="D15" s="31" t="s">
        <v>122</v>
      </c>
      <c r="E15" s="4"/>
      <c r="F15" s="62"/>
      <c r="G15" s="4"/>
      <c r="H15" s="15">
        <v>17</v>
      </c>
      <c r="I15" s="15"/>
      <c r="J15" s="15"/>
      <c r="K15" s="323">
        <f>'Traffic &amp; Accidents'!L36</f>
        <v>0</v>
      </c>
      <c r="L15" s="261"/>
      <c r="AC15" s="82"/>
    </row>
    <row r="16" spans="2:29" ht="12.75" customHeight="1" x14ac:dyDescent="0.2">
      <c r="B16" s="260"/>
      <c r="C16" s="4"/>
      <c r="D16" s="31"/>
      <c r="E16" s="4"/>
      <c r="F16" s="62"/>
      <c r="G16" s="4"/>
      <c r="H16" s="15"/>
      <c r="I16" s="15"/>
      <c r="J16" s="15"/>
      <c r="K16" s="323"/>
      <c r="L16" s="261"/>
      <c r="AC16" s="82"/>
    </row>
    <row r="17" spans="1:29" ht="12.75" customHeight="1" x14ac:dyDescent="0.2">
      <c r="A17" s="82"/>
      <c r="B17" s="260"/>
      <c r="C17" s="4"/>
      <c r="D17" s="31" t="s">
        <v>123</v>
      </c>
      <c r="E17" s="4"/>
      <c r="F17" s="62"/>
      <c r="G17" s="4"/>
      <c r="H17" s="29">
        <v>5</v>
      </c>
      <c r="I17" s="15"/>
      <c r="J17" s="15"/>
      <c r="K17" s="324">
        <f>'Traffic &amp; Accidents'!K69</f>
        <v>0</v>
      </c>
      <c r="L17" s="261"/>
      <c r="Z17" s="84"/>
      <c r="AC17" s="97"/>
    </row>
    <row r="18" spans="1:29" ht="12.75" customHeight="1" x14ac:dyDescent="0.2">
      <c r="A18" s="82"/>
      <c r="B18" s="260"/>
      <c r="C18" s="4"/>
      <c r="D18" s="4"/>
      <c r="E18" s="4"/>
      <c r="F18" s="62"/>
      <c r="G18" s="66" t="s">
        <v>4</v>
      </c>
      <c r="H18" s="13">
        <f>SUM(H15:H17)</f>
        <v>22</v>
      </c>
      <c r="I18" s="13"/>
      <c r="J18" s="13"/>
      <c r="K18" s="325">
        <f>ROUND(SUM(K15:K17),2)</f>
        <v>0</v>
      </c>
      <c r="L18" s="261"/>
      <c r="Z18" s="84"/>
      <c r="AC18" s="97"/>
    </row>
    <row r="19" spans="1:29" ht="12.75" customHeight="1" thickBot="1" x14ac:dyDescent="0.25">
      <c r="A19" s="82"/>
      <c r="B19" s="260"/>
      <c r="C19" s="271"/>
      <c r="D19" s="271"/>
      <c r="E19" s="271"/>
      <c r="F19" s="272"/>
      <c r="G19" s="273"/>
      <c r="H19" s="274"/>
      <c r="I19" s="274"/>
      <c r="J19" s="274"/>
      <c r="K19" s="326"/>
      <c r="L19" s="261"/>
      <c r="Z19" s="98"/>
      <c r="AC19" s="82"/>
    </row>
    <row r="20" spans="1:29" ht="12.75" customHeight="1" thickTop="1" x14ac:dyDescent="0.2">
      <c r="A20" s="82"/>
      <c r="B20" s="260"/>
      <c r="C20" s="4"/>
      <c r="D20" s="4"/>
      <c r="E20" s="4"/>
      <c r="F20" s="62"/>
      <c r="G20" s="66"/>
      <c r="H20" s="13"/>
      <c r="I20" s="13"/>
      <c r="J20" s="13"/>
      <c r="K20" s="325"/>
      <c r="L20" s="261"/>
      <c r="Z20" s="98"/>
      <c r="AC20" s="82"/>
    </row>
    <row r="21" spans="1:29" ht="12.75" customHeight="1" x14ac:dyDescent="0.2">
      <c r="A21" s="82"/>
      <c r="B21" s="260"/>
      <c r="C21" s="4"/>
      <c r="D21" s="4"/>
      <c r="E21" s="4"/>
      <c r="F21" s="62"/>
      <c r="G21" s="66"/>
      <c r="H21" s="13"/>
      <c r="I21" s="13"/>
      <c r="J21" s="13"/>
      <c r="K21" s="327"/>
      <c r="L21" s="261"/>
      <c r="Z21" s="98"/>
    </row>
    <row r="22" spans="1:29" ht="12.75" customHeight="1" x14ac:dyDescent="0.2">
      <c r="A22" s="82"/>
      <c r="B22" s="260"/>
      <c r="C22" s="366" t="s">
        <v>8</v>
      </c>
      <c r="D22" s="366"/>
      <c r="E22" s="366"/>
      <c r="F22" s="28"/>
      <c r="G22" s="28"/>
      <c r="H22" s="34">
        <v>20</v>
      </c>
      <c r="I22" s="34"/>
      <c r="J22" s="34"/>
      <c r="K22" s="78">
        <f>IF('Traffic &amp; Accidents'!F13&lt;&gt;0,20,0)</f>
        <v>0</v>
      </c>
      <c r="L22" s="261"/>
      <c r="M22" s="87"/>
      <c r="Z22" s="84"/>
    </row>
    <row r="23" spans="1:29" ht="12.75" customHeight="1" x14ac:dyDescent="0.2">
      <c r="A23" s="82"/>
      <c r="B23" s="260"/>
      <c r="C23" s="16"/>
      <c r="D23" s="4"/>
      <c r="E23" s="28"/>
      <c r="F23" s="28"/>
      <c r="G23" s="28"/>
      <c r="H23" s="34"/>
      <c r="I23" s="34"/>
      <c r="J23" s="34"/>
      <c r="K23" s="78"/>
      <c r="L23" s="261"/>
      <c r="M23" s="87"/>
      <c r="Z23" s="84"/>
    </row>
    <row r="24" spans="1:29" ht="12.75" customHeight="1" thickBot="1" x14ac:dyDescent="0.25">
      <c r="B24" s="260"/>
      <c r="C24" s="275"/>
      <c r="D24" s="271"/>
      <c r="E24" s="276"/>
      <c r="F24" s="276"/>
      <c r="G24" s="276"/>
      <c r="H24" s="277"/>
      <c r="I24" s="277"/>
      <c r="J24" s="277"/>
      <c r="K24" s="328"/>
      <c r="L24" s="261"/>
      <c r="M24" s="87"/>
      <c r="Z24" s="86"/>
    </row>
    <row r="25" spans="1:29" ht="12.75" customHeight="1" thickTop="1" x14ac:dyDescent="0.2">
      <c r="B25" s="260"/>
      <c r="C25" s="16"/>
      <c r="D25" s="4"/>
      <c r="E25" s="28"/>
      <c r="F25" s="28"/>
      <c r="G25" s="28"/>
      <c r="H25" s="34"/>
      <c r="I25" s="34"/>
      <c r="J25" s="34"/>
      <c r="K25" s="329"/>
      <c r="L25" s="261"/>
      <c r="M25" s="87"/>
      <c r="Z25" s="86"/>
    </row>
    <row r="26" spans="1:29" ht="12.75" customHeight="1" x14ac:dyDescent="0.2">
      <c r="B26" s="260"/>
      <c r="C26" s="366" t="s">
        <v>105</v>
      </c>
      <c r="D26" s="366"/>
      <c r="E26" s="366"/>
      <c r="F26" s="366"/>
      <c r="G26" s="4"/>
      <c r="H26" s="39"/>
      <c r="I26" s="39"/>
      <c r="J26" s="4"/>
      <c r="K26" s="319"/>
      <c r="L26" s="263"/>
    </row>
    <row r="27" spans="1:29" ht="12.75" customHeight="1" x14ac:dyDescent="0.2">
      <c r="B27" s="260"/>
      <c r="C27" s="16"/>
      <c r="D27" s="4"/>
      <c r="E27" s="4" t="s">
        <v>5</v>
      </c>
      <c r="F27" s="4"/>
      <c r="G27" s="39"/>
      <c r="H27" s="15">
        <v>25</v>
      </c>
      <c r="I27" s="15"/>
      <c r="J27" s="368" t="s">
        <v>107</v>
      </c>
      <c r="K27" s="372">
        <f>IF(Structure!E7&gt;35,35,Structure!E7)</f>
        <v>0</v>
      </c>
      <c r="L27" s="371"/>
    </row>
    <row r="28" spans="1:29" ht="12.75" customHeight="1" x14ac:dyDescent="0.2">
      <c r="B28" s="260"/>
      <c r="C28" s="4"/>
      <c r="D28" s="4"/>
      <c r="E28" s="4" t="s">
        <v>6</v>
      </c>
      <c r="F28" s="4"/>
      <c r="G28" s="39"/>
      <c r="H28" s="301">
        <v>5</v>
      </c>
      <c r="I28" s="301"/>
      <c r="J28" s="368"/>
      <c r="K28" s="373"/>
      <c r="L28" s="371"/>
    </row>
    <row r="29" spans="1:29" ht="12.75" customHeight="1" x14ac:dyDescent="0.2">
      <c r="B29" s="260"/>
      <c r="C29" s="4"/>
      <c r="D29" s="4"/>
      <c r="E29" s="31" t="s">
        <v>157</v>
      </c>
      <c r="F29" s="4"/>
      <c r="G29" s="39"/>
      <c r="H29" s="293">
        <v>5</v>
      </c>
      <c r="I29" s="293"/>
      <c r="J29" s="368"/>
      <c r="K29" s="374"/>
      <c r="L29" s="263"/>
    </row>
    <row r="30" spans="1:29" ht="12.75" customHeight="1" x14ac:dyDescent="0.2">
      <c r="B30" s="260"/>
      <c r="C30" s="4"/>
      <c r="D30" s="4"/>
      <c r="E30" s="4"/>
      <c r="F30" s="4"/>
      <c r="G30" s="4"/>
      <c r="H30" s="4"/>
      <c r="I30" s="4"/>
      <c r="J30" s="18"/>
      <c r="K30" s="319"/>
      <c r="L30" s="289"/>
    </row>
    <row r="31" spans="1:29" ht="12.75" customHeight="1" x14ac:dyDescent="0.2">
      <c r="B31" s="260"/>
      <c r="C31" s="4"/>
      <c r="D31" s="4"/>
      <c r="E31" s="4"/>
      <c r="F31" s="26"/>
      <c r="G31" s="15"/>
      <c r="H31" s="19"/>
      <c r="I31" s="19"/>
      <c r="J31" s="4"/>
      <c r="K31" s="19"/>
      <c r="L31" s="261"/>
      <c r="Z31" s="84"/>
    </row>
    <row r="32" spans="1:29" ht="12.75" customHeight="1" x14ac:dyDescent="0.2">
      <c r="B32" s="260"/>
      <c r="C32" s="4"/>
      <c r="D32" s="4"/>
      <c r="E32" s="4"/>
      <c r="F32" s="20"/>
      <c r="G32" s="290" t="s">
        <v>4</v>
      </c>
      <c r="H32" s="36">
        <v>35</v>
      </c>
      <c r="I32" s="34"/>
      <c r="J32" s="66"/>
      <c r="K32" s="330">
        <f>K27</f>
        <v>0</v>
      </c>
      <c r="L32" s="261"/>
      <c r="Z32" s="84"/>
    </row>
    <row r="33" spans="2:26" ht="12.75" customHeight="1" thickBot="1" x14ac:dyDescent="0.25">
      <c r="B33" s="260"/>
      <c r="C33" s="271"/>
      <c r="D33" s="271"/>
      <c r="E33" s="271"/>
      <c r="F33" s="278"/>
      <c r="G33" s="279"/>
      <c r="H33" s="277"/>
      <c r="I33" s="277"/>
      <c r="J33" s="273"/>
      <c r="K33" s="331"/>
      <c r="L33" s="261"/>
      <c r="Z33" s="84"/>
    </row>
    <row r="34" spans="2:26" ht="12.75" customHeight="1" thickTop="1" x14ac:dyDescent="0.2">
      <c r="B34" s="260"/>
      <c r="C34" s="4"/>
      <c r="D34" s="4"/>
      <c r="E34" s="4"/>
      <c r="F34" s="4"/>
      <c r="G34" s="4"/>
      <c r="H34" s="34"/>
      <c r="I34" s="34"/>
      <c r="J34" s="34"/>
      <c r="K34" s="319"/>
      <c r="L34" s="261"/>
      <c r="Z34" s="84"/>
    </row>
    <row r="35" spans="2:26" ht="12.75" customHeight="1" x14ac:dyDescent="0.2">
      <c r="B35" s="260"/>
      <c r="C35" s="366" t="s">
        <v>125</v>
      </c>
      <c r="D35" s="366"/>
      <c r="E35" s="4"/>
      <c r="F35" s="28"/>
      <c r="G35" s="4"/>
      <c r="H35" s="15"/>
      <c r="I35" s="15"/>
      <c r="J35" s="15"/>
      <c r="K35" s="319"/>
      <c r="L35" s="261"/>
      <c r="Z35" s="84"/>
    </row>
    <row r="36" spans="2:26" ht="12.75" customHeight="1" x14ac:dyDescent="0.2">
      <c r="B36" s="260"/>
      <c r="C36" s="4"/>
      <c r="D36" s="31" t="s">
        <v>179</v>
      </c>
      <c r="E36" s="4"/>
      <c r="F36" s="4"/>
      <c r="G36" s="4"/>
      <c r="H36" s="32">
        <v>10</v>
      </c>
      <c r="I36" s="15"/>
      <c r="J36" s="62"/>
      <c r="K36" s="332">
        <f>Geometry!I29</f>
        <v>0</v>
      </c>
      <c r="L36" s="261"/>
      <c r="Z36" s="86"/>
    </row>
    <row r="37" spans="2:26" ht="12.75" customHeight="1" x14ac:dyDescent="0.2">
      <c r="B37" s="260"/>
      <c r="C37" s="4"/>
      <c r="D37" s="4" t="s">
        <v>163</v>
      </c>
      <c r="E37" s="4"/>
      <c r="F37" s="4"/>
      <c r="G37" s="4"/>
      <c r="H37" s="37">
        <v>5</v>
      </c>
      <c r="I37" s="15"/>
      <c r="J37" s="62"/>
      <c r="K37" s="324">
        <f>Geometry!C17</f>
        <v>0</v>
      </c>
      <c r="L37" s="261"/>
    </row>
    <row r="38" spans="2:26" ht="12.75" customHeight="1" x14ac:dyDescent="0.2">
      <c r="B38" s="260"/>
      <c r="C38" s="4"/>
      <c r="D38" s="4"/>
      <c r="E38" s="4"/>
      <c r="F38" s="4"/>
      <c r="G38" s="66" t="s">
        <v>4</v>
      </c>
      <c r="H38" s="13">
        <f>SUM(H35:H37)</f>
        <v>15</v>
      </c>
      <c r="I38" s="13"/>
      <c r="J38" s="13"/>
      <c r="K38" s="325">
        <f>ROUND(SUM(K35:K37),2)</f>
        <v>0</v>
      </c>
      <c r="L38" s="261"/>
      <c r="Z38" s="86"/>
    </row>
    <row r="39" spans="2:26" ht="12.75" customHeight="1" x14ac:dyDescent="0.2">
      <c r="B39" s="260"/>
      <c r="C39" s="291" t="s">
        <v>180</v>
      </c>
      <c r="D39" s="4"/>
      <c r="E39" s="4"/>
      <c r="F39" s="4"/>
      <c r="G39" s="66"/>
      <c r="H39" s="13"/>
      <c r="I39" s="13"/>
      <c r="J39" s="13"/>
      <c r="K39" s="325"/>
      <c r="L39" s="261"/>
      <c r="Z39" s="84"/>
    </row>
    <row r="40" spans="2:26" ht="12.75" customHeight="1" x14ac:dyDescent="0.2">
      <c r="B40" s="260"/>
      <c r="C40" s="292" t="s">
        <v>181</v>
      </c>
      <c r="D40" s="15"/>
      <c r="E40" s="15"/>
      <c r="F40" s="4"/>
      <c r="G40" s="15"/>
      <c r="H40" s="4"/>
      <c r="I40" s="4"/>
      <c r="J40" s="4"/>
      <c r="K40" s="319"/>
      <c r="L40" s="261"/>
      <c r="Z40" s="84"/>
    </row>
    <row r="41" spans="2:26" ht="12.75" customHeight="1" x14ac:dyDescent="0.2">
      <c r="B41" s="260"/>
      <c r="C41" s="292" t="s">
        <v>182</v>
      </c>
      <c r="D41" s="293"/>
      <c r="E41" s="15"/>
      <c r="F41" s="4"/>
      <c r="G41" s="15"/>
      <c r="H41" s="15"/>
      <c r="I41" s="15"/>
      <c r="J41" s="15"/>
      <c r="K41" s="319"/>
      <c r="L41" s="261"/>
    </row>
    <row r="42" spans="2:26" ht="12.75" customHeight="1" thickBot="1" x14ac:dyDescent="0.25">
      <c r="B42" s="260"/>
      <c r="C42" s="271"/>
      <c r="D42" s="280"/>
      <c r="E42" s="280"/>
      <c r="F42" s="271"/>
      <c r="G42" s="280"/>
      <c r="H42" s="280"/>
      <c r="I42" s="280"/>
      <c r="J42" s="280"/>
      <c r="K42" s="333"/>
      <c r="L42" s="261"/>
    </row>
    <row r="43" spans="2:26" ht="12.75" customHeight="1" thickTop="1" x14ac:dyDescent="0.2">
      <c r="B43" s="260"/>
      <c r="C43" s="4"/>
      <c r="D43" s="4"/>
      <c r="E43" s="4"/>
      <c r="F43" s="4"/>
      <c r="G43" s="4"/>
      <c r="H43" s="34"/>
      <c r="I43" s="34"/>
      <c r="J43" s="34"/>
      <c r="K43" s="319"/>
      <c r="L43" s="261"/>
    </row>
    <row r="44" spans="2:26" ht="12.75" customHeight="1" x14ac:dyDescent="0.2">
      <c r="B44" s="260"/>
      <c r="C44" s="366" t="s">
        <v>169</v>
      </c>
      <c r="D44" s="366"/>
      <c r="E44" s="188" t="s">
        <v>170</v>
      </c>
      <c r="F44" s="28"/>
      <c r="G44" s="4"/>
      <c r="H44" s="15"/>
      <c r="I44" s="15"/>
      <c r="J44" s="15"/>
      <c r="K44" s="19"/>
      <c r="L44" s="261"/>
      <c r="Z44" s="86"/>
    </row>
    <row r="45" spans="2:26" ht="12.75" customHeight="1" x14ac:dyDescent="0.2">
      <c r="B45" s="260"/>
      <c r="C45" s="4"/>
      <c r="D45" s="16" t="s">
        <v>126</v>
      </c>
      <c r="E45" s="4"/>
      <c r="F45" s="4"/>
      <c r="G45" s="4"/>
      <c r="H45" s="4"/>
      <c r="I45" s="4"/>
      <c r="J45" s="4"/>
      <c r="K45" s="319"/>
      <c r="L45" s="261"/>
      <c r="Z45" s="84"/>
    </row>
    <row r="46" spans="2:26" ht="12.75" customHeight="1" x14ac:dyDescent="0.2">
      <c r="B46" s="260"/>
      <c r="C46" s="4"/>
      <c r="D46" s="18">
        <v>1</v>
      </c>
      <c r="E46" s="294" t="s">
        <v>167</v>
      </c>
      <c r="F46" s="4"/>
      <c r="G46" s="15"/>
      <c r="H46" s="15">
        <v>25</v>
      </c>
      <c r="I46" s="15"/>
      <c r="J46" s="15"/>
      <c r="K46" s="334">
        <f>IF('Traffic &amp; Accidents'!E9=0,0,IF(('2R Safety'!D11/'Traffic &amp; Accidents'!E9)*25&gt;25,25,('2R Safety'!D11/'Traffic &amp; Accidents'!E9)*25))</f>
        <v>0</v>
      </c>
      <c r="L46" s="261"/>
      <c r="Z46" s="84"/>
    </row>
    <row r="47" spans="2:26" ht="12.75" customHeight="1" x14ac:dyDescent="0.2">
      <c r="B47" s="260"/>
      <c r="C47" s="4"/>
      <c r="D47" s="18">
        <v>2</v>
      </c>
      <c r="E47" s="294" t="s">
        <v>158</v>
      </c>
      <c r="F47" s="4"/>
      <c r="G47" s="15"/>
      <c r="H47" s="15">
        <v>10</v>
      </c>
      <c r="I47" s="15"/>
      <c r="J47" s="15"/>
      <c r="K47" s="335">
        <f>IF('2R Safety'!D20&gt;10,10,'2R Safety'!D20)</f>
        <v>0</v>
      </c>
      <c r="L47" s="261"/>
      <c r="Z47" s="84"/>
    </row>
    <row r="48" spans="2:26" ht="12.75" customHeight="1" x14ac:dyDescent="0.2">
      <c r="B48" s="260"/>
      <c r="C48" s="4"/>
      <c r="D48" s="18">
        <v>3</v>
      </c>
      <c r="E48" s="22" t="s">
        <v>127</v>
      </c>
      <c r="F48" s="4"/>
      <c r="G48" s="15"/>
      <c r="H48" s="15">
        <v>15</v>
      </c>
      <c r="I48" s="15"/>
      <c r="J48" s="15"/>
      <c r="K48" s="335">
        <f>'2R Safety'!L32</f>
        <v>0</v>
      </c>
      <c r="L48" s="261"/>
      <c r="Z48" s="86"/>
    </row>
    <row r="49" spans="1:26" ht="12.75" customHeight="1" x14ac:dyDescent="0.2">
      <c r="B49" s="260"/>
      <c r="C49" s="4"/>
      <c r="D49" s="18">
        <v>4</v>
      </c>
      <c r="E49" s="294" t="s">
        <v>175</v>
      </c>
      <c r="F49" s="4"/>
      <c r="G49" s="15"/>
      <c r="H49" s="29">
        <v>5</v>
      </c>
      <c r="I49" s="15"/>
      <c r="J49" s="15"/>
      <c r="K49" s="336">
        <f>IF('2R Safety'!D36&gt;5,5,'2R Safety'!D36)</f>
        <v>0</v>
      </c>
      <c r="L49" s="261"/>
      <c r="Z49" s="84"/>
    </row>
    <row r="50" spans="1:26" ht="12.75" customHeight="1" x14ac:dyDescent="0.2">
      <c r="B50" s="260"/>
      <c r="C50" s="4"/>
      <c r="D50" s="4"/>
      <c r="E50" s="4"/>
      <c r="F50" s="4"/>
      <c r="G50" s="66" t="s">
        <v>4</v>
      </c>
      <c r="H50" s="34">
        <v>30</v>
      </c>
      <c r="I50" s="34"/>
      <c r="J50" s="34"/>
      <c r="K50" s="337">
        <f>IF(SUM(K46:K49)&gt;30,30,SUM(K46:K49))</f>
        <v>0</v>
      </c>
      <c r="L50" s="261"/>
      <c r="Z50" s="86"/>
    </row>
    <row r="51" spans="1:26" ht="12.75" customHeight="1" x14ac:dyDescent="0.2">
      <c r="B51" s="260"/>
      <c r="C51" s="21"/>
      <c r="D51" s="21"/>
      <c r="E51" s="21"/>
      <c r="F51" s="21"/>
      <c r="G51" s="29"/>
      <c r="H51" s="21"/>
      <c r="I51" s="21"/>
      <c r="J51" s="21"/>
      <c r="K51" s="338"/>
      <c r="L51" s="261"/>
      <c r="Z51" s="84"/>
    </row>
    <row r="52" spans="1:26" ht="12.75" customHeight="1" x14ac:dyDescent="0.2">
      <c r="B52" s="265"/>
      <c r="C52" s="4"/>
      <c r="D52" s="281"/>
      <c r="E52" s="282"/>
      <c r="F52" s="105"/>
      <c r="G52" s="195"/>
      <c r="H52" s="118"/>
      <c r="I52" s="118"/>
      <c r="J52" s="118"/>
      <c r="K52" s="319"/>
      <c r="L52" s="261"/>
      <c r="Z52" s="84"/>
    </row>
    <row r="53" spans="1:26" ht="12.75" customHeight="1" x14ac:dyDescent="0.2">
      <c r="B53" s="265"/>
      <c r="C53" s="188"/>
      <c r="D53" s="188"/>
      <c r="E53" s="188"/>
      <c r="F53" s="188"/>
      <c r="G53" s="20" t="s">
        <v>162</v>
      </c>
      <c r="H53" s="13">
        <f>SUM(H18,H32,H22,H50,H38)</f>
        <v>122</v>
      </c>
      <c r="I53" s="13"/>
      <c r="J53" s="13"/>
      <c r="K53" s="325">
        <f>ROUND(SUM(K18,K22,K32,K38,K50),2)</f>
        <v>0</v>
      </c>
      <c r="L53" s="261"/>
      <c r="Z53" s="84"/>
    </row>
    <row r="54" spans="1:26" ht="12.75" customHeight="1" x14ac:dyDescent="0.2">
      <c r="A54" s="89"/>
      <c r="B54" s="265"/>
      <c r="C54" s="4"/>
      <c r="D54" s="281"/>
      <c r="E54" s="282"/>
      <c r="F54" s="44"/>
      <c r="G54" s="119"/>
      <c r="H54" s="118"/>
      <c r="I54" s="118"/>
      <c r="J54" s="118"/>
      <c r="K54" s="319"/>
      <c r="L54" s="261"/>
      <c r="Z54" s="84"/>
    </row>
    <row r="55" spans="1:26" ht="12.75" customHeight="1" x14ac:dyDescent="0.2">
      <c r="A55" s="90"/>
      <c r="B55" s="295" t="s">
        <v>128</v>
      </c>
      <c r="C55" s="4"/>
      <c r="D55" s="4"/>
      <c r="E55" s="4"/>
      <c r="F55" s="4"/>
      <c r="G55" s="4"/>
      <c r="H55" s="15"/>
      <c r="I55" s="15"/>
      <c r="J55" s="15"/>
      <c r="K55" s="15"/>
      <c r="L55" s="261"/>
    </row>
    <row r="56" spans="1:26" ht="12.75" customHeight="1" x14ac:dyDescent="0.2">
      <c r="A56" s="90"/>
      <c r="B56" s="260" t="s">
        <v>228</v>
      </c>
      <c r="C56" s="4"/>
      <c r="D56" s="4"/>
      <c r="E56" s="4"/>
      <c r="F56" s="4"/>
      <c r="G56" s="4"/>
      <c r="H56" s="15"/>
      <c r="I56" s="15"/>
      <c r="J56" s="15"/>
      <c r="K56" s="15"/>
      <c r="L56" s="261"/>
    </row>
    <row r="57" spans="1:26" ht="12.75" customHeight="1" x14ac:dyDescent="0.2">
      <c r="A57" s="90"/>
      <c r="B57" s="260" t="s">
        <v>129</v>
      </c>
      <c r="C57" s="4"/>
      <c r="D57" s="4"/>
      <c r="E57" s="4"/>
      <c r="F57" s="4"/>
      <c r="G57" s="4"/>
      <c r="H57" s="4"/>
      <c r="I57" s="4"/>
      <c r="J57" s="4"/>
      <c r="K57" s="4"/>
      <c r="L57" s="261"/>
    </row>
    <row r="58" spans="1:26" ht="12.75" customHeight="1" x14ac:dyDescent="0.2">
      <c r="A58" s="90"/>
      <c r="B58" s="260"/>
      <c r="C58" s="4"/>
      <c r="D58" s="4"/>
      <c r="E58" s="4"/>
      <c r="F58" s="4"/>
      <c r="G58" s="4"/>
      <c r="H58" s="4"/>
      <c r="I58" s="4"/>
      <c r="J58" s="4"/>
      <c r="K58" s="4"/>
      <c r="L58" s="261"/>
      <c r="M58" s="94"/>
    </row>
    <row r="59" spans="1:26" ht="12.75" customHeight="1" thickBot="1" x14ac:dyDescent="0.25">
      <c r="A59" s="90"/>
      <c r="B59" s="296"/>
      <c r="C59" s="297"/>
      <c r="D59" s="298"/>
      <c r="E59" s="298"/>
      <c r="F59" s="298"/>
      <c r="G59" s="298"/>
      <c r="H59" s="299"/>
      <c r="I59" s="299"/>
      <c r="J59" s="299"/>
      <c r="K59" s="299"/>
      <c r="L59" s="300"/>
      <c r="M59" s="94"/>
    </row>
    <row r="60" spans="1:26" ht="12.75" customHeight="1" x14ac:dyDescent="0.2">
      <c r="A60" s="90"/>
    </row>
    <row r="61" spans="1:26" ht="12.75" customHeight="1" x14ac:dyDescent="0.2">
      <c r="A61" s="90"/>
    </row>
    <row r="62" spans="1:26" ht="12.75" customHeight="1" x14ac:dyDescent="0.2">
      <c r="A62" s="90"/>
    </row>
    <row r="63" spans="1:26" ht="12.75" customHeight="1" x14ac:dyDescent="0.2">
      <c r="A63" s="90"/>
    </row>
    <row r="64" spans="1:26" ht="12.75" customHeight="1" x14ac:dyDescent="0.2">
      <c r="A64" s="90"/>
    </row>
    <row r="65" spans="1:13" ht="12.75" customHeight="1" x14ac:dyDescent="0.2">
      <c r="A65" s="90"/>
    </row>
    <row r="66" spans="1:13" ht="12.75" customHeight="1" x14ac:dyDescent="0.2">
      <c r="A66" s="82"/>
    </row>
    <row r="68" spans="1:13" ht="12.75" customHeight="1" x14ac:dyDescent="0.2">
      <c r="M68" s="86"/>
    </row>
    <row r="69" spans="1:13" ht="12.75" customHeight="1" x14ac:dyDescent="0.2">
      <c r="M69" s="99"/>
    </row>
    <row r="70" spans="1:13" ht="12.75" customHeight="1" x14ac:dyDescent="0.2">
      <c r="M70" s="100"/>
    </row>
    <row r="71" spans="1:13" ht="12.75" customHeight="1" x14ac:dyDescent="0.2">
      <c r="M71" s="100"/>
    </row>
    <row r="72" spans="1:13" ht="12.75" customHeight="1" x14ac:dyDescent="0.2">
      <c r="M72" s="100"/>
    </row>
    <row r="73" spans="1:13" ht="12.75" customHeight="1" x14ac:dyDescent="0.2">
      <c r="M73" s="84"/>
    </row>
    <row r="74" spans="1:13" ht="12.75" customHeight="1" x14ac:dyDescent="0.2">
      <c r="M74" s="84"/>
    </row>
    <row r="75" spans="1:13" ht="12.75" customHeight="1" x14ac:dyDescent="0.2">
      <c r="M75" s="101"/>
    </row>
    <row r="76" spans="1:13" ht="12.75" customHeight="1" x14ac:dyDescent="0.2">
      <c r="A76" s="91"/>
      <c r="M76" s="101"/>
    </row>
    <row r="77" spans="1:13" ht="12.75" customHeight="1" x14ac:dyDescent="0.2">
      <c r="A77" s="91"/>
    </row>
    <row r="78" spans="1:13" ht="12.75" customHeight="1" x14ac:dyDescent="0.2">
      <c r="A78" s="91"/>
    </row>
    <row r="79" spans="1:13" ht="12.75" customHeight="1" x14ac:dyDescent="0.2">
      <c r="A79" s="91"/>
    </row>
    <row r="80" spans="1:13" ht="12.75" customHeight="1" x14ac:dyDescent="0.2">
      <c r="A80" s="91"/>
    </row>
    <row r="81" spans="1:13" ht="12.75" customHeight="1" x14ac:dyDescent="0.2">
      <c r="A81" s="91"/>
    </row>
    <row r="82" spans="1:13" ht="12.75" customHeight="1" x14ac:dyDescent="0.2">
      <c r="M82" s="101"/>
    </row>
    <row r="83" spans="1:13" ht="12.75" customHeight="1" x14ac:dyDescent="0.2">
      <c r="M83" s="86"/>
    </row>
    <row r="84" spans="1:13" ht="12.75" customHeight="1" x14ac:dyDescent="0.2">
      <c r="M84" s="86"/>
    </row>
    <row r="85" spans="1:13" ht="12.75" customHeight="1" x14ac:dyDescent="0.2">
      <c r="M85" s="86"/>
    </row>
    <row r="88" spans="1:13" ht="12.75" customHeight="1" x14ac:dyDescent="0.2">
      <c r="M88" s="84"/>
    </row>
    <row r="89" spans="1:13" ht="12.75" customHeight="1" x14ac:dyDescent="0.2">
      <c r="M89" s="84"/>
    </row>
    <row r="90" spans="1:13" ht="12.75" customHeight="1" x14ac:dyDescent="0.2">
      <c r="M90" s="84"/>
    </row>
    <row r="95" spans="1:13" ht="12.75" customHeight="1" x14ac:dyDescent="0.2">
      <c r="A95" s="82"/>
      <c r="M95" s="84"/>
    </row>
    <row r="96" spans="1:13" ht="12.75" customHeight="1" x14ac:dyDescent="0.2">
      <c r="A96" s="83"/>
      <c r="M96" s="84"/>
    </row>
    <row r="97" spans="1:13" ht="12.75" customHeight="1" x14ac:dyDescent="0.2">
      <c r="A97" s="83"/>
      <c r="B97" s="14"/>
      <c r="C97" s="1"/>
      <c r="D97" s="2"/>
      <c r="E97" s="1"/>
      <c r="F97" s="1"/>
      <c r="G97" s="3"/>
      <c r="H97" s="1"/>
      <c r="I97" s="1"/>
      <c r="J97" s="6"/>
      <c r="K97" s="1"/>
      <c r="L97" s="119"/>
      <c r="M97" s="84"/>
    </row>
    <row r="98" spans="1:13" ht="12.75" customHeight="1" x14ac:dyDescent="0.2">
      <c r="A98" s="83"/>
      <c r="B98" s="8"/>
      <c r="C98" s="1"/>
      <c r="D98" s="1"/>
      <c r="E98" s="3"/>
      <c r="F98" s="1"/>
      <c r="G98" s="3"/>
      <c r="H98" s="1"/>
      <c r="I98" s="1"/>
      <c r="J98" s="6"/>
      <c r="K98" s="1"/>
      <c r="L98" s="44"/>
      <c r="M98" s="84"/>
    </row>
    <row r="99" spans="1:13" ht="12.75" customHeight="1" x14ac:dyDescent="0.2">
      <c r="A99" s="83"/>
      <c r="B99" s="38" t="s">
        <v>9</v>
      </c>
      <c r="C99" s="1"/>
      <c r="D99" s="1"/>
      <c r="E99" s="1"/>
      <c r="F99" s="1"/>
      <c r="G99" s="3"/>
      <c r="H99" s="1"/>
      <c r="I99" s="1"/>
      <c r="J99" s="6"/>
      <c r="K99" s="1"/>
      <c r="L99" s="44"/>
      <c r="M99" s="84"/>
    </row>
    <row r="100" spans="1:13" ht="12.75" customHeight="1" x14ac:dyDescent="0.2">
      <c r="A100" s="83"/>
      <c r="B100" s="1"/>
      <c r="C100" s="1"/>
      <c r="D100" s="1"/>
      <c r="E100" s="1"/>
      <c r="F100" s="1"/>
      <c r="G100" s="27"/>
      <c r="H100" s="1"/>
      <c r="I100" s="1"/>
      <c r="J100" s="6" t="s">
        <v>0</v>
      </c>
      <c r="K100" s="1"/>
      <c r="L100" s="44"/>
      <c r="M100" s="84"/>
    </row>
    <row r="101" spans="1:13" ht="12.75" customHeight="1" x14ac:dyDescent="0.2">
      <c r="A101" s="83"/>
      <c r="B101" s="8"/>
      <c r="C101" s="17" t="s">
        <v>132</v>
      </c>
      <c r="D101" s="1"/>
      <c r="E101" s="1"/>
      <c r="F101" s="1"/>
      <c r="G101" s="17"/>
      <c r="H101" s="1"/>
      <c r="I101" s="1"/>
      <c r="J101" s="12" t="s">
        <v>2</v>
      </c>
      <c r="K101" s="1"/>
      <c r="L101" s="119"/>
      <c r="M101" s="84"/>
    </row>
    <row r="102" spans="1:13" ht="12.75" customHeight="1" x14ac:dyDescent="0.2">
      <c r="A102" s="83"/>
      <c r="B102" s="8"/>
      <c r="C102" s="1"/>
      <c r="D102" s="1"/>
      <c r="E102" s="1"/>
      <c r="F102" s="1"/>
      <c r="G102" s="3"/>
      <c r="H102" s="1"/>
      <c r="I102" s="1"/>
      <c r="J102" s="6"/>
      <c r="K102" s="1"/>
      <c r="L102" s="44"/>
      <c r="M102" s="84"/>
    </row>
    <row r="103" spans="1:13" ht="12.75" customHeight="1" x14ac:dyDescent="0.2">
      <c r="A103" s="84"/>
      <c r="B103" s="14">
        <v>1</v>
      </c>
      <c r="C103" s="67" t="s">
        <v>163</v>
      </c>
      <c r="D103" s="1"/>
      <c r="E103" s="1"/>
      <c r="F103" s="1"/>
      <c r="G103" s="1"/>
      <c r="H103" s="1"/>
      <c r="I103" s="1"/>
      <c r="J103" s="6">
        <v>5</v>
      </c>
      <c r="K103" s="1"/>
      <c r="L103" s="119"/>
      <c r="M103" s="84"/>
    </row>
    <row r="104" spans="1:13" ht="12.75" customHeight="1" x14ac:dyDescent="0.2">
      <c r="A104" s="84"/>
      <c r="B104" s="14"/>
      <c r="C104" s="1"/>
      <c r="D104" s="67" t="s">
        <v>164</v>
      </c>
      <c r="E104" s="1"/>
      <c r="F104" s="1"/>
      <c r="G104" s="3"/>
      <c r="H104" s="1"/>
      <c r="I104" s="1"/>
      <c r="J104" s="6"/>
      <c r="K104" s="1"/>
      <c r="L104" s="44"/>
      <c r="M104" s="84"/>
    </row>
    <row r="105" spans="1:13" ht="12.75" customHeight="1" x14ac:dyDescent="0.2">
      <c r="A105" s="84"/>
      <c r="B105" s="14"/>
      <c r="C105" s="1"/>
      <c r="D105" s="67" t="s">
        <v>165</v>
      </c>
      <c r="E105" s="1"/>
      <c r="F105" s="1"/>
      <c r="G105" s="3"/>
      <c r="H105" s="1"/>
      <c r="I105" s="1"/>
      <c r="J105" s="6"/>
      <c r="K105" s="1"/>
      <c r="L105" s="44"/>
      <c r="M105" s="84"/>
    </row>
    <row r="106" spans="1:13" ht="12.75" customHeight="1" x14ac:dyDescent="0.2">
      <c r="B106" s="14"/>
      <c r="C106" s="1"/>
      <c r="D106" s="1"/>
      <c r="E106" s="1"/>
      <c r="F106" s="1"/>
      <c r="G106" s="3"/>
      <c r="H106" s="1"/>
      <c r="I106" s="1"/>
      <c r="J106" s="6"/>
      <c r="K106" s="1"/>
      <c r="L106" s="119"/>
      <c r="M106" s="84"/>
    </row>
    <row r="107" spans="1:13" ht="12.75" customHeight="1" x14ac:dyDescent="0.2">
      <c r="B107" s="14"/>
      <c r="C107" s="67" t="s">
        <v>184</v>
      </c>
      <c r="D107" s="1"/>
      <c r="E107" s="1"/>
      <c r="F107" s="1"/>
      <c r="G107" s="3"/>
      <c r="H107" s="1"/>
      <c r="I107" s="1"/>
      <c r="J107" s="6"/>
      <c r="K107" s="1"/>
      <c r="L107" s="44"/>
      <c r="M107" s="84"/>
    </row>
    <row r="108" spans="1:13" ht="12.75" customHeight="1" x14ac:dyDescent="0.2">
      <c r="B108" s="14"/>
      <c r="C108" s="67" t="s">
        <v>166</v>
      </c>
      <c r="D108" s="1"/>
      <c r="E108" s="1"/>
      <c r="F108" s="1"/>
      <c r="G108" s="3"/>
      <c r="H108" s="1"/>
      <c r="I108" s="1"/>
      <c r="J108" s="6"/>
      <c r="K108" s="1"/>
      <c r="L108" s="44"/>
      <c r="M108" s="84"/>
    </row>
    <row r="109" spans="1:13" ht="12.75" customHeight="1" x14ac:dyDescent="0.2">
      <c r="B109" s="14"/>
      <c r="C109" s="1"/>
      <c r="D109" s="1"/>
      <c r="E109" s="1"/>
      <c r="F109" s="1"/>
      <c r="G109" s="3"/>
      <c r="H109" s="1"/>
      <c r="I109" s="1"/>
      <c r="J109" s="6"/>
      <c r="K109" s="1"/>
      <c r="L109" s="119"/>
      <c r="M109" s="84"/>
    </row>
    <row r="110" spans="1:13" ht="12.75" customHeight="1" x14ac:dyDescent="0.2">
      <c r="G110" s="81"/>
      <c r="L110" s="84"/>
      <c r="M110" s="84"/>
    </row>
    <row r="111" spans="1:13" ht="12.75" customHeight="1" x14ac:dyDescent="0.2">
      <c r="A111" s="82"/>
      <c r="G111" s="81"/>
      <c r="L111" s="84"/>
      <c r="M111" s="84"/>
    </row>
    <row r="112" spans="1:13" ht="12.75" customHeight="1" x14ac:dyDescent="0.2">
      <c r="B112" s="92"/>
      <c r="G112" s="81"/>
      <c r="J112" s="93"/>
      <c r="L112" s="86"/>
      <c r="M112" s="84"/>
    </row>
    <row r="113" spans="7:12" ht="12.75" customHeight="1" x14ac:dyDescent="0.2">
      <c r="G113" s="81"/>
      <c r="L113" s="84"/>
    </row>
    <row r="114" spans="7:12" ht="12.75" customHeight="1" x14ac:dyDescent="0.2">
      <c r="G114" s="81"/>
      <c r="H114" s="94"/>
      <c r="I114" s="94"/>
      <c r="J114" s="95"/>
      <c r="L114" s="84"/>
    </row>
    <row r="115" spans="7:12" ht="12.75" customHeight="1" x14ac:dyDescent="0.2">
      <c r="G115" s="81"/>
    </row>
    <row r="116" spans="7:12" ht="12.75" customHeight="1" x14ac:dyDescent="0.2">
      <c r="G116" s="81"/>
    </row>
    <row r="117" spans="7:12" ht="12.75" customHeight="1" x14ac:dyDescent="0.2">
      <c r="G117" s="81"/>
    </row>
  </sheetData>
  <sheetProtection password="EC65" sheet="1" selectLockedCells="1"/>
  <mergeCells count="14">
    <mergeCell ref="C35:D35"/>
    <mergeCell ref="C44:D44"/>
    <mergeCell ref="J27:J29"/>
    <mergeCell ref="D8:I10"/>
    <mergeCell ref="L27:L28"/>
    <mergeCell ref="K27:K29"/>
    <mergeCell ref="C26:F26"/>
    <mergeCell ref="H4:L5"/>
    <mergeCell ref="H6:L7"/>
    <mergeCell ref="D6:F6"/>
    <mergeCell ref="C22:E22"/>
    <mergeCell ref="C14:D14"/>
    <mergeCell ref="D4:F4"/>
    <mergeCell ref="D5:G5"/>
  </mergeCells>
  <phoneticPr fontId="0" type="noConversion"/>
  <conditionalFormatting sqref="A55:A65">
    <cfRule type="expression" dxfId="18" priority="12" stopIfTrue="1">
      <formula>ISERROR(#REF!)</formula>
    </cfRule>
  </conditionalFormatting>
  <conditionalFormatting sqref="K46">
    <cfRule type="expression" dxfId="17" priority="18" stopIfTrue="1">
      <formula>ISERROR($K$46)</formula>
    </cfRule>
  </conditionalFormatting>
  <conditionalFormatting sqref="K50">
    <cfRule type="expression" dxfId="16" priority="20" stopIfTrue="1">
      <formula>ISERROR($K$50)</formula>
    </cfRule>
  </conditionalFormatting>
  <conditionalFormatting sqref="K48">
    <cfRule type="expression" dxfId="15" priority="21" stopIfTrue="1">
      <formula>ISERROR($K$48)</formula>
    </cfRule>
  </conditionalFormatting>
  <conditionalFormatting sqref="K39">
    <cfRule type="expression" dxfId="14" priority="22" stopIfTrue="1">
      <formula>ISERROR($K$39)</formula>
    </cfRule>
  </conditionalFormatting>
  <conditionalFormatting sqref="J38">
    <cfRule type="expression" dxfId="13" priority="27" stopIfTrue="1">
      <formula>ISERROR($J$40)</formula>
    </cfRule>
  </conditionalFormatting>
  <conditionalFormatting sqref="J37">
    <cfRule type="expression" dxfId="12" priority="28" stopIfTrue="1">
      <formula>ISERROR($J$39)</formula>
    </cfRule>
  </conditionalFormatting>
  <conditionalFormatting sqref="K38">
    <cfRule type="expression" dxfId="11" priority="3" stopIfTrue="1">
      <formula>ISERROR($K$39)</formula>
    </cfRule>
  </conditionalFormatting>
  <conditionalFormatting sqref="J37">
    <cfRule type="expression" dxfId="10" priority="2" stopIfTrue="1">
      <formula>ISERROR($J$40)</formula>
    </cfRule>
  </conditionalFormatting>
  <hyperlinks>
    <hyperlink ref="C14:D14" location="'Traffic &amp; Accidents'!E7" display="TRAFFIC:" xr:uid="{00000000-0004-0000-0000-000000000000}"/>
    <hyperlink ref="C22:E22" location="'Traffic &amp; Accidents'!F13" display="LOCAL SIGNIFICANCE" xr:uid="{00000000-0004-0000-0000-000001000000}"/>
    <hyperlink ref="C26:F26" location="Structure!E7" display="STRUCTURAL CONDITION:" xr:uid="{00000000-0004-0000-0000-000002000000}"/>
    <hyperlink ref="C35:D35" location="Geometry!M12" display="GEOMETRY:" xr:uid="{00000000-0004-0000-0000-000003000000}"/>
    <hyperlink ref="C44:D44" location="'2R Safety'!D11" display="2R CHECKLIST:" xr:uid="{00000000-0004-0000-0000-000004000000}"/>
  </hyperlinks>
  <printOptions horizontalCentered="1"/>
  <pageMargins left="0.42" right="0.5" top="0.5" bottom="0.4" header="0.3" footer="0.25"/>
  <pageSetup orientation="portrait" horizontalDpi="4294967292" verticalDpi="4294967292" r:id="rId1"/>
  <headerFooter alignWithMargins="0">
    <oddFooter>&amp;L&amp;8http://www.crab.wa.gov/grants/SERWKSHT - 3R.xls&amp;C&amp;6
&amp;R7/14/04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71"/>
  <sheetViews>
    <sheetView showGridLines="0" workbookViewId="0">
      <selection activeCell="E7" sqref="E7"/>
    </sheetView>
  </sheetViews>
  <sheetFormatPr defaultColWidth="7.7109375" defaultRowHeight="12.75" x14ac:dyDescent="0.2"/>
  <cols>
    <col min="1" max="16384" width="7.7109375" style="120"/>
  </cols>
  <sheetData>
    <row r="2" spans="2:16" ht="13.5" thickBot="1" x14ac:dyDescent="0.25"/>
    <row r="3" spans="2:16" ht="16.5" thickTop="1" x14ac:dyDescent="0.25">
      <c r="B3" s="69"/>
      <c r="C3" s="109"/>
      <c r="D3" s="109"/>
      <c r="E3" s="110"/>
      <c r="F3" s="70"/>
      <c r="G3" s="70"/>
      <c r="H3" s="109"/>
      <c r="I3" s="109"/>
      <c r="J3" s="70"/>
      <c r="K3" s="109"/>
      <c r="L3" s="109"/>
      <c r="M3" s="70"/>
      <c r="N3" s="71"/>
      <c r="O3" s="122"/>
      <c r="P3" s="122"/>
    </row>
    <row r="4" spans="2:16" x14ac:dyDescent="0.2">
      <c r="B4" s="72"/>
      <c r="C4" s="375" t="s">
        <v>212</v>
      </c>
      <c r="D4" s="375"/>
      <c r="E4" s="375"/>
      <c r="F4" s="59"/>
      <c r="G4" s="4"/>
      <c r="H4" s="4"/>
      <c r="I4" s="4"/>
      <c r="J4" s="4"/>
      <c r="K4" s="4"/>
      <c r="L4" s="4"/>
      <c r="M4" s="4"/>
      <c r="N4" s="73"/>
      <c r="O4" s="122"/>
      <c r="P4" s="122"/>
    </row>
    <row r="5" spans="2:16" x14ac:dyDescent="0.2">
      <c r="B5" s="72"/>
      <c r="C5" s="50"/>
      <c r="D5" s="25" t="s">
        <v>109</v>
      </c>
      <c r="E5" s="107"/>
      <c r="F5" s="60"/>
      <c r="G5" s="48"/>
      <c r="H5" s="4"/>
      <c r="I5" s="4"/>
      <c r="J5" s="4"/>
      <c r="K5" s="25" t="s">
        <v>110</v>
      </c>
      <c r="L5" s="107"/>
      <c r="M5" s="107"/>
      <c r="N5" s="73"/>
      <c r="O5" s="122"/>
      <c r="P5" s="122"/>
    </row>
    <row r="6" spans="2:16" ht="12.75" customHeight="1" x14ac:dyDescent="0.2">
      <c r="B6" s="72"/>
      <c r="C6" s="26"/>
      <c r="D6" s="4"/>
      <c r="E6" s="4"/>
      <c r="F6" s="61"/>
      <c r="G6" s="18"/>
      <c r="H6" s="4"/>
      <c r="I6" s="4"/>
      <c r="J6" s="4"/>
      <c r="K6" s="378" t="s">
        <v>237</v>
      </c>
      <c r="L6" s="378"/>
      <c r="M6" s="378"/>
      <c r="N6" s="74"/>
      <c r="O6" s="186"/>
      <c r="P6" s="186"/>
    </row>
    <row r="7" spans="2:16" x14ac:dyDescent="0.2">
      <c r="B7" s="72"/>
      <c r="C7" s="26"/>
      <c r="D7" s="62" t="s">
        <v>15</v>
      </c>
      <c r="E7" s="23"/>
      <c r="F7" s="26"/>
      <c r="G7" s="9"/>
      <c r="H7" s="4"/>
      <c r="I7" s="4"/>
      <c r="J7" s="63"/>
      <c r="K7" s="378"/>
      <c r="L7" s="378"/>
      <c r="M7" s="378"/>
      <c r="N7" s="73"/>
      <c r="O7" s="122"/>
      <c r="P7" s="122"/>
    </row>
    <row r="8" spans="2:16" x14ac:dyDescent="0.2">
      <c r="B8" s="72"/>
      <c r="C8" s="26"/>
      <c r="D8" s="62" t="s">
        <v>100</v>
      </c>
      <c r="E8" s="23"/>
      <c r="F8" s="26"/>
      <c r="G8" s="9"/>
      <c r="H8" s="4"/>
      <c r="I8" s="4"/>
      <c r="J8" s="4"/>
      <c r="K8" s="62" t="s">
        <v>101</v>
      </c>
      <c r="L8" s="23"/>
      <c r="M8" s="68"/>
      <c r="N8" s="75"/>
      <c r="O8" s="187"/>
      <c r="P8" s="187"/>
    </row>
    <row r="9" spans="2:16" x14ac:dyDescent="0.2">
      <c r="B9" s="72"/>
      <c r="C9" s="26"/>
      <c r="D9" s="80" t="s">
        <v>119</v>
      </c>
      <c r="E9" s="24"/>
      <c r="F9" s="49" t="s">
        <v>108</v>
      </c>
      <c r="G9" s="9"/>
      <c r="H9" s="4"/>
      <c r="I9" s="4"/>
      <c r="J9" s="4"/>
      <c r="K9" s="62" t="s">
        <v>113</v>
      </c>
      <c r="L9" s="23"/>
      <c r="M9" s="68"/>
      <c r="N9" s="75"/>
      <c r="O9" s="187"/>
      <c r="P9" s="187"/>
    </row>
    <row r="10" spans="2:16" x14ac:dyDescent="0.2">
      <c r="B10" s="72"/>
      <c r="C10" s="26"/>
      <c r="D10" s="4"/>
      <c r="E10" s="4"/>
      <c r="F10" s="4"/>
      <c r="G10" s="9"/>
      <c r="H10" s="4"/>
      <c r="I10" s="4"/>
      <c r="J10" s="4"/>
      <c r="K10" s="62" t="s">
        <v>99</v>
      </c>
      <c r="L10" s="23"/>
      <c r="M10" s="68"/>
      <c r="N10" s="75"/>
      <c r="O10" s="187"/>
      <c r="P10" s="187"/>
    </row>
    <row r="11" spans="2:16" x14ac:dyDescent="0.2">
      <c r="B11" s="72"/>
      <c r="C11" s="26"/>
      <c r="D11" s="4"/>
      <c r="E11" s="4"/>
      <c r="F11" s="4"/>
      <c r="G11" s="9"/>
      <c r="H11" s="4"/>
      <c r="I11" s="4"/>
      <c r="J11" s="4"/>
      <c r="K11" s="62"/>
      <c r="L11" s="305"/>
      <c r="M11" s="68"/>
      <c r="N11" s="75"/>
      <c r="O11" s="187"/>
      <c r="P11" s="187"/>
    </row>
    <row r="12" spans="2:16" x14ac:dyDescent="0.2">
      <c r="B12" s="72"/>
      <c r="C12" s="4"/>
      <c r="D12" s="4"/>
      <c r="E12" s="4"/>
      <c r="F12" s="15"/>
      <c r="G12" s="4"/>
      <c r="H12" s="26"/>
      <c r="I12" s="26"/>
      <c r="J12" s="4"/>
      <c r="K12" s="4"/>
      <c r="L12" s="4"/>
      <c r="M12" s="4"/>
      <c r="N12" s="73"/>
      <c r="O12" s="187"/>
      <c r="P12" s="187"/>
    </row>
    <row r="13" spans="2:16" x14ac:dyDescent="0.2">
      <c r="B13" s="72"/>
      <c r="C13" s="376" t="s">
        <v>207</v>
      </c>
      <c r="D13" s="376"/>
      <c r="E13" s="377"/>
      <c r="F13" s="76"/>
      <c r="G13" s="31" t="s">
        <v>205</v>
      </c>
      <c r="H13" s="26"/>
      <c r="I13" s="26"/>
      <c r="J13" s="4"/>
      <c r="K13" s="65"/>
      <c r="L13" s="4"/>
      <c r="M13" s="108"/>
      <c r="N13" s="73"/>
      <c r="O13" s="187"/>
      <c r="P13" s="187"/>
    </row>
    <row r="14" spans="2:16" x14ac:dyDescent="0.2">
      <c r="B14" s="72"/>
      <c r="C14" s="64"/>
      <c r="D14" s="62"/>
      <c r="E14" s="9"/>
      <c r="F14" s="9"/>
      <c r="G14" s="4"/>
      <c r="H14" s="26"/>
      <c r="I14" s="26"/>
      <c r="J14" s="4"/>
      <c r="K14" s="59"/>
      <c r="L14" s="4"/>
      <c r="M14" s="4"/>
      <c r="N14" s="73"/>
      <c r="O14" s="187"/>
      <c r="P14" s="187"/>
    </row>
    <row r="15" spans="2:16" ht="13.5" thickBot="1" x14ac:dyDescent="0.25">
      <c r="B15" s="111"/>
      <c r="C15" s="112"/>
      <c r="D15" s="113"/>
      <c r="E15" s="114"/>
      <c r="F15" s="115"/>
      <c r="G15" s="116"/>
      <c r="H15" s="112"/>
      <c r="I15" s="112"/>
      <c r="J15" s="116"/>
      <c r="K15" s="116"/>
      <c r="L15" s="116"/>
      <c r="M15" s="116"/>
      <c r="N15" s="117"/>
      <c r="O15" s="122"/>
      <c r="P15" s="122"/>
    </row>
    <row r="16" spans="2:16" ht="13.5" thickTop="1" x14ac:dyDescent="0.2"/>
    <row r="23" spans="2:17" x14ac:dyDescent="0.2">
      <c r="B23" s="121" t="s">
        <v>209</v>
      </c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</row>
    <row r="24" spans="2:17" x14ac:dyDescent="0.2">
      <c r="B24" s="122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73"/>
      <c r="O24" s="174" t="s">
        <v>10</v>
      </c>
      <c r="P24" s="175"/>
      <c r="Q24" s="124"/>
    </row>
    <row r="25" spans="2:17" x14ac:dyDescent="0.2">
      <c r="B25" s="122"/>
      <c r="C25" s="125"/>
      <c r="D25" s="122"/>
      <c r="E25" s="122"/>
      <c r="F25" s="122" t="s">
        <v>11</v>
      </c>
      <c r="G25" s="126">
        <f>'Traffic &amp; Accidents'!E7</f>
        <v>0</v>
      </c>
      <c r="H25" s="122"/>
      <c r="I25" s="127" t="s">
        <v>12</v>
      </c>
      <c r="J25" s="126">
        <f>'Traffic &amp; Accidents'!E8</f>
        <v>0</v>
      </c>
      <c r="K25" s="122"/>
      <c r="L25" s="122"/>
      <c r="M25" s="122"/>
      <c r="N25" s="176"/>
      <c r="O25" s="177"/>
      <c r="P25" s="157"/>
      <c r="Q25" s="122"/>
    </row>
    <row r="26" spans="2:17" x14ac:dyDescent="0.2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8"/>
      <c r="M26" s="129"/>
      <c r="N26" s="178"/>
      <c r="O26" s="179" t="s">
        <v>13</v>
      </c>
      <c r="P26" s="180" t="s">
        <v>13</v>
      </c>
      <c r="Q26" s="122"/>
    </row>
    <row r="27" spans="2:17" x14ac:dyDescent="0.2">
      <c r="B27" s="122"/>
      <c r="C27" s="122" t="s">
        <v>14</v>
      </c>
      <c r="D27" s="122"/>
      <c r="E27" s="122"/>
      <c r="F27" s="122"/>
      <c r="G27" s="122"/>
      <c r="H27" s="122"/>
      <c r="I27" s="122"/>
      <c r="J27" s="122"/>
      <c r="K27" s="122"/>
      <c r="L27" s="128"/>
      <c r="M27" s="131"/>
      <c r="N27" s="181"/>
      <c r="O27" s="179" t="s">
        <v>15</v>
      </c>
      <c r="P27" s="180" t="s">
        <v>16</v>
      </c>
      <c r="Q27" s="122"/>
    </row>
    <row r="28" spans="2:17" x14ac:dyDescent="0.2">
      <c r="B28" s="128"/>
      <c r="C28" s="122" t="s">
        <v>17</v>
      </c>
      <c r="D28" s="122"/>
      <c r="E28" s="122"/>
      <c r="F28" s="122"/>
      <c r="G28" s="122"/>
      <c r="H28" s="122"/>
      <c r="I28" s="122"/>
      <c r="J28" s="122"/>
      <c r="K28" s="122"/>
      <c r="L28" s="128"/>
      <c r="M28" s="122"/>
      <c r="N28" s="154"/>
      <c r="O28" s="182" t="s">
        <v>18</v>
      </c>
      <c r="P28" s="183" t="s">
        <v>18</v>
      </c>
      <c r="Q28" s="122"/>
    </row>
    <row r="29" spans="2:17" x14ac:dyDescent="0.2">
      <c r="B29" s="122" t="s">
        <v>19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8"/>
      <c r="M29" s="122"/>
      <c r="N29" s="154"/>
      <c r="O29" s="179"/>
      <c r="P29" s="180"/>
      <c r="Q29" s="122"/>
    </row>
    <row r="30" spans="2:17" x14ac:dyDescent="0.2">
      <c r="B30" s="132" t="s">
        <v>15</v>
      </c>
      <c r="C30" s="133" t="s">
        <v>20</v>
      </c>
      <c r="D30" s="133" t="s">
        <v>21</v>
      </c>
      <c r="E30" s="133" t="s">
        <v>22</v>
      </c>
      <c r="F30" s="133" t="s">
        <v>23</v>
      </c>
      <c r="G30" s="133" t="s">
        <v>24</v>
      </c>
      <c r="H30" s="133" t="s">
        <v>25</v>
      </c>
      <c r="I30" s="134" t="s">
        <v>187</v>
      </c>
      <c r="J30" s="133" t="s">
        <v>188</v>
      </c>
      <c r="K30" s="133" t="s">
        <v>189</v>
      </c>
      <c r="L30" s="134" t="s">
        <v>190</v>
      </c>
      <c r="M30" s="122"/>
      <c r="N30" s="154"/>
      <c r="O30" s="179">
        <f>IF(AND(G25&lt;101,G25&gt;0),C32,O31)</f>
        <v>0</v>
      </c>
      <c r="P30" s="180">
        <f>IF(AND(J25&lt;11,J25&gt;0),C32,P31)</f>
        <v>0</v>
      </c>
      <c r="Q30" s="122"/>
    </row>
    <row r="31" spans="2:17" x14ac:dyDescent="0.2">
      <c r="B31" s="135"/>
      <c r="C31" s="136"/>
      <c r="D31" s="136"/>
      <c r="E31" s="136"/>
      <c r="F31" s="136"/>
      <c r="G31" s="136"/>
      <c r="H31" s="136"/>
      <c r="I31" s="137"/>
      <c r="J31" s="136"/>
      <c r="K31" s="136"/>
      <c r="L31" s="137"/>
      <c r="M31" s="122"/>
      <c r="N31" s="154"/>
      <c r="O31" s="179">
        <f>IF(AND(G25&lt;201,G25&gt;100),D32,O32)</f>
        <v>0</v>
      </c>
      <c r="P31" s="180">
        <f>IF(AND(J25&lt;21,J25&gt;10),D32,P32)</f>
        <v>0</v>
      </c>
      <c r="Q31" s="122"/>
    </row>
    <row r="32" spans="2:17" x14ac:dyDescent="0.2">
      <c r="B32" s="135" t="s">
        <v>18</v>
      </c>
      <c r="C32" s="136">
        <v>1</v>
      </c>
      <c r="D32" s="136">
        <v>2</v>
      </c>
      <c r="E32" s="136">
        <v>4</v>
      </c>
      <c r="F32" s="136">
        <v>5</v>
      </c>
      <c r="G32" s="136">
        <v>6</v>
      </c>
      <c r="H32" s="136">
        <v>8</v>
      </c>
      <c r="I32" s="137">
        <v>10</v>
      </c>
      <c r="J32" s="136">
        <v>12</v>
      </c>
      <c r="K32" s="136">
        <v>15</v>
      </c>
      <c r="L32" s="137">
        <v>17</v>
      </c>
      <c r="M32" s="122"/>
      <c r="N32" s="154"/>
      <c r="O32" s="179">
        <f>IF(AND(G25&lt;301,G25&gt;200),E32,O33)</f>
        <v>0</v>
      </c>
      <c r="P32" s="180">
        <f>IF(AND(J25&lt;31,J25&gt;20),E32,P33)</f>
        <v>0</v>
      </c>
      <c r="Q32" s="122"/>
    </row>
    <row r="33" spans="2:17" x14ac:dyDescent="0.2">
      <c r="B33" s="135"/>
      <c r="C33" s="138"/>
      <c r="D33" s="138"/>
      <c r="E33" s="138"/>
      <c r="F33" s="138"/>
      <c r="G33" s="138"/>
      <c r="H33" s="138"/>
      <c r="I33" s="139"/>
      <c r="J33" s="138"/>
      <c r="K33" s="138"/>
      <c r="L33" s="139"/>
      <c r="M33" s="122"/>
      <c r="N33" s="154"/>
      <c r="O33" s="179">
        <f>IF(AND(G25&lt;451,G25&gt;300),F32,O34)</f>
        <v>0</v>
      </c>
      <c r="P33" s="180">
        <f>IF(AND(J25&lt;46,J25&gt;30),F32,P34)</f>
        <v>0</v>
      </c>
      <c r="Q33" s="122"/>
    </row>
    <row r="34" spans="2:17" x14ac:dyDescent="0.2">
      <c r="B34" s="140" t="s">
        <v>26</v>
      </c>
      <c r="C34" s="141" t="s">
        <v>27</v>
      </c>
      <c r="D34" s="141" t="s">
        <v>28</v>
      </c>
      <c r="E34" s="141" t="s">
        <v>29</v>
      </c>
      <c r="F34" s="141" t="s">
        <v>30</v>
      </c>
      <c r="G34" s="141" t="s">
        <v>31</v>
      </c>
      <c r="H34" s="141" t="s">
        <v>32</v>
      </c>
      <c r="I34" s="142" t="s">
        <v>204</v>
      </c>
      <c r="J34" s="143" t="s">
        <v>191</v>
      </c>
      <c r="K34" s="143" t="s">
        <v>192</v>
      </c>
      <c r="L34" s="142" t="s">
        <v>193</v>
      </c>
      <c r="M34" s="122"/>
      <c r="N34" s="154"/>
      <c r="O34" s="179">
        <f>IF(AND(G25&lt;601,G25&gt;450),G32,O35)</f>
        <v>0</v>
      </c>
      <c r="P34" s="180">
        <f>IF(AND(J25&lt;61,J25&gt;45),G32,P35)</f>
        <v>0</v>
      </c>
      <c r="Q34" s="122"/>
    </row>
    <row r="35" spans="2:17" ht="13.5" thickBot="1" x14ac:dyDescent="0.25">
      <c r="B35" s="122"/>
      <c r="C35" s="144"/>
      <c r="D35" s="145"/>
      <c r="E35" s="145"/>
      <c r="F35" s="145"/>
      <c r="G35" s="145"/>
      <c r="H35" s="145"/>
      <c r="I35" s="122"/>
      <c r="J35" s="122"/>
      <c r="K35" s="128"/>
      <c r="L35" s="122"/>
      <c r="M35" s="122"/>
      <c r="N35" s="154"/>
      <c r="O35" s="179">
        <f>IF(AND(G25&lt;751,G25&gt;600),H32,O36)</f>
        <v>0</v>
      </c>
      <c r="P35" s="184">
        <f>IF(AND(J25&lt;76,J25&gt;60),H32,P36)</f>
        <v>0</v>
      </c>
      <c r="Q35" s="122"/>
    </row>
    <row r="36" spans="2:17" ht="13.5" thickBot="1" x14ac:dyDescent="0.25">
      <c r="B36" s="122"/>
      <c r="C36" s="145"/>
      <c r="D36" s="145"/>
      <c r="E36" s="128"/>
      <c r="F36" s="128"/>
      <c r="G36" s="122"/>
      <c r="H36" s="122"/>
      <c r="I36" s="145"/>
      <c r="J36" s="146"/>
      <c r="K36" s="127" t="s">
        <v>33</v>
      </c>
      <c r="L36" s="147">
        <f>IF(G25&gt;J25*10,O30,P30)</f>
        <v>0</v>
      </c>
      <c r="M36" s="122"/>
      <c r="N36" s="154"/>
      <c r="O36" s="185">
        <f>IF(AND(G25&gt;750,G25&lt;1001),I32,O37)</f>
        <v>0</v>
      </c>
      <c r="P36" s="184">
        <f>IF(AND(J25&lt;101,J25&gt;75),I32,P37)</f>
        <v>0</v>
      </c>
      <c r="Q36" s="122"/>
    </row>
    <row r="37" spans="2:17" x14ac:dyDescent="0.2">
      <c r="B37" s="122"/>
      <c r="C37" s="122"/>
      <c r="D37" s="122"/>
      <c r="E37" s="122"/>
      <c r="F37" s="122"/>
      <c r="G37" s="122"/>
      <c r="H37" s="145"/>
      <c r="I37" s="128"/>
      <c r="J37" s="148"/>
      <c r="K37" s="149"/>
      <c r="L37" s="122"/>
      <c r="M37" s="122"/>
      <c r="N37" s="154"/>
      <c r="O37" s="185">
        <f>IF(AND(G25&gt;1000,G25&lt;1501),J32,O38)</f>
        <v>0</v>
      </c>
      <c r="P37" s="184">
        <f>IF(AND(J25&lt;151,J25&gt;100),J32,P38)</f>
        <v>0</v>
      </c>
      <c r="Q37" s="130"/>
    </row>
    <row r="38" spans="2:17" x14ac:dyDescent="0.2">
      <c r="B38" s="122" t="s">
        <v>34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54"/>
      <c r="O38" s="185">
        <f>IF(AND(G25&gt;1500,G25&lt;2001),K32,O39)</f>
        <v>0</v>
      </c>
      <c r="P38" s="184">
        <f>IF(AND(J25&lt;201,J25&gt;150),K32,P39)</f>
        <v>0</v>
      </c>
      <c r="Q38" s="130"/>
    </row>
    <row r="39" spans="2:17" x14ac:dyDescent="0.2">
      <c r="B39" s="121" t="s">
        <v>194</v>
      </c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54"/>
      <c r="O39" s="185">
        <f>IF(G25&gt;2000,L32,O40)</f>
        <v>0</v>
      </c>
      <c r="P39" s="184">
        <f>IF(J25&gt;200,L32,P40)</f>
        <v>0</v>
      </c>
      <c r="Q39" s="130"/>
    </row>
    <row r="40" spans="2:17" x14ac:dyDescent="0.2">
      <c r="B40" s="122"/>
      <c r="C40" s="122" t="s">
        <v>35</v>
      </c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65"/>
      <c r="O40" s="166"/>
      <c r="P40" s="168"/>
      <c r="Q40" s="123"/>
    </row>
    <row r="41" spans="2:17" x14ac:dyDescent="0.2">
      <c r="B41" s="122"/>
      <c r="C41" s="122" t="s">
        <v>36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30"/>
      <c r="Q41" s="123"/>
    </row>
    <row r="42" spans="2:17" x14ac:dyDescent="0.2">
      <c r="B42" s="128"/>
      <c r="C42" s="150"/>
      <c r="D42" s="151"/>
      <c r="E42" s="151"/>
      <c r="F42" s="151"/>
      <c r="G42" s="151"/>
      <c r="H42" s="151"/>
      <c r="I42" s="151"/>
      <c r="J42" s="152"/>
      <c r="K42" s="122"/>
      <c r="L42" s="122"/>
      <c r="M42" s="122"/>
      <c r="N42" s="122"/>
      <c r="O42" s="122"/>
      <c r="P42" s="153"/>
      <c r="Q42" s="130"/>
    </row>
    <row r="43" spans="2:17" x14ac:dyDescent="0.2">
      <c r="B43" s="128"/>
      <c r="C43" s="154"/>
      <c r="D43" s="155" t="s">
        <v>37</v>
      </c>
      <c r="E43" s="155" t="s">
        <v>38</v>
      </c>
      <c r="F43" s="155"/>
      <c r="G43" s="155" t="s">
        <v>39</v>
      </c>
      <c r="H43" s="156"/>
      <c r="I43" s="155" t="s">
        <v>40</v>
      </c>
      <c r="J43" s="157"/>
      <c r="K43" s="122"/>
      <c r="L43" s="122"/>
      <c r="M43" s="122"/>
      <c r="N43" s="122"/>
      <c r="O43" s="122"/>
      <c r="P43" s="127"/>
      <c r="Q43" s="145"/>
    </row>
    <row r="44" spans="2:17" x14ac:dyDescent="0.2">
      <c r="B44" s="128"/>
      <c r="C44" s="158"/>
      <c r="D44" s="122"/>
      <c r="E44" s="145" t="s">
        <v>41</v>
      </c>
      <c r="F44" s="122"/>
      <c r="G44" s="145" t="s">
        <v>41</v>
      </c>
      <c r="H44" s="122"/>
      <c r="I44" s="145" t="s">
        <v>41</v>
      </c>
      <c r="J44" s="157"/>
      <c r="K44" s="122"/>
      <c r="L44" s="122"/>
      <c r="M44" s="122"/>
      <c r="N44" s="122"/>
      <c r="O44" s="122"/>
      <c r="P44" s="127"/>
      <c r="Q44" s="145"/>
    </row>
    <row r="45" spans="2:17" x14ac:dyDescent="0.2">
      <c r="B45" s="128"/>
      <c r="C45" s="159"/>
      <c r="D45" s="160">
        <f ca="1">D46-365</f>
        <v>43638</v>
      </c>
      <c r="E45" s="161"/>
      <c r="F45" s="122"/>
      <c r="G45" s="161"/>
      <c r="H45" s="122"/>
      <c r="I45" s="161"/>
      <c r="J45" s="157"/>
      <c r="K45" s="122"/>
      <c r="L45" s="122"/>
      <c r="M45" s="122"/>
      <c r="N45" s="122"/>
      <c r="O45" s="122"/>
      <c r="P45" s="127"/>
      <c r="Q45" s="145"/>
    </row>
    <row r="46" spans="2:17" x14ac:dyDescent="0.2">
      <c r="B46" s="128"/>
      <c r="C46" s="159"/>
      <c r="D46" s="160">
        <f ca="1">D47-365</f>
        <v>44003</v>
      </c>
      <c r="E46" s="162"/>
      <c r="F46" s="122"/>
      <c r="G46" s="162"/>
      <c r="H46" s="122"/>
      <c r="I46" s="162"/>
      <c r="J46" s="157"/>
      <c r="K46" s="122"/>
      <c r="L46" s="122"/>
      <c r="M46" s="122"/>
      <c r="N46" s="122"/>
      <c r="O46" s="122"/>
      <c r="P46" s="127"/>
      <c r="Q46" s="145"/>
    </row>
    <row r="47" spans="2:17" x14ac:dyDescent="0.2">
      <c r="B47" s="128"/>
      <c r="C47" s="159"/>
      <c r="D47" s="160">
        <f ca="1">(TODAY()-365)</f>
        <v>44368</v>
      </c>
      <c r="E47" s="162">
        <v>1</v>
      </c>
      <c r="F47" s="122"/>
      <c r="G47" s="162"/>
      <c r="H47" s="122"/>
      <c r="I47" s="162"/>
      <c r="J47" s="157"/>
      <c r="K47" s="122"/>
      <c r="L47" s="122"/>
      <c r="M47" s="122"/>
      <c r="N47" s="122"/>
      <c r="O47" s="122"/>
      <c r="P47" s="122"/>
      <c r="Q47" s="122"/>
    </row>
    <row r="48" spans="2:17" x14ac:dyDescent="0.2">
      <c r="B48" s="128"/>
      <c r="C48" s="154" t="s">
        <v>42</v>
      </c>
      <c r="D48" s="122"/>
      <c r="E48" s="122"/>
      <c r="F48" s="122"/>
      <c r="G48" s="122"/>
      <c r="H48" s="122"/>
      <c r="I48" s="122"/>
      <c r="J48" s="157"/>
      <c r="K48" s="122"/>
      <c r="L48" s="122"/>
      <c r="M48" s="122"/>
      <c r="N48" s="122"/>
      <c r="O48" s="122"/>
      <c r="P48" s="122"/>
      <c r="Q48" s="145"/>
    </row>
    <row r="49" spans="2:17" x14ac:dyDescent="0.2">
      <c r="B49" s="128"/>
      <c r="C49" s="163"/>
      <c r="D49" s="145" t="s">
        <v>43</v>
      </c>
      <c r="E49" s="126">
        <f>'Traffic &amp; Accidents'!L8</f>
        <v>0</v>
      </c>
      <c r="F49" s="145"/>
      <c r="G49" s="126">
        <f>'Traffic &amp; Accidents'!L9</f>
        <v>0</v>
      </c>
      <c r="H49" s="145"/>
      <c r="I49" s="126">
        <f>'Traffic &amp; Accidents'!L10</f>
        <v>0</v>
      </c>
      <c r="J49" s="157"/>
      <c r="K49" s="122"/>
      <c r="L49" s="122"/>
      <c r="M49" s="122"/>
      <c r="N49" s="122"/>
      <c r="O49" s="122"/>
      <c r="P49" s="127"/>
      <c r="Q49" s="145"/>
    </row>
    <row r="50" spans="2:17" x14ac:dyDescent="0.2">
      <c r="B50" s="128"/>
      <c r="C50" s="154"/>
      <c r="D50" s="122"/>
      <c r="E50" s="122"/>
      <c r="F50" s="122"/>
      <c r="G50" s="122"/>
      <c r="H50" s="122"/>
      <c r="I50" s="122"/>
      <c r="J50" s="157"/>
      <c r="K50" s="122"/>
      <c r="L50" s="122"/>
      <c r="M50" s="164"/>
      <c r="N50" s="122"/>
      <c r="O50" s="122"/>
      <c r="P50" s="127"/>
      <c r="Q50" s="145"/>
    </row>
    <row r="51" spans="2:17" x14ac:dyDescent="0.2">
      <c r="B51" s="128"/>
      <c r="C51" s="165"/>
      <c r="D51" s="166" t="s">
        <v>44</v>
      </c>
      <c r="E51" s="167" t="s">
        <v>45</v>
      </c>
      <c r="F51" s="167"/>
      <c r="G51" s="167" t="s">
        <v>155</v>
      </c>
      <c r="H51" s="167"/>
      <c r="I51" s="167" t="s">
        <v>156</v>
      </c>
      <c r="J51" s="168"/>
      <c r="K51" s="122"/>
      <c r="L51" s="122"/>
      <c r="M51" s="122"/>
      <c r="N51" s="122"/>
      <c r="O51" s="122"/>
      <c r="P51" s="127"/>
      <c r="Q51" s="145"/>
    </row>
    <row r="52" spans="2:17" x14ac:dyDescent="0.2">
      <c r="B52" s="128"/>
      <c r="C52" s="122" t="s">
        <v>46</v>
      </c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127"/>
      <c r="Q52" s="145"/>
    </row>
    <row r="53" spans="2:17" x14ac:dyDescent="0.2">
      <c r="B53" s="128"/>
      <c r="C53" s="122"/>
      <c r="D53" s="145" t="s">
        <v>47</v>
      </c>
      <c r="E53" s="161">
        <f>E49*3</f>
        <v>0</v>
      </c>
      <c r="F53" s="145" t="s">
        <v>48</v>
      </c>
      <c r="G53" s="161">
        <f>G49*6</f>
        <v>0</v>
      </c>
      <c r="H53" s="145" t="s">
        <v>48</v>
      </c>
      <c r="I53" s="161">
        <f>I49*15</f>
        <v>0</v>
      </c>
      <c r="J53" s="145" t="s">
        <v>47</v>
      </c>
      <c r="K53" s="169">
        <f>SUM(E53,G53,I53)</f>
        <v>0</v>
      </c>
      <c r="L53" s="122"/>
      <c r="M53" s="122"/>
      <c r="N53" s="122"/>
      <c r="O53" s="122"/>
      <c r="P53" s="122"/>
      <c r="Q53" s="145"/>
    </row>
    <row r="54" spans="2:17" x14ac:dyDescent="0.2">
      <c r="B54" s="122"/>
      <c r="C54" s="122"/>
      <c r="D54" s="122"/>
      <c r="E54" s="122"/>
      <c r="F54" s="122"/>
      <c r="G54" s="122"/>
      <c r="H54" s="122"/>
      <c r="I54" s="122"/>
      <c r="J54" s="128"/>
      <c r="K54" s="145" t="s">
        <v>49</v>
      </c>
      <c r="L54" s="122"/>
      <c r="M54" s="122"/>
      <c r="N54" s="122"/>
      <c r="O54" s="122"/>
      <c r="P54" s="122"/>
      <c r="Q54" s="122"/>
    </row>
    <row r="55" spans="2:17" x14ac:dyDescent="0.2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</row>
    <row r="56" spans="2:17" x14ac:dyDescent="0.2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60"/>
      <c r="N56" s="122"/>
      <c r="O56" s="122"/>
      <c r="P56" s="122"/>
      <c r="Q56" s="122"/>
    </row>
    <row r="57" spans="2:17" x14ac:dyDescent="0.2">
      <c r="B57" s="128"/>
      <c r="C57" s="122"/>
      <c r="D57" s="122"/>
      <c r="E57" s="122" t="s">
        <v>50</v>
      </c>
      <c r="F57" s="122"/>
      <c r="G57" s="122"/>
      <c r="H57" s="122"/>
      <c r="I57" s="122"/>
      <c r="J57" s="122"/>
      <c r="K57" s="122"/>
      <c r="L57" s="122"/>
      <c r="M57" s="160"/>
      <c r="N57" s="123"/>
      <c r="O57" s="122"/>
      <c r="P57" s="122"/>
      <c r="Q57" s="122"/>
    </row>
    <row r="58" spans="2:17" x14ac:dyDescent="0.2">
      <c r="B58" s="128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60"/>
      <c r="N58" s="123"/>
      <c r="O58" s="122"/>
      <c r="P58" s="122"/>
      <c r="Q58" s="127"/>
    </row>
    <row r="59" spans="2:17" x14ac:dyDescent="0.2">
      <c r="B59" s="128"/>
      <c r="C59" s="122" t="s">
        <v>51</v>
      </c>
      <c r="D59" s="122"/>
      <c r="E59" s="145"/>
      <c r="F59" s="145">
        <v>0.02</v>
      </c>
      <c r="G59" s="145">
        <v>0.04</v>
      </c>
      <c r="H59" s="145">
        <v>0.06</v>
      </c>
      <c r="I59" s="145">
        <v>0.08</v>
      </c>
      <c r="J59" s="145">
        <v>0.1</v>
      </c>
      <c r="K59" s="122"/>
      <c r="L59" s="122"/>
      <c r="M59" s="122"/>
      <c r="N59" s="122"/>
      <c r="O59" s="122"/>
      <c r="P59" s="122"/>
      <c r="Q59" s="170"/>
    </row>
    <row r="60" spans="2:17" x14ac:dyDescent="0.2">
      <c r="B60" s="128"/>
      <c r="C60" s="122" t="s">
        <v>52</v>
      </c>
      <c r="D60" s="122"/>
      <c r="E60" s="145"/>
      <c r="F60" s="145"/>
      <c r="G60" s="145"/>
      <c r="H60" s="145"/>
      <c r="I60" s="145"/>
      <c r="J60" s="145"/>
      <c r="K60" s="122"/>
      <c r="L60" s="122"/>
      <c r="M60" s="122"/>
      <c r="N60" s="122"/>
      <c r="O60" s="122"/>
      <c r="P60" s="122"/>
      <c r="Q60" s="122"/>
    </row>
    <row r="61" spans="2:17" x14ac:dyDescent="0.2">
      <c r="B61" s="128"/>
      <c r="C61" s="122" t="s">
        <v>53</v>
      </c>
      <c r="D61" s="122"/>
      <c r="E61" s="145"/>
      <c r="F61" s="145">
        <v>1</v>
      </c>
      <c r="G61" s="145">
        <v>2</v>
      </c>
      <c r="H61" s="145">
        <v>3</v>
      </c>
      <c r="I61" s="145">
        <v>4</v>
      </c>
      <c r="J61" s="145">
        <v>5</v>
      </c>
      <c r="K61" s="122"/>
      <c r="L61" s="122"/>
      <c r="M61" s="122"/>
      <c r="N61" s="122"/>
      <c r="O61" s="122"/>
      <c r="P61" s="122"/>
      <c r="Q61" s="122"/>
    </row>
    <row r="62" spans="2:17" x14ac:dyDescent="0.2">
      <c r="B62" s="128"/>
      <c r="C62" s="122" t="s">
        <v>52</v>
      </c>
      <c r="D62" s="122"/>
      <c r="E62" s="145"/>
      <c r="F62" s="145"/>
      <c r="G62" s="145"/>
      <c r="H62" s="145"/>
      <c r="I62" s="145"/>
      <c r="J62" s="145"/>
      <c r="K62" s="122"/>
      <c r="L62" s="122"/>
      <c r="M62" s="122"/>
      <c r="N62" s="122"/>
      <c r="O62" s="122"/>
      <c r="P62" s="122"/>
      <c r="Q62" s="127"/>
    </row>
    <row r="63" spans="2:17" x14ac:dyDescent="0.2">
      <c r="B63" s="128"/>
      <c r="C63" s="122"/>
      <c r="D63" s="122"/>
      <c r="E63" s="145"/>
      <c r="F63" s="145"/>
      <c r="G63" s="145"/>
      <c r="H63" s="145"/>
      <c r="I63" s="145"/>
      <c r="J63" s="145"/>
      <c r="K63" s="122"/>
      <c r="L63" s="122"/>
      <c r="M63" s="122"/>
      <c r="N63" s="122"/>
      <c r="O63" s="122"/>
      <c r="P63" s="122"/>
      <c r="Q63" s="127"/>
    </row>
    <row r="64" spans="2:17" x14ac:dyDescent="0.2">
      <c r="B64" s="122"/>
      <c r="C64" s="122"/>
      <c r="D64" s="122" t="s">
        <v>3</v>
      </c>
      <c r="E64" s="122"/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7"/>
    </row>
    <row r="65" spans="2:17" x14ac:dyDescent="0.2">
      <c r="B65" s="122" t="s">
        <v>3</v>
      </c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</row>
    <row r="66" spans="2:17" x14ac:dyDescent="0.2">
      <c r="B66" s="122"/>
      <c r="C66" s="122" t="s">
        <v>54</v>
      </c>
      <c r="D66" s="122"/>
      <c r="E66" s="122" t="s">
        <v>55</v>
      </c>
      <c r="F66" s="122"/>
      <c r="G66" s="122"/>
      <c r="H66" s="127">
        <f>K53</f>
        <v>0</v>
      </c>
      <c r="I66" s="122">
        <f>G25</f>
        <v>0</v>
      </c>
      <c r="J66" s="145" t="s">
        <v>47</v>
      </c>
      <c r="K66" s="161">
        <f>IF(G25&lt;&gt;0,K53/G25,0)</f>
        <v>0</v>
      </c>
      <c r="L66" s="122"/>
      <c r="M66" s="122"/>
      <c r="N66" s="122"/>
      <c r="O66" s="122"/>
      <c r="P66" s="122"/>
      <c r="Q66" s="122"/>
    </row>
    <row r="67" spans="2:17" x14ac:dyDescent="0.2">
      <c r="B67" s="122"/>
      <c r="C67" s="122"/>
      <c r="D67" s="122"/>
      <c r="E67" s="122"/>
      <c r="F67" s="122"/>
      <c r="G67" s="122"/>
      <c r="H67" s="122" t="s">
        <v>149</v>
      </c>
      <c r="I67" s="127" t="s">
        <v>103</v>
      </c>
      <c r="J67" s="122"/>
      <c r="K67" s="122"/>
      <c r="L67" s="122"/>
      <c r="M67" s="122"/>
      <c r="N67" s="122"/>
      <c r="O67" s="122"/>
      <c r="P67" s="122"/>
      <c r="Q67" s="122"/>
    </row>
    <row r="68" spans="2:17" ht="13.5" thickBot="1" x14ac:dyDescent="0.25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M68" s="122"/>
      <c r="N68" s="122"/>
      <c r="O68" s="122"/>
      <c r="P68" s="122"/>
      <c r="Q68" s="122"/>
    </row>
    <row r="69" spans="2:17" ht="13.5" thickBot="1" x14ac:dyDescent="0.25">
      <c r="B69" s="122"/>
      <c r="C69" s="122"/>
      <c r="D69" s="122"/>
      <c r="E69" s="122"/>
      <c r="F69" s="122"/>
      <c r="G69" s="128"/>
      <c r="H69" s="122"/>
      <c r="I69" s="122"/>
      <c r="J69" s="127" t="s">
        <v>56</v>
      </c>
      <c r="K69" s="171">
        <f>IF(K66*50&gt;5,5,K66*50)</f>
        <v>0</v>
      </c>
      <c r="L69" s="322"/>
      <c r="M69" s="322"/>
      <c r="N69" s="122"/>
      <c r="O69" s="122"/>
      <c r="P69" s="122"/>
      <c r="Q69" s="122"/>
    </row>
    <row r="70" spans="2:17" x14ac:dyDescent="0.2">
      <c r="B70" s="122"/>
      <c r="C70" s="122"/>
      <c r="D70" s="122"/>
      <c r="E70" s="122"/>
      <c r="F70" s="122"/>
      <c r="G70" s="128"/>
      <c r="H70" s="122"/>
      <c r="I70" s="122"/>
      <c r="J70" s="127"/>
      <c r="K70" s="172"/>
      <c r="L70" s="122" t="s">
        <v>233</v>
      </c>
      <c r="M70" s="122"/>
      <c r="N70" s="122"/>
      <c r="O70" s="122"/>
      <c r="P70" s="122"/>
      <c r="Q70" s="122"/>
    </row>
    <row r="71" spans="2:17" x14ac:dyDescent="0.2">
      <c r="L71" s="120" t="s">
        <v>234</v>
      </c>
    </row>
  </sheetData>
  <sheetProtection password="EC65" sheet="1" objects="1" scenarios="1" selectLockedCells="1"/>
  <mergeCells count="3">
    <mergeCell ref="C4:E4"/>
    <mergeCell ref="C13:E13"/>
    <mergeCell ref="K6: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70"/>
  <sheetViews>
    <sheetView showGridLines="0" topLeftCell="A7" workbookViewId="0">
      <selection activeCell="E7" sqref="E7"/>
    </sheetView>
  </sheetViews>
  <sheetFormatPr defaultColWidth="7.7109375" defaultRowHeight="12.75" x14ac:dyDescent="0.2"/>
  <cols>
    <col min="1" max="1" width="7.7109375" style="341"/>
    <col min="2" max="2" width="10.85546875" style="341" customWidth="1"/>
    <col min="3" max="11" width="7.7109375" style="341"/>
    <col min="12" max="12" width="5.42578125" style="341" customWidth="1"/>
    <col min="13" max="16384" width="7.7109375" style="341"/>
  </cols>
  <sheetData>
    <row r="2" spans="2:12" ht="13.5" thickBot="1" x14ac:dyDescent="0.25"/>
    <row r="3" spans="2:12" ht="13.5" thickTop="1" x14ac:dyDescent="0.2">
      <c r="B3" s="191"/>
      <c r="C3" s="192"/>
      <c r="D3" s="192"/>
      <c r="E3" s="192"/>
      <c r="F3" s="192"/>
      <c r="G3" s="192"/>
      <c r="H3" s="189"/>
      <c r="I3" s="189"/>
      <c r="J3" s="189"/>
      <c r="K3" s="190"/>
      <c r="L3" s="193"/>
    </row>
    <row r="4" spans="2:12" x14ac:dyDescent="0.2">
      <c r="B4" s="194"/>
      <c r="C4" s="381" t="s">
        <v>213</v>
      </c>
      <c r="D4" s="381"/>
      <c r="E4" s="381"/>
      <c r="F4" s="381"/>
      <c r="G4" s="77"/>
      <c r="H4" s="379"/>
      <c r="I4" s="380"/>
      <c r="J4" s="44"/>
      <c r="K4" s="33"/>
      <c r="L4" s="196"/>
    </row>
    <row r="5" spans="2:12" x14ac:dyDescent="0.2">
      <c r="B5" s="194"/>
      <c r="C5" s="105"/>
      <c r="D5" s="77"/>
      <c r="E5" s="77"/>
      <c r="F5" s="320"/>
      <c r="G5" s="77"/>
      <c r="H5" s="44"/>
      <c r="I5" s="46"/>
      <c r="J5" s="44"/>
      <c r="K5" s="197"/>
      <c r="L5" s="196"/>
    </row>
    <row r="6" spans="2:12" x14ac:dyDescent="0.2">
      <c r="B6" s="194"/>
      <c r="C6" s="105"/>
      <c r="D6" s="198" t="s">
        <v>124</v>
      </c>
      <c r="E6" s="320" t="s">
        <v>106</v>
      </c>
      <c r="F6" s="320"/>
      <c r="G6" s="320"/>
      <c r="H6" s="321"/>
      <c r="I6" s="46"/>
      <c r="J6" s="44"/>
      <c r="K6" s="77"/>
      <c r="L6" s="196"/>
    </row>
    <row r="7" spans="2:12" x14ac:dyDescent="0.2">
      <c r="B7" s="194"/>
      <c r="C7" s="77"/>
      <c r="D7" s="199"/>
      <c r="E7" s="207"/>
      <c r="F7" s="200" t="s">
        <v>104</v>
      </c>
      <c r="G7" s="320"/>
      <c r="H7" s="77"/>
      <c r="I7" s="77"/>
      <c r="J7" s="44"/>
      <c r="K7" s="11"/>
      <c r="L7" s="196"/>
    </row>
    <row r="8" spans="2:12" x14ac:dyDescent="0.2">
      <c r="B8" s="194"/>
      <c r="C8" s="77"/>
      <c r="D8" s="195"/>
      <c r="E8" s="35" t="str">
        <f>IF(E7&gt;35,"No Greater than 35","")</f>
        <v/>
      </c>
      <c r="F8" s="200"/>
      <c r="G8" s="35" t="str">
        <f>IF(G7&gt;7, "No Greater than 7","")</f>
        <v/>
      </c>
      <c r="H8" s="77"/>
      <c r="I8" s="77"/>
      <c r="J8" s="44"/>
      <c r="K8" s="77"/>
      <c r="L8" s="196"/>
    </row>
    <row r="9" spans="2:12" x14ac:dyDescent="0.2">
      <c r="B9" s="194"/>
      <c r="C9" s="201"/>
      <c r="D9" s="78"/>
      <c r="E9" s="11"/>
      <c r="F9" s="77"/>
      <c r="G9" s="44"/>
      <c r="H9" s="44"/>
      <c r="I9" s="77"/>
      <c r="J9" s="77"/>
      <c r="K9" s="78"/>
      <c r="L9" s="79"/>
    </row>
    <row r="10" spans="2:12" ht="13.5" thickBot="1" x14ac:dyDescent="0.25">
      <c r="B10" s="202"/>
      <c r="C10" s="203"/>
      <c r="D10" s="203"/>
      <c r="E10" s="203"/>
      <c r="F10" s="203"/>
      <c r="G10" s="203"/>
      <c r="H10" s="203"/>
      <c r="I10" s="203"/>
      <c r="J10" s="203"/>
      <c r="K10" s="203"/>
      <c r="L10" s="204"/>
    </row>
    <row r="11" spans="2:12" ht="13.5" thickTop="1" x14ac:dyDescent="0.2"/>
    <row r="15" spans="2:12" x14ac:dyDescent="0.2">
      <c r="B15" s="342" t="s">
        <v>211</v>
      </c>
      <c r="C15" s="343"/>
      <c r="D15" s="343"/>
      <c r="E15" s="343"/>
      <c r="F15" s="343"/>
      <c r="G15" s="343"/>
      <c r="H15" s="342"/>
      <c r="I15" s="343"/>
      <c r="J15" s="343"/>
      <c r="K15" s="343"/>
      <c r="L15" s="343"/>
    </row>
    <row r="16" spans="2:12" x14ac:dyDescent="0.2">
      <c r="B16" s="343" t="s">
        <v>57</v>
      </c>
      <c r="C16" s="343"/>
      <c r="D16" s="343"/>
      <c r="E16" s="343"/>
      <c r="F16" s="343"/>
      <c r="G16" s="343"/>
      <c r="H16" s="382" t="s">
        <v>210</v>
      </c>
      <c r="I16" s="382"/>
      <c r="J16" s="382"/>
      <c r="K16" s="343"/>
      <c r="L16" s="343"/>
    </row>
    <row r="17" spans="2:12" x14ac:dyDescent="0.2">
      <c r="B17" s="343" t="s">
        <v>58</v>
      </c>
      <c r="C17" s="343"/>
      <c r="D17" s="343"/>
      <c r="E17" s="343"/>
      <c r="F17" s="343"/>
      <c r="G17" s="343"/>
      <c r="H17" s="382"/>
      <c r="I17" s="382"/>
      <c r="J17" s="382"/>
      <c r="K17" s="343"/>
      <c r="L17" s="343"/>
    </row>
    <row r="18" spans="2:12" x14ac:dyDescent="0.2">
      <c r="B18" s="343"/>
      <c r="C18" s="343"/>
      <c r="D18" s="343"/>
      <c r="E18" s="343"/>
      <c r="F18" s="343"/>
      <c r="G18" s="343"/>
      <c r="H18" s="382"/>
      <c r="I18" s="382"/>
      <c r="J18" s="382"/>
      <c r="K18" s="343"/>
      <c r="L18" s="343"/>
    </row>
    <row r="19" spans="2:12" x14ac:dyDescent="0.2">
      <c r="B19" s="343"/>
      <c r="C19" s="343"/>
      <c r="D19" s="343"/>
      <c r="E19" s="343"/>
      <c r="F19" s="343"/>
      <c r="G19" s="343"/>
      <c r="H19" s="344"/>
      <c r="I19" s="343"/>
      <c r="J19" s="343"/>
      <c r="K19" s="343"/>
      <c r="L19" s="343"/>
    </row>
    <row r="20" spans="2:12" x14ac:dyDescent="0.2">
      <c r="B20" s="345" t="s">
        <v>168</v>
      </c>
      <c r="C20" s="346"/>
      <c r="D20" s="346"/>
      <c r="E20" s="346"/>
      <c r="F20" s="346"/>
      <c r="G20" s="343"/>
      <c r="H20" s="343"/>
      <c r="I20" s="343"/>
      <c r="J20" s="343"/>
      <c r="K20" s="343"/>
      <c r="L20" s="346"/>
    </row>
    <row r="21" spans="2:12" x14ac:dyDescent="0.2"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</row>
    <row r="22" spans="2:12" x14ac:dyDescent="0.2"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</row>
    <row r="23" spans="2:12" x14ac:dyDescent="0.2">
      <c r="B23" s="347" t="s">
        <v>59</v>
      </c>
      <c r="C23" s="348">
        <v>0</v>
      </c>
      <c r="D23" s="344"/>
      <c r="E23" s="349" t="s">
        <v>59</v>
      </c>
      <c r="F23" s="343" t="s">
        <v>60</v>
      </c>
      <c r="G23" s="343"/>
      <c r="H23" s="343"/>
      <c r="I23" s="343"/>
      <c r="J23" s="343"/>
      <c r="K23" s="343"/>
      <c r="L23" s="347"/>
    </row>
    <row r="24" spans="2:12" x14ac:dyDescent="0.2">
      <c r="B24" s="347"/>
      <c r="C24" s="348"/>
      <c r="D24" s="344"/>
      <c r="E24" s="349"/>
      <c r="F24" s="343" t="s">
        <v>61</v>
      </c>
      <c r="G24" s="343"/>
      <c r="H24" s="343"/>
      <c r="I24" s="343"/>
      <c r="J24" s="343"/>
      <c r="K24" s="343"/>
      <c r="L24" s="347"/>
    </row>
    <row r="25" spans="2:12" x14ac:dyDescent="0.2">
      <c r="B25" s="343"/>
      <c r="C25" s="348"/>
      <c r="D25" s="344"/>
      <c r="E25" s="350"/>
      <c r="F25" s="344"/>
      <c r="G25" s="344"/>
      <c r="H25" s="343"/>
      <c r="I25" s="343"/>
      <c r="J25" s="343"/>
      <c r="K25" s="343"/>
      <c r="L25" s="343"/>
    </row>
    <row r="26" spans="2:12" x14ac:dyDescent="0.2">
      <c r="B26" s="347" t="s">
        <v>62</v>
      </c>
      <c r="C26" s="348">
        <v>5</v>
      </c>
      <c r="D26" s="344"/>
      <c r="E26" s="349" t="s">
        <v>62</v>
      </c>
      <c r="F26" s="343" t="s">
        <v>63</v>
      </c>
      <c r="G26" s="343"/>
      <c r="H26" s="343"/>
      <c r="I26" s="343"/>
      <c r="J26" s="343"/>
      <c r="K26" s="343"/>
      <c r="L26" s="347"/>
    </row>
    <row r="27" spans="2:12" x14ac:dyDescent="0.2">
      <c r="B27" s="347"/>
      <c r="C27" s="348"/>
      <c r="D27" s="344"/>
      <c r="E27" s="350"/>
      <c r="F27" s="344"/>
      <c r="G27" s="344" t="s">
        <v>64</v>
      </c>
      <c r="H27" s="344"/>
      <c r="I27" s="344"/>
      <c r="J27" s="343"/>
      <c r="K27" s="343"/>
      <c r="L27" s="347"/>
    </row>
    <row r="28" spans="2:12" x14ac:dyDescent="0.2">
      <c r="B28" s="343"/>
      <c r="C28" s="348"/>
      <c r="D28" s="344"/>
      <c r="E28" s="350"/>
      <c r="F28" s="344"/>
      <c r="G28" s="344"/>
      <c r="H28" s="343"/>
      <c r="I28" s="343"/>
      <c r="J28" s="343"/>
      <c r="K28" s="343"/>
      <c r="L28" s="343"/>
    </row>
    <row r="29" spans="2:12" x14ac:dyDescent="0.2">
      <c r="B29" s="347" t="s">
        <v>65</v>
      </c>
      <c r="C29" s="348">
        <v>10</v>
      </c>
      <c r="D29" s="344"/>
      <c r="E29" s="349" t="s">
        <v>65</v>
      </c>
      <c r="F29" s="343" t="s">
        <v>66</v>
      </c>
      <c r="G29" s="343"/>
      <c r="H29" s="343"/>
      <c r="I29" s="343"/>
      <c r="J29" s="343"/>
      <c r="K29" s="343"/>
      <c r="L29" s="347"/>
    </row>
    <row r="30" spans="2:12" x14ac:dyDescent="0.2">
      <c r="B30" s="347"/>
      <c r="C30" s="348"/>
      <c r="D30" s="344"/>
      <c r="E30" s="350"/>
      <c r="F30" s="343" t="s">
        <v>67</v>
      </c>
      <c r="G30" s="343"/>
      <c r="H30" s="343"/>
      <c r="I30" s="343"/>
      <c r="J30" s="343"/>
      <c r="K30" s="343"/>
      <c r="L30" s="347"/>
    </row>
    <row r="31" spans="2:12" x14ac:dyDescent="0.2">
      <c r="B31" s="347"/>
      <c r="C31" s="348"/>
      <c r="D31" s="344"/>
      <c r="E31" s="350"/>
      <c r="F31" s="343" t="s">
        <v>68</v>
      </c>
      <c r="G31" s="343"/>
      <c r="H31" s="343"/>
      <c r="I31" s="343"/>
      <c r="J31" s="343"/>
      <c r="K31" s="343"/>
      <c r="L31" s="347"/>
    </row>
    <row r="32" spans="2:12" x14ac:dyDescent="0.2">
      <c r="B32" s="347" t="s">
        <v>69</v>
      </c>
      <c r="C32" s="348">
        <v>15</v>
      </c>
      <c r="D32" s="344"/>
      <c r="E32" s="349" t="s">
        <v>69</v>
      </c>
      <c r="F32" s="343" t="s">
        <v>70</v>
      </c>
      <c r="G32" s="343"/>
      <c r="H32" s="343"/>
      <c r="I32" s="343"/>
      <c r="J32" s="343"/>
      <c r="K32" s="343"/>
      <c r="L32" s="347"/>
    </row>
    <row r="33" spans="2:12" x14ac:dyDescent="0.2">
      <c r="B33" s="347"/>
      <c r="C33" s="348"/>
      <c r="D33" s="344"/>
      <c r="E33" s="350"/>
      <c r="F33" s="343" t="s">
        <v>71</v>
      </c>
      <c r="G33" s="343"/>
      <c r="H33" s="343"/>
      <c r="I33" s="343"/>
      <c r="J33" s="343"/>
      <c r="K33" s="343"/>
      <c r="L33" s="347"/>
    </row>
    <row r="34" spans="2:12" x14ac:dyDescent="0.2">
      <c r="B34" s="347"/>
      <c r="C34" s="348"/>
      <c r="D34" s="344"/>
      <c r="E34" s="350"/>
      <c r="F34" s="343" t="s">
        <v>72</v>
      </c>
      <c r="G34" s="343"/>
      <c r="H34" s="343"/>
      <c r="I34" s="343"/>
      <c r="J34" s="343"/>
      <c r="K34" s="343"/>
      <c r="L34" s="347"/>
    </row>
    <row r="35" spans="2:12" x14ac:dyDescent="0.2">
      <c r="B35" s="347" t="s">
        <v>73</v>
      </c>
      <c r="C35" s="348">
        <v>20</v>
      </c>
      <c r="D35" s="344"/>
      <c r="E35" s="349" t="s">
        <v>73</v>
      </c>
      <c r="F35" s="343" t="s">
        <v>74</v>
      </c>
      <c r="G35" s="343"/>
      <c r="H35" s="343"/>
      <c r="I35" s="343"/>
      <c r="J35" s="343"/>
      <c r="K35" s="343"/>
      <c r="L35" s="347"/>
    </row>
    <row r="36" spans="2:12" x14ac:dyDescent="0.2">
      <c r="B36" s="347"/>
      <c r="C36" s="348"/>
      <c r="D36" s="344"/>
      <c r="E36" s="350"/>
      <c r="F36" s="343" t="s">
        <v>75</v>
      </c>
      <c r="G36" s="343"/>
      <c r="H36" s="343"/>
      <c r="I36" s="343"/>
      <c r="J36" s="343"/>
      <c r="K36" s="343"/>
      <c r="L36" s="347"/>
    </row>
    <row r="37" spans="2:12" x14ac:dyDescent="0.2">
      <c r="B37" s="347"/>
      <c r="C37" s="348"/>
      <c r="D37" s="344"/>
      <c r="E37" s="349"/>
      <c r="F37" s="343" t="s">
        <v>76</v>
      </c>
      <c r="G37" s="343"/>
      <c r="H37" s="343"/>
      <c r="I37" s="343"/>
      <c r="J37" s="343"/>
      <c r="K37" s="343"/>
      <c r="L37" s="347"/>
    </row>
    <row r="38" spans="2:12" x14ac:dyDescent="0.2">
      <c r="B38" s="347" t="s">
        <v>77</v>
      </c>
      <c r="C38" s="348">
        <v>25</v>
      </c>
      <c r="D38" s="344"/>
      <c r="E38" s="349" t="s">
        <v>77</v>
      </c>
      <c r="F38" s="343" t="s">
        <v>78</v>
      </c>
      <c r="G38" s="343"/>
      <c r="H38" s="343"/>
      <c r="I38" s="343"/>
      <c r="J38" s="343"/>
      <c r="K38" s="343"/>
      <c r="L38" s="347"/>
    </row>
    <row r="39" spans="2:12" x14ac:dyDescent="0.2">
      <c r="B39" s="347"/>
      <c r="C39" s="343"/>
      <c r="D39" s="344"/>
      <c r="E39" s="344"/>
      <c r="F39" s="343" t="s">
        <v>79</v>
      </c>
      <c r="G39" s="343"/>
      <c r="H39" s="343"/>
      <c r="I39" s="343"/>
      <c r="J39" s="343"/>
      <c r="K39" s="343"/>
      <c r="L39" s="347"/>
    </row>
    <row r="40" spans="2:12" x14ac:dyDescent="0.2">
      <c r="B40" s="347"/>
      <c r="C40" s="344"/>
      <c r="D40" s="344"/>
      <c r="E40" s="344"/>
      <c r="F40" s="343" t="s">
        <v>80</v>
      </c>
      <c r="G40" s="343"/>
      <c r="H40" s="343"/>
      <c r="I40" s="343"/>
      <c r="J40" s="343"/>
      <c r="K40" s="343"/>
      <c r="L40" s="347"/>
    </row>
    <row r="41" spans="2:12" x14ac:dyDescent="0.2">
      <c r="B41" s="347"/>
      <c r="C41" s="343" t="s">
        <v>81</v>
      </c>
      <c r="D41" s="343"/>
      <c r="E41" s="343"/>
      <c r="F41" s="343"/>
      <c r="G41" s="343"/>
      <c r="H41" s="343"/>
      <c r="I41" s="343"/>
      <c r="J41" s="343"/>
      <c r="K41" s="343"/>
      <c r="L41" s="347"/>
    </row>
    <row r="42" spans="2:12" x14ac:dyDescent="0.2">
      <c r="B42" s="347"/>
      <c r="C42" s="343"/>
      <c r="D42" s="343"/>
      <c r="E42" s="343"/>
      <c r="F42" s="343"/>
      <c r="G42" s="343"/>
      <c r="H42" s="343"/>
      <c r="I42" s="343"/>
      <c r="J42" s="343"/>
      <c r="K42" s="343"/>
      <c r="L42" s="347"/>
    </row>
    <row r="43" spans="2:12" x14ac:dyDescent="0.2">
      <c r="B43" s="347"/>
      <c r="C43" s="343"/>
      <c r="D43" s="343"/>
      <c r="E43" s="343"/>
      <c r="F43" s="343"/>
      <c r="G43" s="343"/>
      <c r="H43" s="343"/>
      <c r="I43" s="343"/>
      <c r="J43" s="343"/>
      <c r="K43" s="343"/>
      <c r="L43" s="347"/>
    </row>
    <row r="44" spans="2:12" x14ac:dyDescent="0.2">
      <c r="B44" s="344"/>
      <c r="C44" s="344"/>
      <c r="D44" s="344"/>
      <c r="E44" s="343"/>
      <c r="F44" s="343"/>
      <c r="G44" s="343"/>
      <c r="H44" s="343"/>
      <c r="I44" s="343"/>
      <c r="J44" s="343"/>
      <c r="K44" s="343"/>
      <c r="L44" s="344"/>
    </row>
    <row r="45" spans="2:12" x14ac:dyDescent="0.2">
      <c r="B45" s="346" t="s">
        <v>150</v>
      </c>
      <c r="C45" s="346"/>
      <c r="D45" s="346"/>
      <c r="E45" s="343" t="s">
        <v>152</v>
      </c>
      <c r="F45" s="343"/>
      <c r="G45" s="344"/>
      <c r="H45" s="343" t="s">
        <v>153</v>
      </c>
      <c r="I45" s="343"/>
      <c r="J45" s="343" t="s">
        <v>154</v>
      </c>
      <c r="K45" s="343"/>
      <c r="L45" s="346"/>
    </row>
    <row r="46" spans="2:12" x14ac:dyDescent="0.2">
      <c r="B46" s="346"/>
      <c r="C46" s="343"/>
      <c r="D46" s="343"/>
      <c r="E46" s="343"/>
      <c r="F46" s="343"/>
      <c r="G46" s="343"/>
      <c r="H46" s="343"/>
      <c r="I46" s="343"/>
      <c r="J46" s="343"/>
      <c r="K46" s="343"/>
      <c r="L46" s="346"/>
    </row>
    <row r="47" spans="2:12" x14ac:dyDescent="0.2">
      <c r="B47" s="346"/>
      <c r="C47" s="343"/>
      <c r="D47" s="343"/>
      <c r="E47" s="343"/>
      <c r="F47" s="343"/>
      <c r="G47" s="343"/>
      <c r="H47" s="343"/>
      <c r="I47" s="343"/>
      <c r="J47" s="343"/>
      <c r="K47" s="343"/>
      <c r="L47" s="346"/>
    </row>
    <row r="48" spans="2:12" x14ac:dyDescent="0.2">
      <c r="B48" s="343"/>
      <c r="C48" s="343"/>
      <c r="D48" s="343"/>
      <c r="E48" s="343"/>
      <c r="F48" s="343"/>
      <c r="G48" s="343"/>
      <c r="H48" s="343"/>
      <c r="I48" s="343"/>
      <c r="J48" s="343"/>
      <c r="K48" s="343"/>
      <c r="L48" s="343"/>
    </row>
    <row r="49" spans="2:12" x14ac:dyDescent="0.2">
      <c r="B49" s="346" t="s">
        <v>195</v>
      </c>
      <c r="C49" s="346"/>
      <c r="D49" s="346"/>
      <c r="E49" s="346"/>
      <c r="F49" s="346"/>
      <c r="G49" s="343"/>
      <c r="H49" s="343"/>
      <c r="I49" s="343"/>
      <c r="J49" s="343"/>
      <c r="K49" s="343"/>
      <c r="L49" s="346"/>
    </row>
    <row r="50" spans="2:12" x14ac:dyDescent="0.2">
      <c r="B50" s="343"/>
      <c r="C50" s="343"/>
      <c r="D50" s="343"/>
      <c r="E50" s="343"/>
      <c r="F50" s="343"/>
      <c r="G50" s="343"/>
      <c r="H50" s="343"/>
      <c r="I50" s="343"/>
      <c r="J50" s="343"/>
      <c r="K50" s="343"/>
      <c r="L50" s="343"/>
    </row>
    <row r="51" spans="2:12" x14ac:dyDescent="0.2">
      <c r="B51" s="343" t="s">
        <v>1</v>
      </c>
      <c r="C51" s="343"/>
      <c r="D51" s="343"/>
      <c r="E51" s="343"/>
      <c r="F51" s="343"/>
      <c r="G51" s="343"/>
      <c r="H51" s="343"/>
      <c r="I51" s="343"/>
      <c r="J51" s="343"/>
      <c r="K51" s="343"/>
      <c r="L51" s="343"/>
    </row>
    <row r="52" spans="2:12" x14ac:dyDescent="0.2">
      <c r="B52" s="347" t="s">
        <v>59</v>
      </c>
      <c r="C52" s="351">
        <v>0</v>
      </c>
      <c r="D52" s="352"/>
      <c r="E52" s="343" t="s">
        <v>59</v>
      </c>
      <c r="F52" s="343" t="s">
        <v>82</v>
      </c>
      <c r="G52" s="343"/>
      <c r="H52" s="343"/>
      <c r="I52" s="343"/>
      <c r="J52" s="343"/>
      <c r="K52" s="343"/>
      <c r="L52" s="347"/>
    </row>
    <row r="53" spans="2:12" x14ac:dyDescent="0.2">
      <c r="B53" s="347"/>
      <c r="C53" s="351"/>
      <c r="D53" s="344"/>
      <c r="E53" s="343"/>
      <c r="F53" s="343"/>
      <c r="G53" s="343"/>
      <c r="H53" s="343"/>
      <c r="I53" s="343"/>
      <c r="J53" s="343"/>
      <c r="K53" s="343"/>
      <c r="L53" s="347"/>
    </row>
    <row r="54" spans="2:12" x14ac:dyDescent="0.2">
      <c r="B54" s="347" t="s">
        <v>62</v>
      </c>
      <c r="C54" s="351">
        <v>2</v>
      </c>
      <c r="D54" s="344"/>
      <c r="E54" s="343" t="s">
        <v>62</v>
      </c>
      <c r="F54" s="343" t="s">
        <v>83</v>
      </c>
      <c r="G54" s="343"/>
      <c r="H54" s="343"/>
      <c r="I54" s="343"/>
      <c r="J54" s="343"/>
      <c r="K54" s="343"/>
      <c r="L54" s="347"/>
    </row>
    <row r="55" spans="2:12" x14ac:dyDescent="0.2">
      <c r="B55" s="347"/>
      <c r="C55" s="351"/>
      <c r="D55" s="344"/>
      <c r="E55" s="343"/>
      <c r="F55" s="343"/>
      <c r="G55" s="344"/>
      <c r="H55" s="343"/>
      <c r="I55" s="343"/>
      <c r="J55" s="343"/>
      <c r="K55" s="343"/>
      <c r="L55" s="347"/>
    </row>
    <row r="56" spans="2:12" x14ac:dyDescent="0.2">
      <c r="B56" s="347" t="s">
        <v>69</v>
      </c>
      <c r="C56" s="351">
        <v>3</v>
      </c>
      <c r="D56" s="344"/>
      <c r="E56" s="343" t="s">
        <v>69</v>
      </c>
      <c r="F56" s="343" t="s">
        <v>84</v>
      </c>
      <c r="G56" s="343"/>
      <c r="H56" s="343"/>
      <c r="I56" s="343"/>
      <c r="J56" s="343"/>
      <c r="K56" s="343"/>
      <c r="L56" s="347"/>
    </row>
    <row r="57" spans="2:12" x14ac:dyDescent="0.2">
      <c r="B57" s="347"/>
      <c r="C57" s="351"/>
      <c r="D57" s="344"/>
      <c r="E57" s="344"/>
      <c r="F57" s="343" t="s">
        <v>85</v>
      </c>
      <c r="G57" s="343"/>
      <c r="H57" s="343"/>
      <c r="I57" s="343"/>
      <c r="J57" s="343"/>
      <c r="K57" s="343"/>
      <c r="L57" s="353"/>
    </row>
    <row r="58" spans="2:12" x14ac:dyDescent="0.2">
      <c r="B58" s="347" t="s">
        <v>77</v>
      </c>
      <c r="C58" s="351">
        <v>4</v>
      </c>
      <c r="D58" s="344"/>
      <c r="E58" s="343" t="s">
        <v>77</v>
      </c>
      <c r="F58" s="343" t="s">
        <v>86</v>
      </c>
      <c r="G58" s="343"/>
      <c r="H58" s="343"/>
      <c r="I58" s="343"/>
      <c r="J58" s="343"/>
      <c r="K58" s="343"/>
      <c r="L58" s="347"/>
    </row>
    <row r="59" spans="2:12" x14ac:dyDescent="0.2">
      <c r="B59" s="347"/>
      <c r="C59" s="351"/>
      <c r="D59" s="344"/>
      <c r="E59" s="344"/>
      <c r="F59" s="343" t="s">
        <v>87</v>
      </c>
      <c r="G59" s="343"/>
      <c r="H59" s="343"/>
      <c r="I59" s="343"/>
      <c r="J59" s="343"/>
      <c r="K59" s="343"/>
      <c r="L59" s="353"/>
    </row>
    <row r="60" spans="2:12" x14ac:dyDescent="0.2">
      <c r="B60" s="347" t="s">
        <v>88</v>
      </c>
      <c r="C60" s="351">
        <v>5</v>
      </c>
      <c r="D60" s="354"/>
      <c r="E60" s="343" t="s">
        <v>88</v>
      </c>
      <c r="F60" s="343" t="s">
        <v>89</v>
      </c>
      <c r="G60" s="343"/>
      <c r="H60" s="343"/>
      <c r="I60" s="343"/>
      <c r="J60" s="343"/>
      <c r="K60" s="343"/>
      <c r="L60" s="347"/>
    </row>
    <row r="61" spans="2:12" x14ac:dyDescent="0.2">
      <c r="B61" s="344"/>
      <c r="C61" s="344"/>
      <c r="D61" s="344"/>
      <c r="E61" s="343"/>
      <c r="F61" s="343" t="s">
        <v>90</v>
      </c>
      <c r="G61" s="343"/>
      <c r="H61" s="343"/>
      <c r="I61" s="343"/>
      <c r="J61" s="343"/>
      <c r="K61" s="343"/>
      <c r="L61" s="344"/>
    </row>
    <row r="62" spans="2:12" x14ac:dyDescent="0.2">
      <c r="B62" s="343"/>
      <c r="C62" s="343"/>
      <c r="D62" s="343"/>
      <c r="E62" s="343"/>
      <c r="F62" s="343"/>
      <c r="G62" s="344"/>
      <c r="H62" s="343"/>
      <c r="I62" s="343"/>
      <c r="J62" s="343"/>
      <c r="K62" s="343"/>
      <c r="L62" s="343"/>
    </row>
    <row r="63" spans="2:12" x14ac:dyDescent="0.2">
      <c r="B63" s="343"/>
      <c r="C63" s="343" t="s">
        <v>81</v>
      </c>
      <c r="D63" s="343"/>
      <c r="E63" s="343"/>
      <c r="F63" s="343"/>
      <c r="G63" s="343"/>
      <c r="H63" s="343"/>
      <c r="I63" s="343"/>
      <c r="J63" s="343"/>
      <c r="K63" s="343"/>
      <c r="L63" s="343"/>
    </row>
    <row r="64" spans="2:12" x14ac:dyDescent="0.2">
      <c r="B64" s="343"/>
      <c r="C64" s="343"/>
      <c r="D64" s="343"/>
      <c r="E64" s="343"/>
      <c r="F64" s="343"/>
      <c r="G64" s="344"/>
      <c r="H64" s="343"/>
      <c r="I64" s="343"/>
      <c r="J64" s="343"/>
      <c r="K64" s="343"/>
      <c r="L64" s="343"/>
    </row>
    <row r="65" spans="2:12" x14ac:dyDescent="0.2">
      <c r="B65" s="343" t="s">
        <v>3</v>
      </c>
      <c r="C65" s="343"/>
      <c r="D65" s="343"/>
      <c r="E65" s="343"/>
      <c r="F65" s="343"/>
      <c r="G65" s="344"/>
      <c r="H65" s="343" t="s">
        <v>5</v>
      </c>
      <c r="I65" s="343"/>
      <c r="J65" s="343"/>
      <c r="K65" s="355"/>
      <c r="L65" s="343"/>
    </row>
    <row r="66" spans="2:12" x14ac:dyDescent="0.2">
      <c r="B66" s="343"/>
      <c r="C66" s="343" t="s">
        <v>52</v>
      </c>
      <c r="D66" s="343"/>
      <c r="E66" s="343"/>
      <c r="F66" s="343"/>
      <c r="G66" s="344"/>
      <c r="H66" s="343" t="s">
        <v>6</v>
      </c>
      <c r="I66" s="344"/>
      <c r="J66" s="343"/>
      <c r="K66" s="356"/>
      <c r="L66" s="343"/>
    </row>
    <row r="67" spans="2:12" x14ac:dyDescent="0.2">
      <c r="B67" s="343"/>
      <c r="C67" s="343"/>
      <c r="D67" s="343"/>
      <c r="E67" s="343"/>
      <c r="F67" s="343"/>
      <c r="G67" s="344"/>
      <c r="H67" s="343" t="s">
        <v>7</v>
      </c>
      <c r="I67" s="343"/>
      <c r="J67" s="343"/>
      <c r="K67" s="356"/>
      <c r="L67" s="343"/>
    </row>
    <row r="68" spans="2:12" ht="13.5" thickBot="1" x14ac:dyDescent="0.25">
      <c r="B68" s="343"/>
      <c r="C68" s="343"/>
      <c r="D68" s="343"/>
      <c r="E68" s="343"/>
      <c r="F68" s="343"/>
      <c r="G68" s="344"/>
      <c r="H68" s="343"/>
      <c r="I68" s="343"/>
      <c r="J68" s="343"/>
      <c r="K68" s="343"/>
      <c r="L68" s="343"/>
    </row>
    <row r="69" spans="2:12" ht="13.5" thickBot="1" x14ac:dyDescent="0.25">
      <c r="B69" s="343"/>
      <c r="C69" s="343"/>
      <c r="D69" s="343"/>
      <c r="E69" s="343"/>
      <c r="F69" s="344"/>
      <c r="G69" s="344"/>
      <c r="H69" s="344"/>
      <c r="I69" s="343"/>
      <c r="J69" s="357" t="s">
        <v>91</v>
      </c>
      <c r="K69" s="358">
        <f>IF(Structure!E7&gt;20,20,Structure!E7)</f>
        <v>0</v>
      </c>
      <c r="L69" s="343"/>
    </row>
    <row r="70" spans="2:12" x14ac:dyDescent="0.2">
      <c r="B70" s="122"/>
      <c r="C70" s="122"/>
      <c r="D70" s="122"/>
      <c r="E70" s="122"/>
      <c r="F70" s="122"/>
      <c r="G70" s="128"/>
      <c r="H70" s="130"/>
      <c r="I70" s="130"/>
      <c r="J70" s="130"/>
      <c r="K70" s="130"/>
      <c r="L70" s="122"/>
    </row>
  </sheetData>
  <sheetProtection algorithmName="SHA-512" hashValue="QXRpHzM5F6mztgu3vBnp5yKRbjuBYBKuJm1yEnj69x7k1HP6yfyow78NEyl5OZp/m2nhKdlpM7TCOK3pBqUnjA==" saltValue="fjBCozwc18veT4faCw4n1g==" spinCount="100000" sheet="1" objects="1" scenarios="1" selectLockedCells="1"/>
  <mergeCells count="3">
    <mergeCell ref="H4:I4"/>
    <mergeCell ref="C4:F4"/>
    <mergeCell ref="H16:J18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P43"/>
  <sheetViews>
    <sheetView showGridLines="0" workbookViewId="0">
      <selection activeCell="J14" sqref="J14"/>
    </sheetView>
  </sheetViews>
  <sheetFormatPr defaultRowHeight="12.75" customHeight="1" x14ac:dyDescent="0.2"/>
  <cols>
    <col min="1" max="256" width="7.7109375" style="82" customWidth="1"/>
    <col min="257" max="16384" width="9.140625" style="82"/>
  </cols>
  <sheetData>
    <row r="3" spans="1:15" ht="12.75" customHeight="1" thickBot="1" x14ac:dyDescent="0.25">
      <c r="A3" s="81"/>
      <c r="B3" s="84"/>
      <c r="C3" s="102"/>
      <c r="D3" s="84"/>
      <c r="E3" s="84"/>
      <c r="F3" s="84"/>
      <c r="G3" s="84"/>
      <c r="H3" s="84"/>
      <c r="I3" s="84"/>
      <c r="J3" s="84"/>
      <c r="K3" s="84"/>
      <c r="L3" s="103"/>
      <c r="M3" s="103"/>
      <c r="N3" s="103"/>
      <c r="O3" s="104"/>
    </row>
    <row r="4" spans="1:15" ht="12.75" customHeight="1" thickTop="1" x14ac:dyDescent="0.2">
      <c r="A4" s="81"/>
      <c r="B4" s="212"/>
      <c r="C4" s="213"/>
      <c r="D4" s="214"/>
      <c r="E4" s="214"/>
      <c r="F4" s="214"/>
      <c r="G4" s="214"/>
      <c r="H4" s="214"/>
      <c r="I4" s="215"/>
      <c r="J4" s="215"/>
      <c r="K4" s="215"/>
      <c r="L4" s="216"/>
    </row>
    <row r="5" spans="1:15" ht="12.75" customHeight="1" x14ac:dyDescent="0.2">
      <c r="A5" s="81"/>
      <c r="B5" s="217"/>
      <c r="C5" s="242" t="s">
        <v>236</v>
      </c>
      <c r="D5" s="44"/>
      <c r="E5" s="77"/>
      <c r="F5" s="77"/>
      <c r="G5" s="199"/>
      <c r="H5" s="218"/>
      <c r="I5" s="218"/>
      <c r="J5" s="383" t="s">
        <v>210</v>
      </c>
      <c r="K5" s="383"/>
      <c r="L5" s="219"/>
    </row>
    <row r="6" spans="1:15" ht="12.75" customHeight="1" x14ac:dyDescent="0.2">
      <c r="A6" s="81"/>
      <c r="B6" s="217"/>
      <c r="C6" s="44"/>
      <c r="D6" s="220"/>
      <c r="E6" s="220"/>
      <c r="F6" s="220"/>
      <c r="G6" s="218"/>
      <c r="H6" s="218"/>
      <c r="I6" s="218"/>
      <c r="J6" s="383"/>
      <c r="K6" s="383"/>
      <c r="L6" s="219"/>
      <c r="M6" s="87"/>
      <c r="N6" s="87"/>
    </row>
    <row r="7" spans="1:15" ht="12.75" customHeight="1" x14ac:dyDescent="0.2">
      <c r="A7" s="81"/>
      <c r="B7" s="217"/>
      <c r="C7" s="44"/>
      <c r="D7" s="44"/>
      <c r="E7" s="44"/>
      <c r="F7" s="44"/>
      <c r="G7" s="44"/>
      <c r="H7" s="44"/>
      <c r="I7" s="44"/>
      <c r="J7" s="44"/>
      <c r="K7" s="44"/>
      <c r="L7" s="219"/>
      <c r="M7" s="87"/>
      <c r="N7" s="87"/>
    </row>
    <row r="8" spans="1:15" ht="12.75" customHeight="1" x14ac:dyDescent="0.2">
      <c r="A8" s="81"/>
      <c r="B8" s="217"/>
      <c r="C8" s="243"/>
      <c r="D8" s="44"/>
      <c r="E8" s="244" t="s">
        <v>206</v>
      </c>
      <c r="F8" s="244"/>
      <c r="G8" s="44"/>
      <c r="H8" s="44"/>
      <c r="I8" s="44"/>
      <c r="J8" s="244" t="s">
        <v>203</v>
      </c>
      <c r="K8" s="44"/>
      <c r="L8" s="219"/>
      <c r="M8" s="87"/>
      <c r="N8" s="87"/>
    </row>
    <row r="9" spans="1:15" ht="12.75" customHeight="1" x14ac:dyDescent="0.2">
      <c r="A9" s="81"/>
      <c r="B9" s="217"/>
      <c r="C9" s="44"/>
      <c r="D9" s="44"/>
      <c r="E9" s="44"/>
      <c r="F9" s="44"/>
      <c r="G9" s="44"/>
      <c r="H9" s="44"/>
      <c r="I9" s="44"/>
      <c r="J9" s="44"/>
      <c r="K9" s="44"/>
      <c r="L9" s="219"/>
      <c r="M9" s="87"/>
      <c r="N9" s="87"/>
    </row>
    <row r="10" spans="1:15" ht="12.75" customHeight="1" x14ac:dyDescent="0.2">
      <c r="A10" s="81"/>
      <c r="B10" s="384" t="s">
        <v>238</v>
      </c>
      <c r="C10" s="385"/>
      <c r="D10" s="385"/>
      <c r="E10" s="385"/>
      <c r="F10" s="220"/>
      <c r="G10" s="218"/>
      <c r="H10" s="218"/>
      <c r="I10" s="44"/>
      <c r="J10" s="387" t="s">
        <v>199</v>
      </c>
      <c r="K10" s="387"/>
      <c r="L10" s="221"/>
      <c r="M10" s="87"/>
      <c r="N10" s="87"/>
    </row>
    <row r="11" spans="1:15" ht="12.75" customHeight="1" x14ac:dyDescent="0.2">
      <c r="A11" s="84"/>
      <c r="B11" s="384"/>
      <c r="C11" s="385"/>
      <c r="D11" s="385"/>
      <c r="E11" s="385"/>
      <c r="F11" s="220"/>
      <c r="G11" s="218"/>
      <c r="H11" s="218"/>
      <c r="I11" s="44"/>
      <c r="J11" s="388" t="s">
        <v>200</v>
      </c>
      <c r="K11" s="388"/>
      <c r="L11" s="222"/>
      <c r="M11" s="87"/>
      <c r="N11" s="87"/>
    </row>
    <row r="12" spans="1:15" ht="12.75" customHeight="1" x14ac:dyDescent="0.2">
      <c r="A12" s="81"/>
      <c r="B12" s="384"/>
      <c r="C12" s="385"/>
      <c r="D12" s="385"/>
      <c r="E12" s="385"/>
      <c r="F12" s="220"/>
      <c r="G12" s="223"/>
      <c r="H12" s="223"/>
      <c r="I12" s="44"/>
      <c r="J12" s="208"/>
      <c r="K12" s="106" t="s">
        <v>95</v>
      </c>
      <c r="L12" s="224"/>
      <c r="M12" s="81"/>
      <c r="N12" s="81"/>
    </row>
    <row r="13" spans="1:15" ht="12.75" customHeight="1" x14ac:dyDescent="0.2">
      <c r="A13" s="81"/>
      <c r="B13" s="384"/>
      <c r="C13" s="385"/>
      <c r="D13" s="385"/>
      <c r="E13" s="385"/>
      <c r="F13" s="220"/>
      <c r="G13" s="44"/>
      <c r="H13" s="35"/>
      <c r="I13" s="218"/>
      <c r="J13" s="208"/>
      <c r="K13" s="225" t="s">
        <v>96</v>
      </c>
      <c r="L13" s="226"/>
      <c r="M13" s="88"/>
      <c r="N13" s="88"/>
    </row>
    <row r="14" spans="1:15" ht="12.75" customHeight="1" x14ac:dyDescent="0.2">
      <c r="A14" s="81"/>
      <c r="B14" s="227"/>
      <c r="C14" s="228"/>
      <c r="D14" s="228"/>
      <c r="E14" s="229"/>
      <c r="F14" s="229"/>
      <c r="G14" s="230"/>
      <c r="H14" s="44"/>
      <c r="I14" s="218"/>
      <c r="J14" s="208"/>
      <c r="K14" s="391" t="s">
        <v>97</v>
      </c>
      <c r="L14" s="392"/>
      <c r="M14" s="88"/>
      <c r="N14" s="88"/>
    </row>
    <row r="15" spans="1:15" ht="12.75" customHeight="1" x14ac:dyDescent="0.2">
      <c r="A15" s="81"/>
      <c r="B15" s="227"/>
      <c r="C15" s="209"/>
      <c r="D15" s="360" t="s">
        <v>229</v>
      </c>
      <c r="E15" s="359"/>
      <c r="F15" s="359"/>
      <c r="G15" s="230"/>
      <c r="H15" s="231"/>
      <c r="I15" s="241" t="s">
        <v>202</v>
      </c>
      <c r="J15" s="7" t="str">
        <f>Geometry!B33</f>
        <v/>
      </c>
      <c r="K15" s="232"/>
      <c r="L15" s="233"/>
      <c r="M15" s="88"/>
      <c r="N15" s="88"/>
    </row>
    <row r="16" spans="1:15" ht="12.75" customHeight="1" x14ac:dyDescent="0.2">
      <c r="A16" s="81"/>
      <c r="B16" s="227"/>
      <c r="C16" s="228"/>
      <c r="D16" s="44"/>
      <c r="E16" s="359"/>
      <c r="F16" s="359"/>
      <c r="G16" s="230"/>
      <c r="H16" s="231"/>
      <c r="I16" s="232"/>
      <c r="J16" s="232"/>
      <c r="K16" s="9"/>
      <c r="L16" s="233"/>
      <c r="M16" s="88"/>
      <c r="N16" s="88"/>
    </row>
    <row r="17" spans="1:14" ht="12.75" customHeight="1" x14ac:dyDescent="0.2">
      <c r="A17" s="81"/>
      <c r="B17" s="227"/>
      <c r="C17" s="234">
        <f>IF(C15&gt;5,5,C15)</f>
        <v>0</v>
      </c>
      <c r="D17" s="232" t="s">
        <v>18</v>
      </c>
      <c r="E17" s="359"/>
      <c r="F17" s="359"/>
      <c r="G17" s="9"/>
      <c r="H17" s="235"/>
      <c r="I17" s="241" t="s">
        <v>214</v>
      </c>
      <c r="J17" s="209"/>
      <c r="K17" s="389" t="s">
        <v>216</v>
      </c>
      <c r="L17" s="390"/>
      <c r="M17" s="88"/>
      <c r="N17" s="88"/>
    </row>
    <row r="18" spans="1:14" ht="12.75" customHeight="1" x14ac:dyDescent="0.2">
      <c r="A18" s="81"/>
      <c r="B18" s="227"/>
      <c r="C18" s="9"/>
      <c r="D18" s="9"/>
      <c r="E18" s="9"/>
      <c r="F18" s="9"/>
      <c r="G18" s="9"/>
      <c r="H18" s="235"/>
      <c r="I18" s="241" t="s">
        <v>215</v>
      </c>
      <c r="J18" s="209"/>
      <c r="K18" s="389"/>
      <c r="L18" s="390"/>
      <c r="M18" s="88"/>
      <c r="N18" s="88"/>
    </row>
    <row r="19" spans="1:14" ht="12.75" customHeight="1" thickBot="1" x14ac:dyDescent="0.25">
      <c r="A19" s="81"/>
      <c r="B19" s="236"/>
      <c r="C19" s="237"/>
      <c r="D19" s="237"/>
      <c r="E19" s="237"/>
      <c r="F19" s="237"/>
      <c r="G19" s="237"/>
      <c r="H19" s="239"/>
      <c r="I19" s="237"/>
      <c r="J19" s="237"/>
      <c r="K19" s="238"/>
      <c r="L19" s="240"/>
      <c r="M19" s="85"/>
      <c r="N19" s="85"/>
    </row>
    <row r="20" spans="1:14" ht="12.75" customHeight="1" thickTop="1" x14ac:dyDescent="0.2"/>
    <row r="25" spans="1:14" ht="12.75" customHeight="1" x14ac:dyDescent="0.2">
      <c r="B25" s="245" t="s">
        <v>196</v>
      </c>
      <c r="C25" s="205"/>
      <c r="D25" s="205"/>
      <c r="E25" s="205"/>
      <c r="F25" s="205"/>
      <c r="G25" s="84"/>
      <c r="H25" s="84"/>
      <c r="I25" s="205"/>
      <c r="J25" s="84"/>
      <c r="K25" s="205"/>
      <c r="L25" s="205"/>
    </row>
    <row r="26" spans="1:14" ht="12.75" customHeight="1" x14ac:dyDescent="0.2">
      <c r="B26" s="81"/>
      <c r="C26" s="84"/>
      <c r="D26" s="86"/>
      <c r="E26" s="86"/>
      <c r="F26" s="86"/>
      <c r="G26" s="86"/>
      <c r="H26" s="86"/>
      <c r="I26" s="86"/>
      <c r="J26" s="86"/>
      <c r="K26" s="86"/>
      <c r="L26" s="86"/>
    </row>
    <row r="27" spans="1:14" ht="12.75" customHeight="1" x14ac:dyDescent="0.2"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8" spans="1:14" ht="12.75" customHeight="1" thickBot="1" x14ac:dyDescent="0.25">
      <c r="B28" s="246">
        <f>Geometry!J17</f>
        <v>0</v>
      </c>
      <c r="C28" s="247" t="s">
        <v>197</v>
      </c>
      <c r="D28" s="248"/>
      <c r="E28" s="248"/>
      <c r="F28" s="248"/>
      <c r="G28" s="81" t="s">
        <v>151</v>
      </c>
      <c r="H28" s="81"/>
      <c r="I28" s="83" t="s">
        <v>102</v>
      </c>
      <c r="J28" s="81"/>
      <c r="K28" s="86"/>
      <c r="L28" s="81"/>
    </row>
    <row r="29" spans="1:14" ht="12.75" customHeight="1" thickBot="1" x14ac:dyDescent="0.25">
      <c r="B29" s="248"/>
      <c r="C29" s="248"/>
      <c r="D29" s="248"/>
      <c r="E29" s="248"/>
      <c r="F29" s="248"/>
      <c r="G29" s="249">
        <f>IF(B30&gt;B33,B33-B28,B30-B28)</f>
        <v>0</v>
      </c>
      <c r="H29" s="249"/>
      <c r="I29" s="250">
        <f>IF(ROUND(B30-B28,0)=2,5,I30)</f>
        <v>0</v>
      </c>
      <c r="J29" s="249"/>
      <c r="K29" s="251"/>
      <c r="L29" s="81"/>
    </row>
    <row r="30" spans="1:14" ht="12.75" customHeight="1" x14ac:dyDescent="0.2">
      <c r="B30" s="246">
        <f>J18</f>
        <v>0</v>
      </c>
      <c r="C30" s="247" t="s">
        <v>198</v>
      </c>
      <c r="D30" s="248"/>
      <c r="E30" s="248"/>
      <c r="F30" s="248"/>
      <c r="G30" s="248"/>
      <c r="H30" s="248"/>
      <c r="I30" s="83">
        <f>IF(ROUND(B30-B28,0)&gt;2,10,0)</f>
        <v>0</v>
      </c>
      <c r="J30" s="248"/>
      <c r="K30" s="86"/>
      <c r="L30" s="81"/>
    </row>
    <row r="31" spans="1:14" ht="12.75" customHeight="1" x14ac:dyDescent="0.2">
      <c r="B31" s="248"/>
      <c r="C31" s="248"/>
      <c r="D31" s="248"/>
      <c r="E31" s="248"/>
      <c r="F31" s="248"/>
      <c r="G31" s="248"/>
      <c r="H31" s="248"/>
      <c r="I31" s="83"/>
      <c r="J31" s="248"/>
      <c r="K31" s="83"/>
      <c r="L31" s="81"/>
    </row>
    <row r="32" spans="1:14" ht="12.75" customHeight="1" x14ac:dyDescent="0.2">
      <c r="B32" s="247" t="s">
        <v>118</v>
      </c>
      <c r="C32" s="248"/>
      <c r="D32" s="248"/>
      <c r="E32" s="248"/>
      <c r="F32" s="248"/>
      <c r="G32" s="248"/>
      <c r="H32" s="248"/>
      <c r="I32" s="248"/>
      <c r="J32" s="248"/>
      <c r="K32" s="248"/>
      <c r="L32" s="248"/>
    </row>
    <row r="33" spans="2:16" ht="12.75" customHeight="1" x14ac:dyDescent="0.2">
      <c r="B33" s="252" t="str">
        <f>IF(AND(J38=0,J39=0,J40=0),"",B39)</f>
        <v/>
      </c>
      <c r="C33" s="206" t="s">
        <v>201</v>
      </c>
      <c r="D33" s="248"/>
      <c r="E33" s="248"/>
      <c r="F33" s="248"/>
      <c r="G33" s="248"/>
      <c r="H33" s="248"/>
      <c r="I33" s="248"/>
      <c r="J33" s="248"/>
      <c r="K33" s="248"/>
      <c r="L33" s="248"/>
    </row>
    <row r="34" spans="2:16" ht="12.75" customHeight="1" x14ac:dyDescent="0.2"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</row>
    <row r="35" spans="2:16" ht="12.75" customHeight="1" x14ac:dyDescent="0.2"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2:16" ht="12.75" customHeight="1" x14ac:dyDescent="0.2">
      <c r="B36" s="386" t="s">
        <v>114</v>
      </c>
      <c r="C36" s="386"/>
      <c r="D36" s="386"/>
      <c r="E36" s="386"/>
      <c r="F36" s="210"/>
      <c r="G36" s="84"/>
      <c r="H36" s="84"/>
      <c r="I36" s="210"/>
      <c r="J36" s="81"/>
      <c r="K36" s="81"/>
      <c r="L36" s="81"/>
      <c r="M36" s="81"/>
      <c r="N36" s="83"/>
      <c r="O36" s="83"/>
      <c r="P36" s="83"/>
    </row>
    <row r="37" spans="2:16" ht="12.75" customHeight="1" x14ac:dyDescent="0.2">
      <c r="B37" s="101"/>
      <c r="C37" s="86"/>
      <c r="D37" s="84"/>
      <c r="E37" s="84"/>
      <c r="F37" s="84"/>
      <c r="G37" s="84"/>
      <c r="H37" s="84"/>
      <c r="I37" s="81"/>
      <c r="J37" s="81" t="s">
        <v>93</v>
      </c>
      <c r="K37" s="81"/>
      <c r="L37" s="81"/>
      <c r="M37" s="253" t="s">
        <v>94</v>
      </c>
      <c r="N37" s="253"/>
      <c r="O37" s="253"/>
      <c r="P37" s="83"/>
    </row>
    <row r="38" spans="2:16" ht="12.75" customHeight="1" x14ac:dyDescent="0.2">
      <c r="B38" s="254" t="s">
        <v>115</v>
      </c>
      <c r="C38" s="254" t="s">
        <v>116</v>
      </c>
      <c r="D38" s="254" t="s">
        <v>117</v>
      </c>
      <c r="E38" s="254" t="s">
        <v>92</v>
      </c>
      <c r="F38" s="86"/>
      <c r="G38" s="84"/>
      <c r="H38" s="84"/>
      <c r="I38" s="86"/>
      <c r="J38" s="211">
        <f>Geometry!J12</f>
        <v>0</v>
      </c>
      <c r="K38" s="81" t="s">
        <v>95</v>
      </c>
      <c r="L38" s="81"/>
      <c r="M38" s="84">
        <f>IF(J38&lt;&gt;0,N38,M39)</f>
        <v>20</v>
      </c>
      <c r="N38" s="84">
        <f>IF('Traffic &amp; Accidents'!G25&lt;400,40,O38)</f>
        <v>40</v>
      </c>
      <c r="O38" s="84">
        <f>IF('Traffic &amp; Accidents'!G25&lt;2001,50,60)</f>
        <v>50</v>
      </c>
      <c r="P38" s="83"/>
    </row>
    <row r="39" spans="2:16" ht="12.75" customHeight="1" x14ac:dyDescent="0.2">
      <c r="B39" s="255">
        <f>IF(AND(M42&lt;=50,'Traffic &amp; Accidents'!E7&lt;400),20,B40)</f>
        <v>22</v>
      </c>
      <c r="C39" s="86">
        <f>IF(AND(M42&lt;=30,'Traffic &amp; Accidents'!E7&lt;1501),20,C40)</f>
        <v>22</v>
      </c>
      <c r="D39" s="86">
        <f>IF(AND(M42&lt;=50,'Traffic &amp; Accidents'!E7&lt;2001),22,D40)</f>
        <v>22</v>
      </c>
      <c r="E39" s="86">
        <f>IF('Traffic &amp; Accidents'!E7&gt;2000,24,0)</f>
        <v>0</v>
      </c>
      <c r="F39" s="86"/>
      <c r="G39" s="84"/>
      <c r="H39" s="84"/>
      <c r="I39" s="256"/>
      <c r="J39" s="211">
        <f>Geometry!J13</f>
        <v>0</v>
      </c>
      <c r="K39" s="81" t="s">
        <v>96</v>
      </c>
      <c r="L39" s="81"/>
      <c r="M39" s="84">
        <f>IF(J39&lt;&gt;0,N39,M40)</f>
        <v>20</v>
      </c>
      <c r="N39" s="84">
        <f>IF('Traffic &amp; Accidents'!G25&lt;400,30,O39)</f>
        <v>30</v>
      </c>
      <c r="O39" s="84">
        <f>IF('Traffic &amp; Accidents'!G25&lt;2001,40,50)</f>
        <v>40</v>
      </c>
      <c r="P39" s="83"/>
    </row>
    <row r="40" spans="2:16" ht="12.75" customHeight="1" x14ac:dyDescent="0.2">
      <c r="B40" s="86">
        <f>IF(AND(M42&gt;50,'Traffic &amp; Accidents'!E7&lt;400),22,C39)</f>
        <v>22</v>
      </c>
      <c r="C40" s="86">
        <f>IF(AND(M42&gt;=35,'Traffic &amp; Accidents'!E7&lt;1501),22,D39)</f>
        <v>22</v>
      </c>
      <c r="D40" s="86">
        <f>IF(AND(M42&gt;=55,'Traffic &amp; Accidents'!E7&lt;2001),22,E39)</f>
        <v>22</v>
      </c>
      <c r="E40" s="86">
        <v>24</v>
      </c>
      <c r="F40" s="86"/>
      <c r="G40" s="84"/>
      <c r="H40" s="84"/>
      <c r="I40" s="86"/>
      <c r="J40" s="211">
        <f>Geometry!J14</f>
        <v>0</v>
      </c>
      <c r="K40" s="81" t="s">
        <v>97</v>
      </c>
      <c r="L40" s="81"/>
      <c r="M40" s="84">
        <f>N40</f>
        <v>20</v>
      </c>
      <c r="N40" s="84">
        <f>IF('Traffic &amp; Accidents'!G25&lt;400,20,O40)</f>
        <v>20</v>
      </c>
      <c r="O40" s="84">
        <f>IF('Traffic &amp; Accidents'!G25&lt;2001,30,40)</f>
        <v>30</v>
      </c>
      <c r="P40" s="83"/>
    </row>
    <row r="41" spans="2:16" ht="12.75" customHeight="1" x14ac:dyDescent="0.2">
      <c r="B41" s="86"/>
      <c r="C41" s="86"/>
      <c r="D41" s="86"/>
      <c r="E41" s="101"/>
      <c r="F41" s="101"/>
      <c r="G41" s="84"/>
      <c r="H41" s="84"/>
      <c r="I41" s="81"/>
      <c r="J41" s="83"/>
      <c r="K41" s="81"/>
      <c r="L41" s="81"/>
      <c r="M41" s="81"/>
      <c r="N41" s="81"/>
      <c r="O41" s="81"/>
      <c r="P41" s="83"/>
    </row>
    <row r="42" spans="2:16" ht="12.75" customHeight="1" x14ac:dyDescent="0.2">
      <c r="B42" s="81"/>
      <c r="C42" s="81"/>
      <c r="D42" s="81"/>
      <c r="E42" s="81"/>
      <c r="F42" s="81"/>
      <c r="G42" s="81"/>
      <c r="H42" s="81"/>
      <c r="I42" s="81"/>
      <c r="J42" s="83"/>
      <c r="K42" s="81"/>
      <c r="L42" s="94" t="s">
        <v>98</v>
      </c>
      <c r="M42" s="211" t="str">
        <f>IF(AND(J38=0,J39=0,J40=0),"",M38)</f>
        <v/>
      </c>
      <c r="N42" s="81"/>
      <c r="O42" s="81"/>
      <c r="P42" s="83"/>
    </row>
    <row r="43" spans="2:16" ht="12.75" customHeight="1" x14ac:dyDescent="0.2"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3"/>
      <c r="O43" s="83"/>
      <c r="P43" s="83"/>
    </row>
  </sheetData>
  <sheetProtection algorithmName="SHA-512" hashValue="6pZfe9rO1ZC2PgBgqHgspf1q8bQUWZ2aox06c/5axh35X1nBt+KAU8i6yBV40zLnPZ2agi5Sslj6n/ay3MmBFw==" saltValue="xj+42KSeErIeXHL0sel4Iw==" spinCount="100000" sheet="1" objects="1" scenarios="1" selectLockedCells="1"/>
  <mergeCells count="7">
    <mergeCell ref="J5:K6"/>
    <mergeCell ref="B10:E13"/>
    <mergeCell ref="B36:E36"/>
    <mergeCell ref="J10:K10"/>
    <mergeCell ref="J11:K11"/>
    <mergeCell ref="K17:L18"/>
    <mergeCell ref="K14:L1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Y80"/>
  <sheetViews>
    <sheetView showGridLines="0" topLeftCell="B1" workbookViewId="0">
      <selection activeCell="D11" sqref="D11"/>
    </sheetView>
  </sheetViews>
  <sheetFormatPr defaultRowHeight="12.75" x14ac:dyDescent="0.2"/>
  <cols>
    <col min="1" max="16384" width="9.140625" style="82"/>
  </cols>
  <sheetData>
    <row r="2" spans="2:25" ht="13.5" thickBot="1" x14ac:dyDescent="0.25"/>
    <row r="3" spans="2:25" x14ac:dyDescent="0.2">
      <c r="B3" s="257"/>
      <c r="C3" s="258"/>
      <c r="D3" s="258"/>
      <c r="E3" s="258"/>
      <c r="F3" s="258"/>
      <c r="G3" s="258"/>
      <c r="H3" s="258"/>
      <c r="I3" s="258"/>
      <c r="J3" s="258"/>
      <c r="K3" s="258"/>
      <c r="L3" s="258"/>
      <c r="M3" s="258"/>
      <c r="N3" s="259"/>
    </row>
    <row r="4" spans="2:25" x14ac:dyDescent="0.2">
      <c r="B4" s="260"/>
      <c r="C4" s="5"/>
      <c r="D4" s="307" t="s">
        <v>217</v>
      </c>
      <c r="E4" s="304" t="s">
        <v>170</v>
      </c>
      <c r="F4" s="4"/>
      <c r="G4" s="4"/>
      <c r="H4" s="4"/>
      <c r="I4" s="4"/>
      <c r="J4" s="34"/>
      <c r="K4" s="26"/>
      <c r="L4" s="4"/>
      <c r="M4" s="4"/>
      <c r="N4" s="261"/>
      <c r="Q4" s="81"/>
      <c r="R4" s="81"/>
      <c r="S4" s="81"/>
      <c r="T4" s="308" t="s">
        <v>219</v>
      </c>
      <c r="U4" s="81"/>
      <c r="V4" s="81"/>
      <c r="W4" s="81"/>
      <c r="X4" s="81"/>
      <c r="Y4" s="81"/>
    </row>
    <row r="5" spans="2:25" x14ac:dyDescent="0.2">
      <c r="B5" s="260"/>
      <c r="C5" s="50"/>
      <c r="D5" s="4"/>
      <c r="E5" s="51"/>
      <c r="F5" s="4"/>
      <c r="G5" s="4"/>
      <c r="H5" s="4"/>
      <c r="I5" s="4"/>
      <c r="J5" s="34"/>
      <c r="K5" s="26"/>
      <c r="L5" s="4"/>
      <c r="M5" s="4"/>
      <c r="N5" s="261"/>
      <c r="Q5" s="81"/>
      <c r="R5" s="84"/>
      <c r="S5" s="81"/>
      <c r="T5" s="81"/>
      <c r="U5" s="81"/>
      <c r="V5" s="81"/>
      <c r="W5" s="81"/>
      <c r="X5" s="81"/>
      <c r="Y5" s="81"/>
    </row>
    <row r="6" spans="2:25" x14ac:dyDescent="0.2">
      <c r="B6" s="260"/>
      <c r="C6" s="4"/>
      <c r="D6" s="4"/>
      <c r="E6" s="4"/>
      <c r="F6" s="4"/>
      <c r="G6" s="28"/>
      <c r="H6" s="4"/>
      <c r="I6" s="4"/>
      <c r="J6" s="15"/>
      <c r="K6" s="26"/>
      <c r="L6" s="26"/>
      <c r="M6" s="4"/>
      <c r="N6" s="261"/>
      <c r="Q6" s="81"/>
      <c r="R6" s="81" t="s">
        <v>130</v>
      </c>
      <c r="S6" s="81"/>
      <c r="T6" s="81"/>
      <c r="U6" s="81"/>
      <c r="V6" s="81"/>
      <c r="W6" s="81"/>
      <c r="Y6" s="86"/>
    </row>
    <row r="7" spans="2:25" x14ac:dyDescent="0.2">
      <c r="B7" s="260"/>
      <c r="C7" s="270" t="s">
        <v>224</v>
      </c>
      <c r="D7" s="4"/>
      <c r="E7" s="4"/>
      <c r="F7" s="4"/>
      <c r="G7" s="4"/>
      <c r="H7" s="53"/>
      <c r="I7" s="53"/>
      <c r="J7" s="4"/>
      <c r="K7" s="4"/>
      <c r="L7" s="26"/>
      <c r="M7" s="4"/>
      <c r="N7" s="261"/>
      <c r="Q7" s="81"/>
      <c r="R7" s="309" t="s">
        <v>185</v>
      </c>
      <c r="S7" s="81"/>
      <c r="T7" s="81"/>
      <c r="U7" s="81"/>
      <c r="V7" s="81"/>
      <c r="W7" s="81"/>
      <c r="Y7" s="81"/>
    </row>
    <row r="8" spans="2:25" x14ac:dyDescent="0.2">
      <c r="B8" s="260"/>
      <c r="C8" s="52"/>
      <c r="D8" s="4"/>
      <c r="E8" s="4"/>
      <c r="F8" s="4"/>
      <c r="G8" s="4"/>
      <c r="H8" s="53"/>
      <c r="I8" s="53"/>
      <c r="J8" s="4"/>
      <c r="K8" s="4"/>
      <c r="L8" s="26"/>
      <c r="M8" s="4"/>
      <c r="N8" s="261"/>
      <c r="Q8" s="310" t="s">
        <v>131</v>
      </c>
      <c r="Y8" s="81"/>
    </row>
    <row r="9" spans="2:25" x14ac:dyDescent="0.2">
      <c r="B9" s="260"/>
      <c r="C9" s="18">
        <v>1</v>
      </c>
      <c r="D9" s="54" t="s">
        <v>220</v>
      </c>
      <c r="E9" s="4"/>
      <c r="F9" s="4"/>
      <c r="G9" s="4"/>
      <c r="H9" s="4"/>
      <c r="I9" s="4"/>
      <c r="J9" s="4"/>
      <c r="K9" s="4"/>
      <c r="L9" s="305"/>
      <c r="M9" s="4"/>
      <c r="N9" s="261"/>
      <c r="Q9" s="81"/>
      <c r="R9" s="81"/>
      <c r="S9" s="81"/>
      <c r="T9" s="81"/>
      <c r="U9" s="81"/>
      <c r="V9" s="311"/>
      <c r="W9" s="81"/>
      <c r="X9" s="95" t="s">
        <v>0</v>
      </c>
      <c r="Y9" s="81"/>
    </row>
    <row r="10" spans="2:25" x14ac:dyDescent="0.2">
      <c r="B10" s="260"/>
      <c r="C10" s="4"/>
      <c r="D10" s="4"/>
      <c r="E10" s="4"/>
      <c r="F10" s="4"/>
      <c r="G10" s="4"/>
      <c r="H10" s="4"/>
      <c r="I10" s="4"/>
      <c r="J10" s="4"/>
      <c r="K10" s="4"/>
      <c r="L10" s="305"/>
      <c r="M10" s="4"/>
      <c r="N10" s="261"/>
      <c r="Q10" s="94"/>
      <c r="R10" s="312" t="s">
        <v>132</v>
      </c>
      <c r="S10" s="81"/>
      <c r="T10" s="81"/>
      <c r="U10" s="81"/>
      <c r="V10" s="312"/>
      <c r="W10" s="81"/>
      <c r="X10" s="313" t="s">
        <v>2</v>
      </c>
      <c r="Y10" s="81"/>
    </row>
    <row r="11" spans="2:25" x14ac:dyDescent="0.2">
      <c r="B11" s="260"/>
      <c r="C11" s="4"/>
      <c r="D11" s="24"/>
      <c r="E11" s="31" t="s">
        <v>221</v>
      </c>
      <c r="F11" s="4"/>
      <c r="G11" s="4"/>
      <c r="H11" s="4"/>
      <c r="I11" s="4"/>
      <c r="J11" s="4"/>
      <c r="K11" s="4"/>
      <c r="L11" s="305"/>
      <c r="M11" s="4"/>
      <c r="N11" s="261"/>
      <c r="Q11" s="94"/>
      <c r="R11" s="81"/>
      <c r="S11" s="81"/>
      <c r="T11" s="81"/>
      <c r="U11" s="81"/>
      <c r="V11" s="83"/>
      <c r="W11" s="81"/>
      <c r="X11" s="95"/>
      <c r="Y11" s="81"/>
    </row>
    <row r="12" spans="2:25" x14ac:dyDescent="0.2">
      <c r="B12" s="260"/>
      <c r="C12" s="4"/>
      <c r="D12" s="4"/>
      <c r="E12" s="4"/>
      <c r="F12" s="4"/>
      <c r="G12" s="4"/>
      <c r="H12" s="4"/>
      <c r="I12" s="4"/>
      <c r="J12" s="4"/>
      <c r="K12" s="4"/>
      <c r="L12" s="305"/>
      <c r="M12" s="4"/>
      <c r="N12" s="261"/>
      <c r="Q12" s="92">
        <v>1</v>
      </c>
      <c r="R12" s="81" t="s">
        <v>230</v>
      </c>
      <c r="S12" s="81"/>
      <c r="T12" s="81"/>
      <c r="U12" s="81"/>
      <c r="V12" s="81"/>
      <c r="W12" s="81"/>
      <c r="X12" s="95">
        <v>25</v>
      </c>
      <c r="Y12" s="81"/>
    </row>
    <row r="13" spans="2:25" x14ac:dyDescent="0.2">
      <c r="B13" s="260"/>
      <c r="C13" s="4"/>
      <c r="D13" s="40">
        <f>'Traffic &amp; Accidents'!E9</f>
        <v>0</v>
      </c>
      <c r="E13" s="4" t="s">
        <v>133</v>
      </c>
      <c r="F13" s="4"/>
      <c r="G13" s="4"/>
      <c r="H13" s="4"/>
      <c r="I13" s="4"/>
      <c r="J13" s="55"/>
      <c r="K13" s="56"/>
      <c r="L13" s="41"/>
      <c r="M13" s="41"/>
      <c r="N13" s="262"/>
      <c r="Q13" s="92"/>
      <c r="R13" s="81"/>
      <c r="S13" s="81"/>
      <c r="T13" s="81"/>
      <c r="U13" s="81"/>
      <c r="V13" s="83"/>
      <c r="W13" s="81"/>
      <c r="X13" s="95"/>
      <c r="Y13" s="81"/>
    </row>
    <row r="14" spans="2:25" x14ac:dyDescent="0.2">
      <c r="B14" s="260"/>
      <c r="C14" s="4"/>
      <c r="D14" s="4"/>
      <c r="E14" s="4"/>
      <c r="F14" s="4"/>
      <c r="G14" s="4"/>
      <c r="H14" s="4"/>
      <c r="I14" s="4"/>
      <c r="J14" s="55"/>
      <c r="K14" s="56"/>
      <c r="L14" s="41"/>
      <c r="M14" s="41"/>
      <c r="N14" s="262"/>
      <c r="Q14" s="92"/>
      <c r="R14" s="81"/>
      <c r="S14" s="81"/>
      <c r="T14" s="81"/>
      <c r="U14" s="81"/>
      <c r="V14" s="83"/>
      <c r="W14" s="81"/>
      <c r="X14" s="95"/>
      <c r="Y14" s="81"/>
    </row>
    <row r="15" spans="2:25" x14ac:dyDescent="0.2">
      <c r="B15" s="260"/>
      <c r="C15" s="4"/>
      <c r="D15" s="42">
        <f>IF(D13=0,0,D11/D13)</f>
        <v>0</v>
      </c>
      <c r="E15" s="4" t="s">
        <v>134</v>
      </c>
      <c r="F15" s="43">
        <f>IF('Traffic &amp; Accidents'!E9=0,0,D15*25)</f>
        <v>0</v>
      </c>
      <c r="G15" s="4" t="s">
        <v>135</v>
      </c>
      <c r="H15" s="4"/>
      <c r="I15" s="4"/>
      <c r="J15" s="55"/>
      <c r="K15" s="56"/>
      <c r="L15" s="41"/>
      <c r="M15" s="41"/>
      <c r="N15" s="262"/>
      <c r="Q15" s="92"/>
      <c r="R15" s="81"/>
      <c r="S15" s="81"/>
      <c r="T15" s="81"/>
      <c r="U15" s="81"/>
      <c r="V15" s="83"/>
      <c r="W15" s="81"/>
      <c r="X15" s="95"/>
      <c r="Y15" s="81"/>
    </row>
    <row r="16" spans="2:25" x14ac:dyDescent="0.2">
      <c r="B16" s="260"/>
      <c r="C16" s="4"/>
      <c r="D16" s="45"/>
      <c r="E16" s="4"/>
      <c r="F16" s="4"/>
      <c r="G16" s="4"/>
      <c r="H16" s="4"/>
      <c r="I16" s="4"/>
      <c r="J16" s="55"/>
      <c r="K16" s="56"/>
      <c r="L16" s="41"/>
      <c r="M16" s="41"/>
      <c r="N16" s="262"/>
      <c r="Q16" s="92"/>
      <c r="R16" s="81" t="s">
        <v>136</v>
      </c>
      <c r="S16" s="81"/>
      <c r="T16" s="81"/>
      <c r="U16" s="81"/>
      <c r="V16" s="83"/>
      <c r="W16" s="81"/>
      <c r="X16" s="95"/>
      <c r="Y16" s="81"/>
    </row>
    <row r="17" spans="2:25" x14ac:dyDescent="0.2">
      <c r="B17" s="260"/>
      <c r="C17" s="4"/>
      <c r="D17" s="4"/>
      <c r="E17" s="4"/>
      <c r="F17" s="4"/>
      <c r="G17" s="4"/>
      <c r="H17" s="4"/>
      <c r="I17" s="4"/>
      <c r="J17" s="55"/>
      <c r="K17" s="56"/>
      <c r="L17" s="41"/>
      <c r="M17" s="41"/>
      <c r="N17" s="262"/>
      <c r="Q17" s="92"/>
      <c r="R17" s="81"/>
      <c r="S17" s="81"/>
      <c r="T17" s="81"/>
      <c r="U17" s="81"/>
      <c r="V17" s="83"/>
      <c r="W17" s="81"/>
      <c r="X17" s="95"/>
      <c r="Y17" s="81"/>
    </row>
    <row r="18" spans="2:25" x14ac:dyDescent="0.2">
      <c r="B18" s="265"/>
      <c r="C18" s="18">
        <v>2</v>
      </c>
      <c r="D18" s="54" t="s">
        <v>171</v>
      </c>
      <c r="E18" s="4"/>
      <c r="F18" s="4"/>
      <c r="G18" s="4"/>
      <c r="H18" s="4"/>
      <c r="I18" s="4"/>
      <c r="J18" s="55"/>
      <c r="K18" s="56"/>
      <c r="L18" s="41"/>
      <c r="M18" s="41"/>
      <c r="N18" s="262"/>
      <c r="Q18" s="92"/>
      <c r="R18" s="81"/>
      <c r="S18" s="81"/>
      <c r="T18" s="81"/>
      <c r="U18" s="81"/>
      <c r="V18" s="83"/>
      <c r="W18" s="81"/>
      <c r="X18" s="95"/>
      <c r="Y18" s="81"/>
    </row>
    <row r="19" spans="2:25" x14ac:dyDescent="0.2">
      <c r="B19" s="26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261"/>
      <c r="Q19" s="92">
        <v>2</v>
      </c>
      <c r="R19" s="314" t="s">
        <v>158</v>
      </c>
      <c r="S19" s="81"/>
      <c r="T19" s="81"/>
      <c r="U19" s="81"/>
      <c r="V19" s="81"/>
      <c r="W19" s="81"/>
      <c r="X19" s="95">
        <v>10</v>
      </c>
      <c r="Y19" s="81"/>
    </row>
    <row r="20" spans="2:25" x14ac:dyDescent="0.2">
      <c r="B20" s="265"/>
      <c r="C20" s="4"/>
      <c r="D20" s="23"/>
      <c r="E20" s="4" t="s">
        <v>222</v>
      </c>
      <c r="F20" s="4"/>
      <c r="G20" s="4"/>
      <c r="H20" s="4"/>
      <c r="I20" s="4"/>
      <c r="J20" s="4"/>
      <c r="K20" s="4"/>
      <c r="L20" s="4"/>
      <c r="M20" s="4"/>
      <c r="N20" s="261"/>
      <c r="Q20" s="92"/>
      <c r="R20" s="81"/>
      <c r="S20" s="314" t="s">
        <v>173</v>
      </c>
      <c r="T20" s="81"/>
      <c r="U20" s="81"/>
      <c r="V20" s="83"/>
      <c r="W20" s="81"/>
      <c r="X20" s="95"/>
      <c r="Y20" s="81"/>
    </row>
    <row r="21" spans="2:25" x14ac:dyDescent="0.2">
      <c r="B21" s="265"/>
      <c r="C21" s="4"/>
      <c r="D21" s="305"/>
      <c r="E21" s="4" t="s">
        <v>218</v>
      </c>
      <c r="F21" s="4"/>
      <c r="G21" s="4"/>
      <c r="H21" s="4"/>
      <c r="I21" s="4"/>
      <c r="J21" s="4"/>
      <c r="K21" s="4"/>
      <c r="L21" s="4"/>
      <c r="M21" s="4"/>
      <c r="N21" s="261"/>
      <c r="Q21" s="92"/>
      <c r="R21" s="81"/>
      <c r="S21" s="314" t="s">
        <v>159</v>
      </c>
      <c r="T21" s="81"/>
      <c r="U21" s="81"/>
      <c r="V21" s="83"/>
      <c r="W21" s="81"/>
      <c r="X21" s="95"/>
      <c r="Y21" s="81"/>
    </row>
    <row r="22" spans="2:25" x14ac:dyDescent="0.2">
      <c r="B22" s="265"/>
      <c r="C22" s="4"/>
      <c r="D22" s="305"/>
      <c r="E22" s="4"/>
      <c r="F22" s="4"/>
      <c r="G22" s="4"/>
      <c r="H22" s="4"/>
      <c r="I22" s="4"/>
      <c r="J22" s="4"/>
      <c r="K22" s="4"/>
      <c r="L22" s="4"/>
      <c r="M22" s="4"/>
      <c r="N22" s="261"/>
      <c r="Q22" s="92"/>
      <c r="R22" s="81"/>
      <c r="S22" s="81" t="s">
        <v>172</v>
      </c>
      <c r="T22" s="81"/>
      <c r="U22" s="81"/>
      <c r="V22" s="83"/>
      <c r="W22" s="81"/>
      <c r="X22" s="95"/>
      <c r="Y22" s="94"/>
    </row>
    <row r="23" spans="2:25" x14ac:dyDescent="0.2">
      <c r="B23" s="265"/>
      <c r="C23" s="18">
        <v>3</v>
      </c>
      <c r="D23" s="54" t="s">
        <v>177</v>
      </c>
      <c r="E23" s="4"/>
      <c r="F23" s="4"/>
      <c r="G23" s="4"/>
      <c r="H23" s="4"/>
      <c r="I23" s="4"/>
      <c r="J23" s="4"/>
      <c r="K23" s="4"/>
      <c r="L23" s="4"/>
      <c r="M23" s="4"/>
      <c r="N23" s="261"/>
      <c r="Q23" s="81"/>
      <c r="R23" s="81"/>
      <c r="S23" s="81"/>
      <c r="T23" s="81"/>
      <c r="U23" s="81"/>
      <c r="V23" s="81"/>
      <c r="W23" s="81"/>
      <c r="X23" s="81"/>
      <c r="Y23" s="81"/>
    </row>
    <row r="24" spans="2:25" x14ac:dyDescent="0.2">
      <c r="B24" s="265"/>
      <c r="C24" s="18"/>
      <c r="D24" s="54"/>
      <c r="E24" s="4"/>
      <c r="F24" s="4"/>
      <c r="G24" s="4"/>
      <c r="H24" s="4"/>
      <c r="I24" s="4"/>
      <c r="J24" s="4"/>
      <c r="K24" s="4"/>
      <c r="L24" s="4"/>
      <c r="M24" s="4"/>
      <c r="N24" s="261"/>
      <c r="Q24" s="92">
        <v>3</v>
      </c>
      <c r="R24" s="81" t="s">
        <v>174</v>
      </c>
      <c r="S24" s="81"/>
      <c r="T24" s="81"/>
      <c r="U24" s="81"/>
      <c r="V24" s="83"/>
      <c r="W24" s="81"/>
      <c r="X24" s="95">
        <v>15</v>
      </c>
      <c r="Y24" s="81"/>
    </row>
    <row r="25" spans="2:25" x14ac:dyDescent="0.2">
      <c r="B25" s="265"/>
      <c r="C25" s="18"/>
      <c r="D25" s="54"/>
      <c r="E25" s="23"/>
      <c r="F25" s="31" t="s">
        <v>208</v>
      </c>
      <c r="G25" s="44"/>
      <c r="H25" s="4"/>
      <c r="I25" s="4"/>
      <c r="J25" s="4"/>
      <c r="K25" s="4"/>
      <c r="L25" s="4"/>
      <c r="M25" s="4"/>
      <c r="N25" s="261"/>
      <c r="Q25" s="92"/>
      <c r="R25" s="94" t="s">
        <v>138</v>
      </c>
      <c r="S25" s="81" t="s">
        <v>139</v>
      </c>
      <c r="T25" s="81"/>
      <c r="U25" s="81"/>
      <c r="V25" s="81"/>
      <c r="W25" s="81"/>
      <c r="X25" s="81"/>
      <c r="Y25" s="81"/>
    </row>
    <row r="26" spans="2:25" x14ac:dyDescent="0.2">
      <c r="B26" s="265"/>
      <c r="C26" s="18"/>
      <c r="D26" s="54"/>
      <c r="E26" s="40" t="e">
        <f>E25/'Traffic &amp; Accidents'!E9</f>
        <v>#DIV/0!</v>
      </c>
      <c r="F26" s="31" t="s">
        <v>186</v>
      </c>
      <c r="G26" s="44"/>
      <c r="H26" s="57" t="s">
        <v>137</v>
      </c>
      <c r="I26" s="57"/>
      <c r="J26" s="4"/>
      <c r="K26" s="4" t="s">
        <v>235</v>
      </c>
      <c r="L26" s="4"/>
      <c r="M26" s="4"/>
      <c r="N26" s="261"/>
      <c r="Q26" s="92"/>
      <c r="R26" s="81"/>
      <c r="S26" s="315" t="s">
        <v>140</v>
      </c>
      <c r="T26" s="81"/>
      <c r="U26" s="81"/>
      <c r="V26" s="81"/>
      <c r="W26" s="81"/>
      <c r="X26" s="81"/>
      <c r="Y26" s="81"/>
    </row>
    <row r="27" spans="2:25" x14ac:dyDescent="0.2">
      <c r="B27" s="265"/>
      <c r="C27" s="18"/>
      <c r="D27" s="54"/>
      <c r="E27" s="4"/>
      <c r="F27" s="4"/>
      <c r="G27" s="44"/>
      <c r="H27" s="4"/>
      <c r="I27" s="4"/>
      <c r="J27" s="4"/>
      <c r="K27" s="4"/>
      <c r="L27" s="4"/>
      <c r="M27" s="4"/>
      <c r="N27" s="261"/>
      <c r="Q27" s="92"/>
      <c r="R27" s="81"/>
      <c r="S27" s="315" t="s">
        <v>143</v>
      </c>
      <c r="T27" s="81"/>
      <c r="U27" s="81"/>
      <c r="V27" s="81"/>
      <c r="W27" s="81"/>
      <c r="X27" s="95"/>
      <c r="Y27" s="81"/>
    </row>
    <row r="28" spans="2:25" x14ac:dyDescent="0.2">
      <c r="B28" s="265"/>
      <c r="C28" s="4"/>
      <c r="D28" s="4"/>
      <c r="E28" s="18"/>
      <c r="F28" s="4"/>
      <c r="G28" s="46" t="s">
        <v>141</v>
      </c>
      <c r="H28" s="4"/>
      <c r="I28" s="4"/>
      <c r="J28" s="4" t="s">
        <v>142</v>
      </c>
      <c r="K28" s="4"/>
      <c r="L28" s="4"/>
      <c r="M28" s="4"/>
      <c r="N28" s="261"/>
      <c r="Q28" s="92"/>
      <c r="R28" s="81"/>
      <c r="S28" s="316" t="s">
        <v>160</v>
      </c>
      <c r="T28" s="81"/>
      <c r="U28" s="81"/>
      <c r="V28" s="81"/>
      <c r="W28" s="83"/>
      <c r="X28" s="93"/>
      <c r="Y28" s="86"/>
    </row>
    <row r="29" spans="2:25" x14ac:dyDescent="0.2">
      <c r="B29" s="265"/>
      <c r="C29" s="4"/>
      <c r="D29" s="393"/>
      <c r="E29" s="7" t="e">
        <f>IF(AND(E26&gt;1,E26&lt;5),"X","")</f>
        <v>#DIV/0!</v>
      </c>
      <c r="F29" s="22" t="s">
        <v>144</v>
      </c>
      <c r="G29" s="339">
        <f>IF('Traffic &amp; Accidents'!E9=0,0,IF(E29&lt;&gt;"",5,""))</f>
        <v>0</v>
      </c>
      <c r="H29" s="58">
        <f>IF(G29="","",1)</f>
        <v>1</v>
      </c>
      <c r="I29" s="58"/>
      <c r="J29" s="4" t="s">
        <v>145</v>
      </c>
      <c r="K29" s="4"/>
      <c r="L29" s="4"/>
      <c r="M29" s="4"/>
      <c r="N29" s="261"/>
      <c r="Q29" s="92"/>
      <c r="R29" s="81"/>
      <c r="S29" s="314" t="s">
        <v>161</v>
      </c>
      <c r="T29" s="81"/>
      <c r="U29" s="81"/>
      <c r="V29" s="81"/>
      <c r="W29" s="83"/>
      <c r="X29" s="84"/>
      <c r="Y29" s="86"/>
    </row>
    <row r="30" spans="2:25" x14ac:dyDescent="0.2">
      <c r="B30" s="265"/>
      <c r="C30" s="4"/>
      <c r="D30" s="393"/>
      <c r="E30" s="7" t="e">
        <f>IF(AND(E26&gt;4,E26&lt;=10),"X","")</f>
        <v>#DIV/0!</v>
      </c>
      <c r="F30" s="22" t="s">
        <v>146</v>
      </c>
      <c r="G30" s="339">
        <f>IF('Traffic &amp; Accidents'!E9=0,0,IF(E30&lt;&gt;"",10,""))</f>
        <v>0</v>
      </c>
      <c r="H30" s="58">
        <f>IF(G30="","",1)</f>
        <v>1</v>
      </c>
      <c r="I30" s="58"/>
      <c r="J30" s="23"/>
      <c r="K30" s="4"/>
      <c r="L30" s="4" t="s">
        <v>4</v>
      </c>
      <c r="M30" s="4"/>
      <c r="N30" s="261"/>
      <c r="Q30" s="92"/>
      <c r="R30" s="94" t="s">
        <v>148</v>
      </c>
      <c r="S30" s="314" t="s">
        <v>231</v>
      </c>
      <c r="T30" s="81"/>
      <c r="U30" s="81"/>
      <c r="V30" s="81"/>
      <c r="W30" s="83"/>
      <c r="X30" s="93">
        <v>5</v>
      </c>
      <c r="Y30" s="86"/>
    </row>
    <row r="31" spans="2:25" x14ac:dyDescent="0.2">
      <c r="B31" s="265"/>
      <c r="C31" s="4"/>
      <c r="D31" s="393"/>
      <c r="E31" s="7" t="e">
        <f>IF(E26&gt;10,"X","")</f>
        <v>#DIV/0!</v>
      </c>
      <c r="F31" s="22" t="s">
        <v>147</v>
      </c>
      <c r="G31" s="340">
        <f>IF('Traffic &amp; Accidents'!E9=0,0,IF(E31&lt;&gt;"",15,""))</f>
        <v>0</v>
      </c>
      <c r="H31" s="58">
        <f>IF(G31="","",1)</f>
        <v>1</v>
      </c>
      <c r="I31" s="58"/>
      <c r="J31" s="47"/>
      <c r="K31" s="15"/>
      <c r="L31" s="15" t="s">
        <v>139</v>
      </c>
      <c r="M31" s="4"/>
      <c r="N31" s="261"/>
      <c r="Q31" s="92"/>
      <c r="R31" s="81"/>
      <c r="S31" s="81"/>
      <c r="T31" s="81"/>
      <c r="U31" s="81"/>
      <c r="V31" s="81"/>
      <c r="W31" s="83"/>
      <c r="X31" s="84"/>
      <c r="Y31" s="86"/>
    </row>
    <row r="32" spans="2:25" x14ac:dyDescent="0.2">
      <c r="B32" s="265"/>
      <c r="C32" s="4"/>
      <c r="D32" s="4"/>
      <c r="E32" s="305"/>
      <c r="F32" s="4"/>
      <c r="G32" s="319">
        <f>IF(OR('Traffic &amp; Accidents'!E9="",H32&gt;1),0,SUM(G29:G31))</f>
        <v>0</v>
      </c>
      <c r="H32" s="58">
        <f>SUM(H29:H31)</f>
        <v>3</v>
      </c>
      <c r="I32" s="58"/>
      <c r="J32" s="305">
        <f>IF(J30&gt;3,3,J30)</f>
        <v>0</v>
      </c>
      <c r="K32" s="4"/>
      <c r="L32" s="10">
        <f>IF(SUM(G32,J32)&gt;15,15,SUM(G32,J32))</f>
        <v>0</v>
      </c>
      <c r="M32" s="26" t="s">
        <v>223</v>
      </c>
      <c r="N32" s="263"/>
      <c r="Q32" s="92"/>
      <c r="R32" s="81"/>
      <c r="S32" s="81"/>
      <c r="T32" s="81"/>
      <c r="U32" s="81"/>
      <c r="V32" s="81"/>
      <c r="W32" s="81"/>
      <c r="X32" s="93"/>
      <c r="Y32" s="81"/>
    </row>
    <row r="33" spans="2:25" x14ac:dyDescent="0.2">
      <c r="B33" s="265"/>
      <c r="C33" s="4"/>
      <c r="D33" s="4"/>
      <c r="E33" s="4"/>
      <c r="F33" s="4"/>
      <c r="G33" s="4"/>
      <c r="H33" s="305"/>
      <c r="I33" s="305"/>
      <c r="J33" s="15"/>
      <c r="K33" s="4"/>
      <c r="L33" s="305"/>
      <c r="M33" s="15"/>
      <c r="N33" s="264"/>
      <c r="Q33" s="92">
        <v>4</v>
      </c>
      <c r="R33" s="81" t="s">
        <v>232</v>
      </c>
      <c r="S33" s="317"/>
      <c r="T33" s="83"/>
      <c r="U33" s="81"/>
      <c r="V33" s="83"/>
      <c r="W33" s="81"/>
      <c r="X33" s="95">
        <v>5</v>
      </c>
      <c r="Y33" s="81"/>
    </row>
    <row r="34" spans="2:25" x14ac:dyDescent="0.2">
      <c r="B34" s="265"/>
      <c r="C34" s="18">
        <v>4</v>
      </c>
      <c r="D34" s="54" t="s">
        <v>176</v>
      </c>
      <c r="E34" s="4"/>
      <c r="F34" s="4"/>
      <c r="G34" s="4"/>
      <c r="H34" s="305"/>
      <c r="I34" s="305"/>
      <c r="J34" s="15"/>
      <c r="K34" s="4"/>
      <c r="L34" s="305"/>
      <c r="M34" s="15"/>
      <c r="N34" s="264"/>
      <c r="Q34" s="94"/>
      <c r="R34" s="81"/>
      <c r="S34" s="314"/>
      <c r="T34" s="83"/>
      <c r="U34" s="81"/>
      <c r="V34" s="83"/>
      <c r="W34" s="81"/>
      <c r="X34" s="95"/>
      <c r="Y34" s="81"/>
    </row>
    <row r="35" spans="2:25" x14ac:dyDescent="0.2">
      <c r="B35" s="265"/>
      <c r="C35" s="18"/>
      <c r="D35" s="54"/>
      <c r="E35" s="4"/>
      <c r="F35" s="4"/>
      <c r="G35" s="4"/>
      <c r="H35" s="305"/>
      <c r="I35" s="305"/>
      <c r="J35" s="15"/>
      <c r="K35" s="4"/>
      <c r="L35" s="305"/>
      <c r="M35" s="15"/>
      <c r="N35" s="264"/>
      <c r="Q35" s="94"/>
      <c r="R35" s="81"/>
      <c r="S35" s="314"/>
      <c r="T35" s="83"/>
      <c r="U35" s="81"/>
      <c r="V35" s="83"/>
      <c r="W35" s="81"/>
      <c r="X35" s="318"/>
      <c r="Y35" s="81"/>
    </row>
    <row r="36" spans="2:25" x14ac:dyDescent="0.2">
      <c r="B36" s="265"/>
      <c r="C36" s="4"/>
      <c r="D36" s="23"/>
      <c r="E36" s="31" t="s">
        <v>178</v>
      </c>
      <c r="F36" s="4"/>
      <c r="G36" s="4"/>
      <c r="H36" s="305"/>
      <c r="I36" s="305"/>
      <c r="J36" s="15"/>
      <c r="K36" s="4"/>
      <c r="L36" s="305"/>
      <c r="M36" s="15"/>
      <c r="N36" s="264"/>
      <c r="Q36" s="81"/>
      <c r="S36" s="81"/>
      <c r="Y36" s="81"/>
    </row>
    <row r="37" spans="2:25" x14ac:dyDescent="0.2">
      <c r="B37" s="265"/>
      <c r="C37" s="4"/>
      <c r="D37" s="305"/>
      <c r="E37" s="4"/>
      <c r="F37" s="4"/>
      <c r="G37" s="4"/>
      <c r="H37" s="305"/>
      <c r="I37" s="305"/>
      <c r="J37" s="15"/>
      <c r="K37" s="4"/>
      <c r="L37" s="305"/>
      <c r="M37" s="15"/>
      <c r="N37" s="264"/>
      <c r="Q37" s="81"/>
      <c r="X37" s="95">
        <f>SUM(X12,X19,X24,X33)</f>
        <v>55</v>
      </c>
      <c r="Y37" s="314" t="s">
        <v>183</v>
      </c>
    </row>
    <row r="38" spans="2:25" x14ac:dyDescent="0.2">
      <c r="B38" s="265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267"/>
    </row>
    <row r="39" spans="2:25" ht="13.5" thickBot="1" x14ac:dyDescent="0.25">
      <c r="B39" s="266"/>
      <c r="C39" s="268"/>
      <c r="D39" s="268"/>
      <c r="E39" s="268"/>
      <c r="F39" s="268"/>
      <c r="G39" s="268"/>
      <c r="H39" s="268"/>
      <c r="I39" s="268"/>
      <c r="J39" s="268"/>
      <c r="K39" s="268"/>
      <c r="L39" s="268"/>
      <c r="M39" s="268"/>
      <c r="N39" s="269"/>
    </row>
    <row r="44" spans="2:25" x14ac:dyDescent="0.2">
      <c r="B44" s="81"/>
      <c r="L44" s="81"/>
      <c r="M44" s="94"/>
    </row>
    <row r="45" spans="2:25" x14ac:dyDescent="0.2">
      <c r="B45" s="81"/>
      <c r="L45" s="81"/>
      <c r="M45" s="94"/>
    </row>
    <row r="46" spans="2:25" x14ac:dyDescent="0.2">
      <c r="B46" s="81"/>
      <c r="L46" s="81"/>
      <c r="M46" s="81"/>
    </row>
    <row r="47" spans="2:25" x14ac:dyDescent="0.2">
      <c r="B47" s="81"/>
      <c r="L47" s="81"/>
      <c r="M47" s="81"/>
    </row>
    <row r="48" spans="2:25" x14ac:dyDescent="0.2">
      <c r="B48" s="81"/>
      <c r="L48" s="81"/>
      <c r="M48" s="81"/>
    </row>
    <row r="49" spans="2:13" x14ac:dyDescent="0.2">
      <c r="B49" s="81"/>
      <c r="L49" s="81"/>
      <c r="M49" s="81"/>
    </row>
    <row r="50" spans="2:13" x14ac:dyDescent="0.2">
      <c r="B50" s="81"/>
      <c r="L50" s="81"/>
      <c r="M50" s="81"/>
    </row>
    <row r="51" spans="2:13" x14ac:dyDescent="0.2">
      <c r="B51" s="81"/>
      <c r="L51" s="81"/>
      <c r="M51" s="81"/>
    </row>
    <row r="52" spans="2:13" x14ac:dyDescent="0.2">
      <c r="B52" s="81"/>
      <c r="L52" s="81"/>
      <c r="M52" s="81"/>
    </row>
    <row r="53" spans="2:13" x14ac:dyDescent="0.2">
      <c r="B53" s="81"/>
      <c r="L53" s="81"/>
      <c r="M53" s="81"/>
    </row>
    <row r="54" spans="2:13" x14ac:dyDescent="0.2">
      <c r="B54" s="81"/>
      <c r="L54" s="84"/>
      <c r="M54" s="86"/>
    </row>
    <row r="55" spans="2:13" x14ac:dyDescent="0.2">
      <c r="B55" s="81"/>
      <c r="L55" s="84"/>
      <c r="M55" s="99"/>
    </row>
    <row r="56" spans="2:13" x14ac:dyDescent="0.2">
      <c r="B56" s="81"/>
      <c r="L56" s="86"/>
      <c r="M56" s="100"/>
    </row>
    <row r="57" spans="2:13" x14ac:dyDescent="0.2">
      <c r="B57" s="81"/>
      <c r="L57" s="86"/>
      <c r="M57" s="100"/>
    </row>
    <row r="58" spans="2:13" x14ac:dyDescent="0.2">
      <c r="B58" s="81"/>
      <c r="L58" s="86"/>
      <c r="M58" s="100"/>
    </row>
    <row r="59" spans="2:13" x14ac:dyDescent="0.2">
      <c r="B59" s="81"/>
      <c r="L59" s="84"/>
      <c r="M59" s="84"/>
    </row>
    <row r="60" spans="2:13" x14ac:dyDescent="0.2">
      <c r="B60" s="81"/>
      <c r="L60" s="84"/>
      <c r="M60" s="84"/>
    </row>
    <row r="61" spans="2:13" x14ac:dyDescent="0.2">
      <c r="B61" s="81"/>
      <c r="L61" s="86"/>
      <c r="M61" s="101"/>
    </row>
    <row r="62" spans="2:13" x14ac:dyDescent="0.2">
      <c r="B62" s="81"/>
      <c r="L62" s="86"/>
      <c r="M62" s="101"/>
    </row>
    <row r="63" spans="2:13" x14ac:dyDescent="0.2">
      <c r="B63" s="81"/>
      <c r="L63" s="81"/>
      <c r="M63" s="81"/>
    </row>
    <row r="64" spans="2:13" x14ac:dyDescent="0.2">
      <c r="B64" s="81"/>
      <c r="L64" s="81"/>
      <c r="M64" s="81"/>
    </row>
    <row r="65" spans="2:13" x14ac:dyDescent="0.2">
      <c r="B65" s="81"/>
      <c r="L65" s="81"/>
      <c r="M65" s="81"/>
    </row>
    <row r="66" spans="2:13" x14ac:dyDescent="0.2">
      <c r="B66" s="81"/>
      <c r="L66" s="81"/>
      <c r="M66" s="81"/>
    </row>
    <row r="67" spans="2:13" x14ac:dyDescent="0.2">
      <c r="B67" s="81"/>
      <c r="L67" s="81"/>
      <c r="M67" s="81"/>
    </row>
    <row r="68" spans="2:13" x14ac:dyDescent="0.2">
      <c r="B68" s="81"/>
      <c r="L68" s="84"/>
      <c r="M68" s="84"/>
    </row>
    <row r="69" spans="2:13" x14ac:dyDescent="0.2">
      <c r="B69" s="81"/>
      <c r="L69" s="84"/>
      <c r="M69" s="84"/>
    </row>
    <row r="70" spans="2:13" x14ac:dyDescent="0.2">
      <c r="B70" s="81"/>
      <c r="L70" s="84"/>
      <c r="M70" s="84"/>
    </row>
    <row r="71" spans="2:13" x14ac:dyDescent="0.2">
      <c r="B71" s="81"/>
      <c r="L71" s="84"/>
      <c r="M71" s="84"/>
    </row>
    <row r="72" spans="2:13" x14ac:dyDescent="0.2">
      <c r="B72" s="81"/>
      <c r="L72" s="81"/>
      <c r="M72" s="81"/>
    </row>
    <row r="73" spans="2:13" x14ac:dyDescent="0.2">
      <c r="B73" s="81"/>
      <c r="L73" s="81"/>
      <c r="M73" s="81"/>
    </row>
    <row r="74" spans="2:13" x14ac:dyDescent="0.2">
      <c r="B74" s="81"/>
      <c r="L74" s="84"/>
      <c r="M74" s="84"/>
    </row>
    <row r="75" spans="2:13" x14ac:dyDescent="0.2">
      <c r="B75" s="81"/>
      <c r="L75" s="84"/>
      <c r="M75" s="84"/>
    </row>
    <row r="76" spans="2:13" x14ac:dyDescent="0.2">
      <c r="B76" s="81"/>
      <c r="L76" s="84"/>
      <c r="M76" s="84"/>
    </row>
    <row r="77" spans="2:13" x14ac:dyDescent="0.2">
      <c r="B77" s="81"/>
      <c r="L77" s="81"/>
      <c r="M77" s="81"/>
    </row>
    <row r="78" spans="2:13" x14ac:dyDescent="0.2">
      <c r="B78" s="81"/>
      <c r="C78" s="94"/>
      <c r="D78" s="81"/>
      <c r="E78" s="81"/>
      <c r="F78" s="81"/>
      <c r="G78" s="81"/>
      <c r="H78" s="83"/>
      <c r="I78" s="81"/>
      <c r="J78" s="93"/>
      <c r="K78" s="81"/>
      <c r="L78" s="81"/>
      <c r="M78" s="81"/>
    </row>
    <row r="79" spans="2:13" x14ac:dyDescent="0.2">
      <c r="B79" s="81"/>
      <c r="C79" s="310"/>
      <c r="D79" s="81"/>
      <c r="E79" s="317"/>
      <c r="F79" s="83"/>
      <c r="G79" s="81"/>
      <c r="H79" s="83"/>
      <c r="I79" s="81"/>
      <c r="J79" s="95"/>
      <c r="K79" s="81"/>
      <c r="L79" s="83"/>
      <c r="M79" s="81"/>
    </row>
    <row r="80" spans="2:13" x14ac:dyDescent="0.2">
      <c r="B80" s="81"/>
      <c r="C80" s="94"/>
      <c r="D80" s="81"/>
      <c r="E80" s="317"/>
      <c r="F80" s="83"/>
      <c r="G80" s="81"/>
      <c r="H80" s="83"/>
      <c r="I80" s="81"/>
      <c r="J80" s="95"/>
      <c r="K80" s="81"/>
      <c r="L80" s="81"/>
      <c r="M80" s="81"/>
    </row>
  </sheetData>
  <sheetProtection password="EC65" sheet="1" objects="1" scenarios="1" selectLockedCells="1"/>
  <mergeCells count="1">
    <mergeCell ref="D29:D31"/>
  </mergeCells>
  <conditionalFormatting sqref="E29">
    <cfRule type="expression" dxfId="9" priority="1" stopIfTrue="1">
      <formula>ISERROR(E26)</formula>
    </cfRule>
  </conditionalFormatting>
  <conditionalFormatting sqref="E30">
    <cfRule type="expression" dxfId="8" priority="2" stopIfTrue="1">
      <formula>ISERROR(E26)</formula>
    </cfRule>
  </conditionalFormatting>
  <conditionalFormatting sqref="E31">
    <cfRule type="expression" dxfId="7" priority="3" stopIfTrue="1">
      <formula>ISERROR(E26)</formula>
    </cfRule>
  </conditionalFormatting>
  <conditionalFormatting sqref="G29">
    <cfRule type="expression" dxfId="6" priority="4" stopIfTrue="1">
      <formula>ISERROR(E26)</formula>
    </cfRule>
  </conditionalFormatting>
  <conditionalFormatting sqref="G30">
    <cfRule type="expression" dxfId="5" priority="5" stopIfTrue="1">
      <formula>ISERROR(E26)</formula>
    </cfRule>
  </conditionalFormatting>
  <conditionalFormatting sqref="G31">
    <cfRule type="expression" dxfId="4" priority="6" stopIfTrue="1">
      <formula>ISERROR(E26)</formula>
    </cfRule>
  </conditionalFormatting>
  <conditionalFormatting sqref="G32">
    <cfRule type="expression" dxfId="3" priority="7" stopIfTrue="1">
      <formula>ISERROR(E26)</formula>
    </cfRule>
  </conditionalFormatting>
  <conditionalFormatting sqref="L32">
    <cfRule type="expression" dxfId="2" priority="8" stopIfTrue="1">
      <formula>ISERROR(E26)</formula>
    </cfRule>
  </conditionalFormatting>
  <conditionalFormatting sqref="E26">
    <cfRule type="expression" dxfId="1" priority="10" stopIfTrue="1">
      <formula>ISERROR(E26)</formula>
    </cfRule>
  </conditionalFormatting>
  <conditionalFormatting sqref="D15 F15">
    <cfRule type="expression" dxfId="0" priority="29" stopIfTrue="1">
      <formula>ISERROR($R$34)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2R Summary</vt:lpstr>
      <vt:lpstr>Traffic &amp; Accidents</vt:lpstr>
      <vt:lpstr>Structure</vt:lpstr>
      <vt:lpstr>Geometry</vt:lpstr>
      <vt:lpstr>2R Safety</vt:lpstr>
      <vt:lpstr>'2R Summary'!Print_Area</vt:lpstr>
      <vt:lpstr>Geometry!Print_Area</vt:lpstr>
      <vt:lpstr>Structure!Print_Area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2020-02-20T22:09:50Z</cp:lastPrinted>
  <dcterms:created xsi:type="dcterms:W3CDTF">2001-08-02T21:00:18Z</dcterms:created>
  <dcterms:modified xsi:type="dcterms:W3CDTF">2022-06-21T21:13:46Z</dcterms:modified>
</cp:coreProperties>
</file>