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PS/"/>
    </mc:Choice>
  </mc:AlternateContent>
  <xr:revisionPtr revIDLastSave="0" documentId="11_81110A72D50335A5850DCB8FD3C50B363DE9171C" xr6:coauthVersionLast="47" xr6:coauthVersionMax="47" xr10:uidLastSave="{00000000-0000-0000-0000-000000000000}"/>
  <bookViews>
    <workbookView xWindow="28680" yWindow="-120" windowWidth="29040" windowHeight="15840" tabRatio="625" firstSheet="1" activeTab="1" xr2:uid="{00000000-000D-0000-FFFF-FFFF00000000}"/>
  </bookViews>
  <sheets>
    <sheet name="Results" sheetId="20" state="hidden" r:id="rId1"/>
    <sheet name="SUMMARY" sheetId="7" r:id="rId2"/>
    <sheet name="TRAFFIC &amp; ACCIDENTS" sheetId="14" r:id="rId3"/>
    <sheet name="STRUCTURE" sheetId="21" r:id="rId4"/>
    <sheet name="PASSABILITY EVAL." sheetId="22" r:id="rId5"/>
    <sheet name="GEOMETRY" sheetId="16" r:id="rId6"/>
    <sheet name="ROADSIDE SAFETY" sheetId="19" r:id="rId7"/>
    <sheet name="SIGNIFICANCE" sheetId="18" r:id="rId8"/>
  </sheets>
  <definedNames>
    <definedName name="_xlnm.Print_Area" localSheetId="5">GEOMETRY!$B$2:$O$14</definedName>
    <definedName name="_xlnm.Print_Area" localSheetId="4">'PASSABILITY EVAL.'!$A$1:$G$24</definedName>
    <definedName name="_xlnm.Print_Area" localSheetId="6">'ROADSIDE SAFETY'!$B$3:$L$36</definedName>
    <definedName name="_xlnm.Print_Area" localSheetId="7">SIGNIFICANCE!$B$4:$N$47</definedName>
    <definedName name="_xlnm.Print_Area" localSheetId="3">STRUCTURE!$B$2:$N$30</definedName>
    <definedName name="_xlnm.Print_Area" localSheetId="1">SUMMARY!$B$3:$M$62</definedName>
    <definedName name="_xlnm.Print_Area" localSheetId="2">'TRAFFIC &amp; ACCIDENTS'!$B$3:$M$13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1" l="1"/>
  <c r="K28" i="7"/>
  <c r="M20" i="21"/>
  <c r="K27" i="7"/>
  <c r="M12" i="21"/>
  <c r="L12" i="21"/>
  <c r="M11" i="21"/>
  <c r="K26" i="7" s="1"/>
  <c r="K29" i="7" s="1"/>
  <c r="F11" i="20" s="1"/>
  <c r="C21" i="19"/>
  <c r="K46" i="7" s="1"/>
  <c r="C26" i="19"/>
  <c r="D11" i="14"/>
  <c r="F10" i="16"/>
  <c r="C12" i="19"/>
  <c r="M31" i="18"/>
  <c r="M34" i="18"/>
  <c r="M23" i="18"/>
  <c r="M36" i="18" s="1"/>
  <c r="K53" i="7" s="1"/>
  <c r="M27" i="18"/>
  <c r="M37" i="18"/>
  <c r="K34" i="7"/>
  <c r="K35" i="7" s="1"/>
  <c r="F13" i="20" s="1"/>
  <c r="K54" i="14"/>
  <c r="K57" i="14"/>
  <c r="I54" i="14"/>
  <c r="I57" i="14"/>
  <c r="G54" i="14"/>
  <c r="G57" i="14" s="1"/>
  <c r="N36" i="16"/>
  <c r="M36" i="16"/>
  <c r="F50" i="16"/>
  <c r="F49" i="16"/>
  <c r="E50" i="16"/>
  <c r="E49" i="16"/>
  <c r="D50" i="16" s="1"/>
  <c r="D49" i="16"/>
  <c r="C50" i="16"/>
  <c r="C49" i="16"/>
  <c r="O75" i="16"/>
  <c r="P75" i="16"/>
  <c r="Q75" i="16"/>
  <c r="R75" i="16"/>
  <c r="O76" i="16"/>
  <c r="P76" i="16"/>
  <c r="Q76" i="16"/>
  <c r="R76" i="16"/>
  <c r="O77" i="16"/>
  <c r="P77" i="16"/>
  <c r="Q77" i="16"/>
  <c r="R77" i="16"/>
  <c r="O78" i="16"/>
  <c r="P78" i="16"/>
  <c r="Q78" i="16"/>
  <c r="R78" i="16"/>
  <c r="O79" i="16"/>
  <c r="P79" i="16"/>
  <c r="Q79" i="16"/>
  <c r="R79" i="16"/>
  <c r="O80" i="16"/>
  <c r="P80" i="16"/>
  <c r="Q80" i="16"/>
  <c r="R80" i="16"/>
  <c r="O81" i="16"/>
  <c r="P81" i="16"/>
  <c r="Q81" i="16"/>
  <c r="R81" i="16"/>
  <c r="R74" i="16"/>
  <c r="Q74" i="16"/>
  <c r="P74" i="16"/>
  <c r="O74" i="16"/>
  <c r="M17" i="18"/>
  <c r="N17" i="18"/>
  <c r="M16" i="18"/>
  <c r="N16" i="18"/>
  <c r="M15" i="18"/>
  <c r="N15" i="18"/>
  <c r="M14" i="18"/>
  <c r="N14" i="18"/>
  <c r="M13" i="18"/>
  <c r="N13" i="18"/>
  <c r="F35" i="16"/>
  <c r="N38" i="16"/>
  <c r="M38" i="16"/>
  <c r="L38" i="16" s="1"/>
  <c r="L37" i="16" s="1"/>
  <c r="L36" i="16" s="1"/>
  <c r="N37" i="16"/>
  <c r="M37" i="16"/>
  <c r="I38" i="16"/>
  <c r="C44" i="16" s="1"/>
  <c r="F8" i="16" s="1"/>
  <c r="I37" i="16"/>
  <c r="I36" i="16"/>
  <c r="C24" i="16"/>
  <c r="C22" i="16"/>
  <c r="F20" i="14"/>
  <c r="J36" i="14"/>
  <c r="J35" i="14"/>
  <c r="J20" i="14"/>
  <c r="F22" i="14"/>
  <c r="L36" i="14" s="1"/>
  <c r="L39" i="14"/>
  <c r="J22" i="14"/>
  <c r="I47" i="7"/>
  <c r="I29" i="7"/>
  <c r="I57" i="7" s="1"/>
  <c r="I20" i="7"/>
  <c r="L37" i="14"/>
  <c r="J37" i="14"/>
  <c r="J34" i="14"/>
  <c r="L42" i="14"/>
  <c r="K18" i="7"/>
  <c r="F5" i="20" s="1"/>
  <c r="J38" i="14"/>
  <c r="J39" i="14"/>
  <c r="N18" i="18"/>
  <c r="M18" i="18"/>
  <c r="K52" i="7"/>
  <c r="K54" i="7" l="1"/>
  <c r="F15" i="20" s="1"/>
  <c r="L41" i="16"/>
  <c r="L8" i="16" s="1"/>
  <c r="Y6" i="19" s="1"/>
  <c r="C30" i="16"/>
  <c r="L38" i="14"/>
  <c r="L34" i="14"/>
  <c r="L35" i="14"/>
  <c r="C14" i="19"/>
  <c r="E14" i="19" s="1"/>
  <c r="K45" i="7" s="1"/>
  <c r="K47" i="7" s="1"/>
  <c r="F17" i="20" s="1"/>
  <c r="L62" i="14"/>
  <c r="K19" i="7" s="1"/>
  <c r="F7" i="20" s="1"/>
  <c r="M57" i="14"/>
  <c r="E36" i="16"/>
  <c r="E35" i="16" s="1"/>
  <c r="D36" i="16"/>
  <c r="D35" i="16" s="1"/>
  <c r="C36" i="16"/>
  <c r="C35" i="16" s="1"/>
  <c r="F21" i="20" l="1"/>
  <c r="K20" i="7"/>
  <c r="K57" i="7" s="1"/>
  <c r="K11" i="7" l="1"/>
  <c r="F25" i="20"/>
</calcChain>
</file>

<file path=xl/sharedStrings.xml><?xml version="1.0" encoding="utf-8"?>
<sst xmlns="http://schemas.openxmlformats.org/spreadsheetml/2006/main" count="335" uniqueCount="275">
  <si>
    <t>Possible</t>
  </si>
  <si>
    <t>Points</t>
  </si>
  <si>
    <t xml:space="preserve"> </t>
  </si>
  <si>
    <t>Subtotal</t>
  </si>
  <si>
    <t>Calculation Table</t>
  </si>
  <si>
    <t>AADT</t>
  </si>
  <si>
    <t>POINTS</t>
  </si>
  <si>
    <t>=</t>
  </si>
  <si>
    <t>+</t>
  </si>
  <si>
    <t>&gt; 2000</t>
  </si>
  <si>
    <t>2'</t>
  </si>
  <si>
    <t>3' - 4'</t>
  </si>
  <si>
    <t>Design</t>
  </si>
  <si>
    <t>Terrain</t>
  </si>
  <si>
    <t>Flat</t>
  </si>
  <si>
    <t>Rolling</t>
  </si>
  <si>
    <t>Mountainous</t>
  </si>
  <si>
    <t>Minimum Design Speed</t>
  </si>
  <si>
    <t>FATAL ACCIDENTS</t>
  </si>
  <si>
    <t>TRUCK ADT</t>
  </si>
  <si>
    <t>P.D. ONLY ACCIDENTS</t>
  </si>
  <si>
    <t>ADT</t>
  </si>
  <si>
    <t>STRUCTURAL CONDITION:</t>
  </si>
  <si>
    <t>to 1/100s</t>
  </si>
  <si>
    <t>ACCIDENTS</t>
  </si>
  <si>
    <t>COUNTY</t>
  </si>
  <si>
    <t>SIX YEAR TIP NO.</t>
  </si>
  <si>
    <t>TODAY'S DATE</t>
  </si>
  <si>
    <t>INJURY, NON FATAL ACCIDENTS</t>
  </si>
  <si>
    <t>PROPOSED</t>
  </si>
  <si>
    <t>EXISTING</t>
  </si>
  <si>
    <t>COLLECTORS</t>
  </si>
  <si>
    <t>ROADBED WIDTH</t>
  </si>
  <si>
    <t>&lt; 400</t>
  </si>
  <si>
    <t>400 - 1500</t>
  </si>
  <si>
    <t>1500 - 2000</t>
  </si>
  <si>
    <t>Existing Roadbed Width</t>
  </si>
  <si>
    <t>Proposed Roadbed Width</t>
  </si>
  <si>
    <t>TRAFFIC RATING</t>
  </si>
  <si>
    <t>Scored</t>
  </si>
  <si>
    <t>TRAFFIC:</t>
  </si>
  <si>
    <t>TRAFFIC VOLUME</t>
  </si>
  <si>
    <t>TRAFFIC ACCIDENTS</t>
  </si>
  <si>
    <t>GEOMETRY:</t>
  </si>
  <si>
    <t>GEOMETRY RATING</t>
  </si>
  <si>
    <t>Widening</t>
  </si>
  <si>
    <t>NOTES:</t>
  </si>
  <si>
    <t>Design Speed</t>
  </si>
  <si>
    <t>Attach Roadside Hazard Review</t>
  </si>
  <si>
    <t>Reduce Roadside Hazards</t>
  </si>
  <si>
    <t>Condition:</t>
  </si>
  <si>
    <t>Project length</t>
  </si>
  <si>
    <t>Sideslopes and Guardrail</t>
  </si>
  <si>
    <t>Slopes or cuts must be 2:1 or steeper</t>
  </si>
  <si>
    <t>points</t>
  </si>
  <si>
    <t>fill sections must be 6' or higher</t>
  </si>
  <si>
    <t>a)</t>
  </si>
  <si>
    <t>TRAFFIC VOLUME RATING</t>
  </si>
  <si>
    <t>(10 points max.)</t>
  </si>
  <si>
    <t>Sideslopes and Guardrail (5)</t>
  </si>
  <si>
    <t>X 5 pts =</t>
  </si>
  <si>
    <t>TRUCK AADT</t>
  </si>
  <si>
    <t>TERRAIN</t>
  </si>
  <si>
    <t>(check one)</t>
  </si>
  <si>
    <t>FLAT</t>
  </si>
  <si>
    <t>ROLLING</t>
  </si>
  <si>
    <t>MOUNTAINOUS</t>
  </si>
  <si>
    <t>Speed:</t>
  </si>
  <si>
    <t>ROADSIDE SAFETY CHECKLIST:</t>
  </si>
  <si>
    <t>Rate only fot those conditions that will be improved as indicated below</t>
  </si>
  <si>
    <t>ROADSIDE SAFETY:</t>
  </si>
  <si>
    <t>AASHTO Stnd</t>
  </si>
  <si>
    <t xml:space="preserve">      3:1 or flatter</t>
  </si>
  <si>
    <t>TOTAL 2R RAP WORKSHEET RATING:</t>
  </si>
  <si>
    <t>Count section improved only once for any and all guardrail and slope improvements</t>
  </si>
  <si>
    <t>VOLUME</t>
  </si>
  <si>
    <t>ROAD WIDTH (shoulder to shoulder)</t>
  </si>
  <si>
    <t>SIDESLOPES &amp; GUARDRAIL</t>
  </si>
  <si>
    <t>Calculated as % project length treated X 5 pts</t>
  </si>
  <si>
    <t>(Click on underlined text to input project data)</t>
  </si>
  <si>
    <t>Reduce Roadside Hazards:</t>
  </si>
  <si>
    <t>possible</t>
  </si>
  <si>
    <t>scored</t>
  </si>
  <si>
    <t>PROJECT LENGTH</t>
  </si>
  <si>
    <t xml:space="preserve">2:1 or steeper
either side   </t>
  </si>
  <si>
    <t>STRUCTURE RATING</t>
  </si>
  <si>
    <t>LOCAL SIGNIFICANCE:</t>
  </si>
  <si>
    <t xml:space="preserve">   1.  Points for Surface and Subsurface visual portions of the STRUCTURAL CONDITION will be assigned by CRAB Engineer.</t>
  </si>
  <si>
    <t xml:space="preserve">   2.  No points are allowed for conditions which will not be improved by the proposed project.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</si>
  <si>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>6'</t>
    </r>
  </si>
  <si>
    <t>DRAINAGE RATING SUMMARY:</t>
  </si>
  <si>
    <t>CULVERT/ROAD</t>
  </si>
  <si>
    <t>FISH PASSAGE</t>
  </si>
  <si>
    <t>WATER QUALITY</t>
  </si>
  <si>
    <t>FLOODING</t>
  </si>
  <si>
    <t>NOTE:  Photo documentation of culvert/road condition must be attached.</t>
  </si>
  <si>
    <t xml:space="preserve">  Proposed improvement would moderately improve water quality</t>
  </si>
  <si>
    <t xml:space="preserve">  Proposed improvement would significantly improve water quality</t>
  </si>
  <si>
    <t>Pts. Awarded</t>
  </si>
  <si>
    <t>Points Awarded</t>
  </si>
  <si>
    <t>LOCAL SIGNIFICANCE</t>
  </si>
  <si>
    <t xml:space="preserve">  11% of project cost</t>
  </si>
  <si>
    <t xml:space="preserve">  13% of project cost</t>
  </si>
  <si>
    <t xml:space="preserve">  12% of project cost</t>
  </si>
  <si>
    <t xml:space="preserve">  14% of project cost</t>
  </si>
  <si>
    <t xml:space="preserve">   amusement park, military post, base, or other facility</t>
  </si>
  <si>
    <t xml:space="preserve">  (i.e. storage, processing, manufacturing, retail,</t>
  </si>
  <si>
    <t xml:space="preserve">   construction, industrial, corporate or government office)</t>
  </si>
  <si>
    <t xml:space="preserve">  adjacent to project (i.e. corridor work)</t>
  </si>
  <si>
    <t xml:space="preserve">  for a state or interstate highway</t>
  </si>
  <si>
    <t xml:space="preserve"> Project serves as or directly connects to a detour route</t>
  </si>
  <si>
    <t xml:space="preserve"> Project completes or continues improvements done</t>
  </si>
  <si>
    <t xml:space="preserve"> Project is within 1 mile of commercial facility</t>
  </si>
  <si>
    <t xml:space="preserve"> Project is within 1 mile of community/recreational faciity</t>
  </si>
  <si>
    <r>
      <rPr>
        <b/>
        <sz val="10"/>
        <rFont val="MS Sans Serif"/>
        <family val="2"/>
      </rPr>
      <t>OTHER SIGNFICANCE</t>
    </r>
    <r>
      <rPr>
        <sz val="10"/>
        <rFont val="MS Sans Serif"/>
        <family val="2"/>
      </rPr>
      <t xml:space="preserve"> (5 Points Maximum)</t>
    </r>
  </si>
  <si>
    <r>
      <rPr>
        <b/>
        <sz val="10"/>
        <rFont val="MS Sans Serif"/>
        <family val="2"/>
      </rPr>
      <t>LOCAL MATCH TO BE PROVIDED BY AGENCY</t>
    </r>
    <r>
      <rPr>
        <sz val="10"/>
        <rFont val="MS Sans Serif"/>
        <family val="2"/>
      </rPr>
      <t xml:space="preserve"> (5 Points Maximum)</t>
    </r>
  </si>
  <si>
    <t>LOCAL MATCH</t>
  </si>
  <si>
    <t xml:space="preserve">OTHER </t>
  </si>
  <si>
    <t>(55 points max.)</t>
  </si>
  <si>
    <t>Flooding</t>
  </si>
  <si>
    <t>Frequency</t>
  </si>
  <si>
    <t xml:space="preserve">  Occurs 2 year event or less frequent</t>
  </si>
  <si>
    <t xml:space="preserve">   Occurs 1 or more times per year</t>
  </si>
  <si>
    <t>b)</t>
  </si>
  <si>
    <t xml:space="preserve"> Roadway Impact</t>
  </si>
  <si>
    <t xml:space="preserve">   Partially covers roadway</t>
  </si>
  <si>
    <t xml:space="preserve">   Completely covers roadway</t>
  </si>
  <si>
    <t xml:space="preserve">   Eroding roadway</t>
  </si>
  <si>
    <t xml:space="preserve">  Flooding occurs 1 or more times per year</t>
  </si>
  <si>
    <t xml:space="preserve">  Flooding occurs 2 year event or less frequent</t>
  </si>
  <si>
    <t xml:space="preserve">  Flooding partially covers roadway</t>
  </si>
  <si>
    <t xml:space="preserve">  Flooding is eroding roadway</t>
  </si>
  <si>
    <t xml:space="preserve">  Flooding completely covers roadway</t>
  </si>
  <si>
    <t>Choose 1 from each section.</t>
  </si>
  <si>
    <t>(15 points max.)</t>
  </si>
  <si>
    <t>15 pts total allowed</t>
  </si>
  <si>
    <t>Existing ADT</t>
  </si>
  <si>
    <t xml:space="preserve">ADT Year </t>
  </si>
  <si>
    <t>or</t>
  </si>
  <si>
    <t>Existing Truck ADT</t>
  </si>
  <si>
    <t>Truck ADT Yr</t>
  </si>
  <si>
    <t>Determine traffic volume rating using table below</t>
  </si>
  <si>
    <t>ADT = Average Weekday Traffic Volumes</t>
  </si>
  <si>
    <t>TRAFFIC VOLUME RATING TABLE</t>
  </si>
  <si>
    <t>Average</t>
  </si>
  <si>
    <t>Truck ADT</t>
  </si>
  <si>
    <r>
      <t>&lt;</t>
    </r>
    <r>
      <rPr>
        <sz val="10"/>
        <rFont val="MS Sans Serif"/>
      </rPr>
      <t xml:space="preserve"> 500</t>
    </r>
  </si>
  <si>
    <t>OR</t>
  </si>
  <si>
    <r>
      <t>&lt;</t>
    </r>
    <r>
      <rPr>
        <sz val="10"/>
        <rFont val="MS Sans Serif"/>
      </rPr>
      <t xml:space="preserve"> 50</t>
    </r>
  </si>
  <si>
    <t>501 - 1000</t>
  </si>
  <si>
    <t>51 - 100</t>
  </si>
  <si>
    <t>1001 - 2000</t>
  </si>
  <si>
    <t>101 - 200</t>
  </si>
  <si>
    <t>2001 - 5000</t>
  </si>
  <si>
    <t>201 - 500</t>
  </si>
  <si>
    <r>
      <t>&gt;</t>
    </r>
    <r>
      <rPr>
        <sz val="10"/>
        <rFont val="MS Sans Serif"/>
      </rPr>
      <t>5001</t>
    </r>
  </si>
  <si>
    <r>
      <t>&gt;</t>
    </r>
    <r>
      <rPr>
        <sz val="10"/>
        <rFont val="MS Sans Serif"/>
      </rPr>
      <t>501</t>
    </r>
  </si>
  <si>
    <t>Traffic Volume (5 Points Max.)</t>
  </si>
  <si>
    <t>ADT Year</t>
  </si>
  <si>
    <t>Truck ADT Year</t>
  </si>
  <si>
    <t>Accident history for the three most recent consecutive years.</t>
  </si>
  <si>
    <t>Property</t>
  </si>
  <si>
    <t>Damage</t>
  </si>
  <si>
    <t>Year</t>
  </si>
  <si>
    <t>Only</t>
  </si>
  <si>
    <t>Injury</t>
  </si>
  <si>
    <t>Fatal</t>
  </si>
  <si>
    <t>x 1</t>
  </si>
  <si>
    <t>x 5</t>
  </si>
  <si>
    <t>TOTAL  =</t>
  </si>
  <si>
    <t>ACCIDENT HISTORY RATING</t>
  </si>
  <si>
    <t>(from Total above)</t>
  </si>
  <si>
    <t>Numbers of Accidents</t>
  </si>
  <si>
    <t>X Factor</t>
  </si>
  <si>
    <t>PS Region
RAP Drainage Project</t>
  </si>
  <si>
    <r>
      <rPr>
        <b/>
        <sz val="10"/>
        <rFont val="MS Sans Serif"/>
        <family val="2"/>
      </rPr>
      <t>CULVERT/ROAD CONDITION</t>
    </r>
    <r>
      <rPr>
        <sz val="10"/>
        <rFont val="MS Sans Serif"/>
        <family val="2"/>
      </rPr>
      <t xml:space="preserve"> (45 Points Maximum)</t>
    </r>
  </si>
  <si>
    <r>
      <rPr>
        <b/>
        <sz val="10"/>
        <rFont val="MS Sans Serif"/>
        <family val="2"/>
      </rPr>
      <t>FISH PASSAGE CONDITION</t>
    </r>
    <r>
      <rPr>
        <sz val="10"/>
        <rFont val="MS Sans Serif"/>
        <family val="2"/>
      </rPr>
      <t xml:space="preserve"> (6 Points Maximum)</t>
    </r>
  </si>
  <si>
    <r>
      <rPr>
        <b/>
        <sz val="10"/>
        <rFont val="MS Sans Serif"/>
        <family val="2"/>
      </rPr>
      <t>WATER QUALITY CONDITION</t>
    </r>
    <r>
      <rPr>
        <sz val="10"/>
        <rFont val="MS Sans Serif"/>
        <family val="2"/>
      </rPr>
      <t xml:space="preserve"> (4 Points Maximum)</t>
    </r>
  </si>
  <si>
    <t>FFC</t>
  </si>
  <si>
    <t>Fed Function Class</t>
  </si>
  <si>
    <t>miles to hundredths</t>
  </si>
  <si>
    <t xml:space="preserve">  15% or more of project cost</t>
  </si>
  <si>
    <t>Check One</t>
  </si>
  <si>
    <r>
      <t xml:space="preserve">Pts. 
</t>
    </r>
    <r>
      <rPr>
        <u/>
        <sz val="10"/>
        <rFont val="MS Sans Serif"/>
        <family val="2"/>
      </rPr>
      <t>Available</t>
    </r>
  </si>
  <si>
    <t>ARTERIALS</t>
  </si>
  <si>
    <t>DESIGN</t>
  </si>
  <si>
    <t>LANE WIDTHS PER ADT</t>
  </si>
  <si>
    <t>SHOULDER WIDTHS PER ADT</t>
  </si>
  <si>
    <t>SPEED</t>
  </si>
  <si>
    <t>ALL SPEEDS</t>
  </si>
  <si>
    <t>ROADWAY WIDTHS PER ADT</t>
  </si>
  <si>
    <t>DESIGN ROADBED WIDTH CALCULATION FOR COLLECTORS</t>
  </si>
  <si>
    <t>DESIGN ROADBED WIDTH CALCULATION FOR ARTERIALS</t>
  </si>
  <si>
    <t>Adjusted 2R Des. Speed Calc. Table</t>
  </si>
  <si>
    <t>PROPOSED SHOULD NOT BE GREATER THAN:</t>
  </si>
  <si>
    <t>Available</t>
  </si>
  <si>
    <t>Pts.</t>
  </si>
  <si>
    <t>Check as many as apply</t>
  </si>
  <si>
    <t xml:space="preserve">  (i.e. school, church, grange, fire station, YMCA, Park,</t>
  </si>
  <si>
    <t>(must use delete key in check box)</t>
  </si>
  <si>
    <r>
      <rPr>
        <b/>
        <u/>
        <sz val="10"/>
        <color indexed="12"/>
        <rFont val="MS Sans Serif"/>
        <family val="2"/>
      </rPr>
      <t>ROADSIDE SAFETY CHECKLIST</t>
    </r>
    <r>
      <rPr>
        <b/>
        <u/>
        <sz val="10"/>
        <rFont val="MS Sans Serif"/>
        <family val="2"/>
      </rPr>
      <t xml:space="preserve"> DEFINITIONS</t>
    </r>
  </si>
  <si>
    <r>
      <t xml:space="preserve">Roadside Safety - Reduce Roadside Hazards (15 pts) - </t>
    </r>
    <r>
      <rPr>
        <b/>
        <sz val="8"/>
        <color indexed="10"/>
        <rFont val="MS Sans Serif"/>
        <family val="2"/>
      </rPr>
      <t>Attach Hazard Review Documentation</t>
    </r>
  </si>
  <si>
    <r>
      <t xml:space="preserve">Length of project to be improved in </t>
    </r>
    <r>
      <rPr>
        <b/>
        <sz val="10"/>
        <rFont val="MS Sans Serif"/>
        <family val="2"/>
      </rPr>
      <t>miles</t>
    </r>
    <r>
      <rPr>
        <sz val="10"/>
        <rFont val="MS Sans Serif"/>
      </rPr>
      <t xml:space="preserve">, only for slopes </t>
    </r>
    <r>
      <rPr>
        <u/>
        <sz val="10"/>
        <rFont val="MS Sans Serif"/>
        <family val="2"/>
      </rPr>
      <t>&gt;</t>
    </r>
    <r>
      <rPr>
        <sz val="10"/>
        <rFont val="MS Sans Serif"/>
      </rPr>
      <t xml:space="preserve"> 6 ft. and 2:1 or steeper.</t>
    </r>
  </si>
  <si>
    <t>Flooding (10)</t>
  </si>
  <si>
    <t>Proposed Widening</t>
  </si>
  <si>
    <t>Accident History (5 Points Max.)</t>
  </si>
  <si>
    <t>Supply supporting Acc. Records</t>
  </si>
  <si>
    <t>TOTAL SCORE</t>
  </si>
  <si>
    <t>ROAD NAME</t>
  </si>
  <si>
    <t>Traffic Vol</t>
  </si>
  <si>
    <t>Accidents</t>
  </si>
  <si>
    <t>Structure</t>
  </si>
  <si>
    <t>Geometry</t>
  </si>
  <si>
    <t>Road Condition</t>
  </si>
  <si>
    <t>Drainage Summary Sheet PS Region</t>
  </si>
  <si>
    <t>Select</t>
  </si>
  <si>
    <t>One</t>
  </si>
  <si>
    <t>Visual</t>
  </si>
  <si>
    <t>14*PS*DR</t>
  </si>
  <si>
    <t>Special, M, L, FC</t>
  </si>
  <si>
    <t>2R, 3R Safety</t>
  </si>
  <si>
    <t xml:space="preserve">  Length or outfall deficiency or indication of scour</t>
  </si>
  <si>
    <t xml:space="preserve">  Leaks evident, disconnected joints, dissimilar materials</t>
  </si>
  <si>
    <t xml:space="preserve">  Rusted thru or spalling concrete</t>
  </si>
  <si>
    <r>
      <t xml:space="preserve">  Existing culvert is </t>
    </r>
    <r>
      <rPr>
        <sz val="10"/>
        <rFont val="MS Sans Serif"/>
        <family val="2"/>
      </rPr>
      <t>67% or more passable</t>
    </r>
  </si>
  <si>
    <r>
      <t xml:space="preserve">  Existing culvert is</t>
    </r>
    <r>
      <rPr>
        <sz val="10"/>
        <rFont val="MS Sans Serif"/>
        <family val="2"/>
      </rPr>
      <t xml:space="preserve"> 33% passable</t>
    </r>
  </si>
  <si>
    <t xml:space="preserve">  Existing culvert is completely impassable </t>
  </si>
  <si>
    <t>NOTE:  Table 3.3 form must be attached to prospectus</t>
  </si>
  <si>
    <t xml:space="preserve">  </t>
  </si>
  <si>
    <t xml:space="preserve">Table 3.3. Criteria for assigning passability to culverts that are assessed as barriers. </t>
  </si>
  <si>
    <t>When more than one parameter applies, use the more restrictive passability value.</t>
  </si>
  <si>
    <t>Criteria</t>
  </si>
  <si>
    <t xml:space="preserve">Parameter </t>
  </si>
  <si>
    <t>Value</t>
  </si>
  <si>
    <t xml:space="preserve"> Range</t>
  </si>
  <si>
    <t xml:space="preserve"> Passability</t>
  </si>
  <si>
    <t>Criteria Value</t>
  </si>
  <si>
    <t xml:space="preserve"> Passability %</t>
  </si>
  <si>
    <t>Water Surface Drop</t>
  </si>
  <si>
    <t xml:space="preserve"> ≥0.24 meters</t>
  </si>
  <si>
    <t xml:space="preserve">≥0.24 m &amp; &lt;0.5 m </t>
  </si>
  <si>
    <t xml:space="preserve">≥0.5 m &amp; &lt;1.0 m </t>
  </si>
  <si>
    <t xml:space="preserve">≥1.0 m </t>
  </si>
  <si>
    <t>≥1.0%</t>
  </si>
  <si>
    <t xml:space="preserve">≥1.0% &amp; &lt;2.0% </t>
  </si>
  <si>
    <t xml:space="preserve">≥2.0% &amp; &lt;4.0% </t>
  </si>
  <si>
    <t xml:space="preserve">≥4.0% </t>
  </si>
  <si>
    <t>Slope (Culverts &gt;18.3 meters length)</t>
  </si>
  <si>
    <t xml:space="preserve">≥2.0% </t>
  </si>
  <si>
    <t>Velocity (Level B Result)</t>
  </si>
  <si>
    <t>Exceeds WAC 220-110-070 velocity criterion for 15 cm (6 inch) trout</t>
  </si>
  <si>
    <t>&lt;0.61 mps over criterion for 15 cm trout</t>
  </si>
  <si>
    <t>Culvert Length (m) Velocity (mps)</t>
  </si>
  <si>
    <t>≥0.61 mps over criterion for 15 cm trout</t>
  </si>
  <si>
    <t xml:space="preserve">     &lt;30.5                           ≤1.22</t>
  </si>
  <si>
    <t xml:space="preserve">     30.5-61.0                   ≤0.91</t>
  </si>
  <si>
    <t xml:space="preserve">     &gt;61.0                           ≤0.61</t>
  </si>
  <si>
    <t xml:space="preserve">Depth  (Level B Result) </t>
  </si>
  <si>
    <t>&lt;0.30 meters</t>
  </si>
  <si>
    <t xml:space="preserve">≥0.15 m &amp; &lt;0.30 m </t>
  </si>
  <si>
    <t xml:space="preserve">≥0.05 m &amp; &lt;0.15 m </t>
  </si>
  <si>
    <t xml:space="preserve">&lt;0.05 m </t>
  </si>
  <si>
    <t xml:space="preserve">Tidegate or Floodgate </t>
  </si>
  <si>
    <t xml:space="preserve">Gate Style </t>
  </si>
  <si>
    <t xml:space="preserve">Flap gate </t>
  </si>
  <si>
    <t xml:space="preserve">Self-regulating </t>
  </si>
  <si>
    <t>Use worst score for Fish Passage Condition structure rating.</t>
  </si>
  <si>
    <r>
      <t xml:space="preserve">*from </t>
    </r>
    <r>
      <rPr>
        <u/>
        <sz val="10"/>
        <color indexed="10"/>
        <rFont val="MS Sans Serif"/>
        <family val="2"/>
      </rPr>
      <t>Fish Passage Barrier and Surface Water Screening Assessment and Prioritization Manual</t>
    </r>
    <r>
      <rPr>
        <sz val="10"/>
        <color indexed="10"/>
        <rFont val="MS Sans Serif"/>
        <family val="2"/>
      </rPr>
      <t>, 
Chapter 3.2 Culverts Barrier Assessments, Table 3.3</t>
    </r>
  </si>
  <si>
    <r>
      <t xml:space="preserve">from </t>
    </r>
    <r>
      <rPr>
        <u/>
        <sz val="10"/>
        <color indexed="10"/>
        <rFont val="MS Sans Serif"/>
        <family val="2"/>
      </rPr>
      <t>Fish Passage Barrier and Surface Water Screening Assessment and Prioritization Manual</t>
    </r>
    <r>
      <rPr>
        <sz val="10"/>
        <color indexed="10"/>
        <rFont val="MS Sans Serif"/>
        <family val="2"/>
      </rPr>
      <t>, 
Chapter 3.2 Culverts Barrier Assessments, Table 3.3</t>
    </r>
  </si>
  <si>
    <t xml:space="preserve">  In accordance with WDFW guidelines - see Passability WKSHT*</t>
  </si>
  <si>
    <t>Use the last three 
full years' reports</t>
  </si>
  <si>
    <t>PROJ. LENGTH, MI.</t>
  </si>
  <si>
    <r>
      <t xml:space="preserve">Slope (Culverts </t>
    </r>
    <r>
      <rPr>
        <u/>
        <sz val="8"/>
        <color indexed="8"/>
        <rFont val="Calibri"/>
        <family val="2"/>
      </rPr>
      <t>&lt;</t>
    </r>
    <r>
      <rPr>
        <sz val="8"/>
        <rFont val="MS Sans Serif"/>
      </rPr>
      <t xml:space="preserve"> 18.3 meters length)</t>
    </r>
  </si>
  <si>
    <t>Complete 
this portion</t>
  </si>
  <si>
    <t>PS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</si>
</sst>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_);[Red]\(#,##0.0\)"/>
    <numFmt numFmtId="166" formatCode="#"/>
    <numFmt numFmtId="167" formatCode="0#"/>
    <numFmt numFmtId="168" formatCode="[$-409]mmmm\ d\,\ yyyy;@"/>
    <numFmt numFmtId="169" formatCode="mm/dd/yy;@"/>
  </numFmts>
  <fonts count="81" x14ac:knownFonts="1">
    <font>
      <sz val="10"/>
      <name val="MS Sans Serif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3.5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sz val="8"/>
      <color indexed="10"/>
      <name val="MS Sans Serif"/>
      <family val="2"/>
    </font>
    <font>
      <sz val="10"/>
      <name val="MS Sans Serif"/>
      <family val="2"/>
    </font>
    <font>
      <b/>
      <u/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b/>
      <sz val="10"/>
      <name val="Arial"/>
      <family val="2"/>
    </font>
    <font>
      <sz val="14"/>
      <color indexed="10"/>
      <name val="MS Sans Serif"/>
      <family val="2"/>
    </font>
    <font>
      <sz val="7"/>
      <color indexed="10"/>
      <name val="MS Sans Serif"/>
      <family val="2"/>
    </font>
    <font>
      <sz val="1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color indexed="12"/>
      <name val="Arial"/>
      <family val="2"/>
    </font>
    <font>
      <b/>
      <u/>
      <sz val="18"/>
      <color indexed="12"/>
      <name val="Arial"/>
      <family val="2"/>
    </font>
    <font>
      <sz val="7"/>
      <name val="MS Sans Serif"/>
      <family val="2"/>
    </font>
    <font>
      <sz val="12"/>
      <name val="Arial"/>
      <family val="2"/>
    </font>
    <font>
      <b/>
      <sz val="8.5"/>
      <name val="MS Sans Serif"/>
      <family val="2"/>
    </font>
    <font>
      <b/>
      <sz val="7"/>
      <name val="MS Sans Serif"/>
      <family val="2"/>
    </font>
    <font>
      <b/>
      <u/>
      <sz val="12"/>
      <name val="MS Sans Serif"/>
      <family val="2"/>
    </font>
    <font>
      <b/>
      <sz val="10"/>
      <color indexed="61"/>
      <name val="MS Sans Serif"/>
      <family val="2"/>
    </font>
    <font>
      <sz val="10"/>
      <color indexed="61"/>
      <name val="MS Sans Serif"/>
      <family val="2"/>
    </font>
    <font>
      <i/>
      <sz val="10"/>
      <name val="MS Sans Serif"/>
      <family val="2"/>
    </font>
    <font>
      <b/>
      <sz val="8"/>
      <color indexed="10"/>
      <name val="MS Sans Serif"/>
      <family val="2"/>
    </font>
    <font>
      <sz val="20"/>
      <name val="Calibri"/>
      <family val="2"/>
    </font>
    <font>
      <b/>
      <i/>
      <sz val="10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u/>
      <sz val="10"/>
      <color indexed="10"/>
      <name val="MS Sans Serif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 tint="-0.14999847407452621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C00000"/>
      <name val="MS Sans Serif"/>
      <family val="2"/>
    </font>
    <font>
      <b/>
      <sz val="12"/>
      <color rgb="FFFF0000"/>
      <name val="MS Sans Serif"/>
      <family val="2"/>
    </font>
    <font>
      <b/>
      <sz val="14"/>
      <color rgb="FF7030A0"/>
      <name val="MS Sans Serif"/>
      <family val="2"/>
    </font>
    <font>
      <sz val="10"/>
      <color theme="0"/>
      <name val="MS Sans Serif"/>
      <family val="2"/>
    </font>
    <font>
      <b/>
      <sz val="18"/>
      <color rgb="FF7030A0"/>
      <name val="MS Sans Serif"/>
      <family val="2"/>
    </font>
    <font>
      <sz val="10"/>
      <color theme="1"/>
      <name val="MS Sans Serif"/>
      <family val="2"/>
    </font>
    <font>
      <sz val="8"/>
      <color theme="1"/>
      <name val="MS Sans Serif"/>
      <family val="2"/>
    </font>
    <font>
      <sz val="10"/>
      <color theme="4" tint="0.79998168889431442"/>
      <name val="MS Sans Serif"/>
      <family val="2"/>
    </font>
    <font>
      <u/>
      <sz val="8"/>
      <color theme="1"/>
      <name val="MS Sans Serif"/>
      <family val="2"/>
    </font>
    <font>
      <strike/>
      <sz val="10"/>
      <color rgb="FFFF0000"/>
      <name val="MS Sans Serif"/>
      <family val="2"/>
    </font>
    <font>
      <sz val="8"/>
      <color theme="4" tint="0.79998168889431442"/>
      <name val="MS Sans Serif"/>
      <family val="2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b/>
      <i/>
      <sz val="10"/>
      <color theme="0" tint="-0.499984740745262"/>
      <name val="MS Sans Serif"/>
      <family val="2"/>
    </font>
    <font>
      <i/>
      <sz val="10"/>
      <color theme="0" tint="-0.499984740745262"/>
      <name val="MS Sans Serif"/>
      <family val="2"/>
    </font>
    <font>
      <sz val="8"/>
      <color theme="8" tint="-0.249977111117893"/>
      <name val="MS Sans Serif"/>
      <family val="2"/>
    </font>
    <font>
      <sz val="10"/>
      <color theme="8" tint="-0.249977111117893"/>
      <name val="MS Sans Serif"/>
      <family val="2"/>
    </font>
    <font>
      <b/>
      <sz val="12"/>
      <color rgb="FF7030A0"/>
      <name val="MS Sans Serif"/>
      <family val="2"/>
    </font>
    <font>
      <b/>
      <sz val="14"/>
      <color rgb="FF7030A0"/>
      <name val="Arial"/>
      <family val="2"/>
    </font>
    <font>
      <sz val="7"/>
      <color theme="8" tint="-0.249977111117893"/>
      <name val="MS Sans Serif"/>
      <family val="2"/>
    </font>
    <font>
      <b/>
      <sz val="8"/>
      <color rgb="FFFF0000"/>
      <name val="MS Sans Serif"/>
      <family val="2"/>
    </font>
    <font>
      <b/>
      <sz val="8"/>
      <color rgb="FFFF0000"/>
      <name val="MS Sans Serif"/>
    </font>
    <font>
      <sz val="8"/>
      <name val="MS Sans Serif"/>
    </font>
    <font>
      <u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0070C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/>
      <right/>
      <top style="thick">
        <color indexed="5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</borders>
  <cellStyleXfs count="9">
    <xf numFmtId="0" fontId="0" fillId="0" borderId="0"/>
    <xf numFmtId="40" fontId="32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" fillId="0" borderId="0"/>
    <xf numFmtId="0" fontId="25" fillId="0" borderId="0"/>
    <xf numFmtId="9" fontId="1" fillId="0" borderId="0" applyFont="0" applyFill="0" applyBorder="0" applyAlignment="0" applyProtection="0"/>
  </cellStyleXfs>
  <cellXfs count="590">
    <xf numFmtId="0" fontId="0" fillId="0" borderId="0" xfId="0"/>
    <xf numFmtId="0" fontId="0" fillId="0" borderId="0" xfId="0" applyAlignment="1" applyProtection="1">
      <alignment horizontal="left"/>
    </xf>
    <xf numFmtId="0" fontId="0" fillId="0" borderId="1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5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7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2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2" fontId="0" fillId="0" borderId="3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28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28" fillId="0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4" xfId="0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Border="1" applyAlignment="1" applyProtection="1">
      <alignment horizontal="left"/>
    </xf>
    <xf numFmtId="0" fontId="19" fillId="2" borderId="0" xfId="0" applyFont="1" applyFill="1" applyProtection="1"/>
    <xf numFmtId="2" fontId="0" fillId="2" borderId="0" xfId="0" applyNumberForma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52" fillId="2" borderId="0" xfId="0" applyFont="1" applyFill="1" applyAlignment="1" applyProtection="1">
      <alignment horizontal="left"/>
    </xf>
    <xf numFmtId="0" fontId="5" fillId="0" borderId="3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82" xfId="0" applyBorder="1" applyAlignment="1" applyProtection="1">
      <alignment horizontal="left"/>
    </xf>
    <xf numFmtId="0" fontId="0" fillId="0" borderId="83" xfId="0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0" fillId="0" borderId="84" xfId="0" applyBorder="1" applyAlignment="1" applyProtection="1">
      <alignment horizontal="left"/>
    </xf>
    <xf numFmtId="0" fontId="0" fillId="0" borderId="85" xfId="0" applyBorder="1" applyAlignment="1" applyProtection="1">
      <alignment horizontal="left"/>
    </xf>
    <xf numFmtId="0" fontId="0" fillId="0" borderId="86" xfId="0" applyBorder="1" applyAlignment="1" applyProtection="1">
      <alignment horizontal="left"/>
    </xf>
    <xf numFmtId="0" fontId="19" fillId="0" borderId="83" xfId="0" applyFont="1" applyBorder="1" applyAlignment="1" applyProtection="1">
      <alignment horizontal="center"/>
    </xf>
    <xf numFmtId="2" fontId="21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/>
    </xf>
    <xf numFmtId="0" fontId="0" fillId="0" borderId="83" xfId="0" applyBorder="1" applyProtection="1"/>
    <xf numFmtId="0" fontId="25" fillId="0" borderId="83" xfId="0" applyFont="1" applyBorder="1" applyProtection="1"/>
    <xf numFmtId="1" fontId="0" fillId="0" borderId="3" xfId="0" applyNumberFormat="1" applyBorder="1" applyAlignment="1" applyProtection="1">
      <alignment horizontal="center"/>
    </xf>
    <xf numFmtId="2" fontId="21" fillId="0" borderId="5" xfId="0" applyNumberFormat="1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0" fillId="0" borderId="10" xfId="0" applyFill="1" applyBorder="1" applyProtection="1"/>
    <xf numFmtId="0" fontId="2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horizontal="left"/>
    </xf>
    <xf numFmtId="0" fontId="22" fillId="0" borderId="3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left" vertical="center"/>
    </xf>
    <xf numFmtId="0" fontId="0" fillId="0" borderId="87" xfId="0" applyFill="1" applyBorder="1" applyAlignment="1" applyProtection="1">
      <alignment horizontal="left"/>
    </xf>
    <xf numFmtId="0" fontId="0" fillId="0" borderId="88" xfId="0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2" fontId="53" fillId="0" borderId="0" xfId="0" quotePrefix="1" applyNumberFormat="1" applyFont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/>
    </xf>
    <xf numFmtId="0" fontId="0" fillId="0" borderId="89" xfId="0" applyBorder="1" applyProtection="1"/>
    <xf numFmtId="0" fontId="0" fillId="0" borderId="90" xfId="0" applyBorder="1" applyProtection="1"/>
    <xf numFmtId="0" fontId="0" fillId="0" borderId="91" xfId="0" applyBorder="1" applyProtection="1"/>
    <xf numFmtId="0" fontId="0" fillId="0" borderId="92" xfId="0" applyBorder="1" applyProtection="1"/>
    <xf numFmtId="0" fontId="0" fillId="0" borderId="93" xfId="0" applyBorder="1" applyProtection="1"/>
    <xf numFmtId="0" fontId="0" fillId="0" borderId="94" xfId="0" applyBorder="1" applyProtection="1"/>
    <xf numFmtId="0" fontId="33" fillId="0" borderId="0" xfId="0" applyFont="1" applyFill="1" applyBorder="1" applyAlignment="1" applyProtection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2" fontId="54" fillId="4" borderId="0" xfId="0" applyNumberFormat="1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vertical="center"/>
    </xf>
    <xf numFmtId="0" fontId="0" fillId="0" borderId="95" xfId="0" applyFill="1" applyBorder="1" applyProtection="1"/>
    <xf numFmtId="0" fontId="5" fillId="0" borderId="0" xfId="0" applyFont="1" applyFill="1" applyBorder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52" fillId="0" borderId="96" xfId="0" applyFont="1" applyFill="1" applyBorder="1" applyAlignment="1" applyProtection="1">
      <alignment horizontal="left"/>
    </xf>
    <xf numFmtId="0" fontId="52" fillId="0" borderId="95" xfId="0" applyFont="1" applyFill="1" applyBorder="1" applyAlignment="1" applyProtection="1">
      <alignment horizontal="left"/>
    </xf>
    <xf numFmtId="0" fontId="52" fillId="0" borderId="97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2" fontId="53" fillId="0" borderId="5" xfId="0" quotePrefix="1" applyNumberFormat="1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20" fillId="0" borderId="0" xfId="0" applyNumberFormat="1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3" fillId="5" borderId="0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19" fillId="0" borderId="5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3" fillId="0" borderId="0" xfId="0" applyFont="1" applyProtection="1"/>
    <xf numFmtId="0" fontId="15" fillId="0" borderId="5" xfId="0" applyFont="1" applyBorder="1" applyAlignment="1" applyProtection="1">
      <alignment horizontal="left"/>
    </xf>
    <xf numFmtId="168" fontId="0" fillId="0" borderId="0" xfId="0" applyNumberFormat="1" applyFill="1" applyBorder="1" applyAlignment="1" applyProtection="1"/>
    <xf numFmtId="0" fontId="0" fillId="0" borderId="13" xfId="0" applyFill="1" applyBorder="1" applyAlignment="1" applyProtection="1"/>
    <xf numFmtId="0" fontId="55" fillId="0" borderId="14" xfId="0" applyFont="1" applyBorder="1" applyAlignment="1" applyProtection="1">
      <alignment textRotation="180"/>
    </xf>
    <xf numFmtId="0" fontId="55" fillId="0" borderId="0" xfId="0" applyFont="1" applyBorder="1" applyAlignment="1" applyProtection="1">
      <alignment textRotation="180"/>
    </xf>
    <xf numFmtId="0" fontId="5" fillId="0" borderId="13" xfId="0" applyFont="1" applyFill="1" applyBorder="1" applyAlignment="1" applyProtection="1">
      <alignment horizontal="left"/>
    </xf>
    <xf numFmtId="0" fontId="2" fillId="0" borderId="0" xfId="4" applyBorder="1" applyAlignment="1" applyProtection="1"/>
    <xf numFmtId="0" fontId="38" fillId="0" borderId="0" xfId="0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alignment horizontal="left"/>
    </xf>
    <xf numFmtId="0" fontId="11" fillId="0" borderId="5" xfId="0" applyFont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right"/>
    </xf>
    <xf numFmtId="0" fontId="56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6" fillId="0" borderId="0" xfId="0" applyFont="1" applyBorder="1" applyAlignment="1" applyProtection="1"/>
    <xf numFmtId="0" fontId="22" fillId="0" borderId="0" xfId="0" applyFont="1" applyFill="1" applyBorder="1" applyAlignment="1" applyProtection="1"/>
    <xf numFmtId="0" fontId="57" fillId="0" borderId="0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58" fillId="0" borderId="0" xfId="0" applyFont="1" applyBorder="1" applyAlignment="1" applyProtection="1">
      <alignment vertical="top" wrapText="1"/>
    </xf>
    <xf numFmtId="0" fontId="58" fillId="0" borderId="82" xfId="0" applyFont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vertical="top"/>
    </xf>
    <xf numFmtId="0" fontId="22" fillId="0" borderId="0" xfId="0" applyFont="1" applyFill="1" applyBorder="1" applyProtection="1"/>
    <xf numFmtId="1" fontId="0" fillId="0" borderId="2" xfId="0" applyNumberFormat="1" applyFill="1" applyBorder="1" applyAlignment="1" applyProtection="1">
      <alignment horizontal="center"/>
    </xf>
    <xf numFmtId="0" fontId="59" fillId="0" borderId="0" xfId="0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right"/>
    </xf>
    <xf numFmtId="0" fontId="53" fillId="0" borderId="2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0" fontId="0" fillId="6" borderId="0" xfId="0" applyFill="1" applyProtection="1"/>
    <xf numFmtId="0" fontId="0" fillId="7" borderId="0" xfId="0" applyFill="1" applyProtection="1"/>
    <xf numFmtId="0" fontId="0" fillId="7" borderId="0" xfId="0" applyFill="1" applyBorder="1" applyProtection="1"/>
    <xf numFmtId="0" fontId="0" fillId="7" borderId="0" xfId="0" applyFill="1" applyBorder="1" applyAlignment="1" applyProtection="1">
      <alignment horizontal="left"/>
    </xf>
    <xf numFmtId="0" fontId="23" fillId="7" borderId="0" xfId="0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5" fillId="3" borderId="3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5" fillId="0" borderId="0" xfId="0" applyFont="1" applyAlignment="1" applyProtection="1">
      <alignment horizontal="left"/>
    </xf>
    <xf numFmtId="0" fontId="61" fillId="7" borderId="2" xfId="0" applyFont="1" applyFill="1" applyBorder="1" applyProtection="1"/>
    <xf numFmtId="0" fontId="61" fillId="7" borderId="0" xfId="0" applyFont="1" applyFill="1" applyProtection="1"/>
    <xf numFmtId="0" fontId="20" fillId="4" borderId="0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/>
    </xf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24" fillId="0" borderId="18" xfId="0" applyFont="1" applyFill="1" applyBorder="1" applyAlignment="1" applyProtection="1">
      <alignment vertical="top" wrapText="1"/>
    </xf>
    <xf numFmtId="0" fontId="0" fillId="0" borderId="19" xfId="0" applyFill="1" applyBorder="1" applyAlignment="1" applyProtection="1">
      <alignment horizontal="left"/>
    </xf>
    <xf numFmtId="0" fontId="0" fillId="0" borderId="20" xfId="0" applyFill="1" applyBorder="1" applyAlignment="1" applyProtection="1">
      <alignment horizontal="left"/>
    </xf>
    <xf numFmtId="0" fontId="30" fillId="0" borderId="20" xfId="0" applyFont="1" applyFill="1" applyBorder="1" applyAlignment="1" applyProtection="1">
      <alignment vertical="center" wrapText="1"/>
    </xf>
    <xf numFmtId="0" fontId="24" fillId="0" borderId="20" xfId="0" applyFont="1" applyFill="1" applyBorder="1" applyAlignment="1" applyProtection="1">
      <alignment vertical="top" wrapText="1"/>
    </xf>
    <xf numFmtId="0" fontId="24" fillId="0" borderId="21" xfId="0" applyFont="1" applyFill="1" applyBorder="1" applyAlignment="1" applyProtection="1">
      <alignment vertical="top" wrapText="1"/>
    </xf>
    <xf numFmtId="168" fontId="5" fillId="0" borderId="0" xfId="0" applyNumberFormat="1" applyFont="1" applyFill="1" applyBorder="1" applyAlignment="1" applyProtection="1">
      <alignment horizontal="left"/>
    </xf>
    <xf numFmtId="0" fontId="28" fillId="0" borderId="10" xfId="0" applyFont="1" applyBorder="1" applyAlignment="1" applyProtection="1">
      <alignment horizontal="left"/>
    </xf>
    <xf numFmtId="0" fontId="62" fillId="6" borderId="0" xfId="0" applyFont="1" applyFill="1" applyBorder="1" applyAlignment="1" applyProtection="1">
      <alignment horizontal="center"/>
    </xf>
    <xf numFmtId="0" fontId="59" fillId="6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28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40" fontId="0" fillId="0" borderId="3" xfId="1" applyFont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right"/>
    </xf>
    <xf numFmtId="0" fontId="14" fillId="7" borderId="0" xfId="0" applyFont="1" applyFill="1" applyBorder="1" applyAlignment="1" applyProtection="1">
      <alignment horizontal="center"/>
    </xf>
    <xf numFmtId="0" fontId="15" fillId="7" borderId="0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/>
    </xf>
    <xf numFmtId="0" fontId="0" fillId="7" borderId="22" xfId="0" applyFill="1" applyBorder="1" applyProtection="1"/>
    <xf numFmtId="0" fontId="8" fillId="7" borderId="0" xfId="0" applyFont="1" applyFill="1" applyBorder="1" applyAlignment="1" applyProtection="1">
      <alignment horizontal="center"/>
    </xf>
    <xf numFmtId="0" fontId="2" fillId="0" borderId="0" xfId="4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2" fontId="57" fillId="0" borderId="0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left"/>
    </xf>
    <xf numFmtId="0" fontId="53" fillId="0" borderId="0" xfId="0" applyFont="1" applyAlignment="1" applyProtection="1">
      <alignment horizontal="center"/>
    </xf>
    <xf numFmtId="40" fontId="3" fillId="0" borderId="0" xfId="1" applyFont="1" applyBorder="1" applyAlignment="1" applyProtection="1">
      <alignment horizontal="center"/>
    </xf>
    <xf numFmtId="2" fontId="3" fillId="0" borderId="0" xfId="0" quotePrefix="1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5" fillId="7" borderId="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0" fontId="43" fillId="0" borderId="0" xfId="0" applyFont="1" applyFill="1" applyBorder="1" applyProtection="1"/>
    <xf numFmtId="0" fontId="5" fillId="4" borderId="0" xfId="6" applyFill="1" applyProtection="1"/>
    <xf numFmtId="0" fontId="5" fillId="0" borderId="96" xfId="6" applyBorder="1" applyAlignment="1" applyProtection="1">
      <alignment horizontal="left"/>
    </xf>
    <xf numFmtId="0" fontId="5" fillId="0" borderId="95" xfId="6" applyBorder="1" applyAlignment="1" applyProtection="1">
      <alignment horizontal="left"/>
    </xf>
    <xf numFmtId="0" fontId="5" fillId="0" borderId="95" xfId="6" applyBorder="1" applyAlignment="1" applyProtection="1"/>
    <xf numFmtId="0" fontId="5" fillId="0" borderId="95" xfId="6" applyBorder="1" applyAlignment="1" applyProtection="1">
      <alignment horizontal="center"/>
    </xf>
    <xf numFmtId="0" fontId="5" fillId="0" borderId="97" xfId="6" applyBorder="1" applyAlignment="1" applyProtection="1">
      <alignment horizontal="left"/>
    </xf>
    <xf numFmtId="0" fontId="5" fillId="0" borderId="83" xfId="6" applyBorder="1" applyAlignment="1" applyProtection="1">
      <alignment horizontal="left"/>
    </xf>
    <xf numFmtId="0" fontId="5" fillId="0" borderId="0" xfId="6" applyBorder="1" applyAlignment="1" applyProtection="1">
      <alignment horizontal="left"/>
    </xf>
    <xf numFmtId="0" fontId="14" fillId="0" borderId="0" xfId="6" applyFont="1" applyBorder="1" applyAlignment="1" applyProtection="1">
      <alignment horizontal="left"/>
    </xf>
    <xf numFmtId="0" fontId="5" fillId="0" borderId="0" xfId="6" applyAlignment="1" applyProtection="1">
      <alignment horizontal="left"/>
    </xf>
    <xf numFmtId="0" fontId="5" fillId="0" borderId="82" xfId="6" applyBorder="1" applyAlignment="1" applyProtection="1">
      <alignment horizontal="right"/>
    </xf>
    <xf numFmtId="0" fontId="5" fillId="0" borderId="0" xfId="6" applyBorder="1" applyAlignment="1" applyProtection="1">
      <alignment horizontal="right"/>
    </xf>
    <xf numFmtId="0" fontId="5" fillId="0" borderId="9" xfId="6" applyFill="1" applyBorder="1" applyAlignment="1" applyProtection="1">
      <alignment horizontal="left"/>
    </xf>
    <xf numFmtId="0" fontId="5" fillId="0" borderId="0" xfId="6" applyFill="1" applyBorder="1" applyAlignment="1" applyProtection="1">
      <alignment horizontal="left"/>
    </xf>
    <xf numFmtId="0" fontId="5" fillId="0" borderId="0" xfId="6" applyFill="1" applyBorder="1" applyAlignment="1" applyProtection="1"/>
    <xf numFmtId="0" fontId="5" fillId="0" borderId="0" xfId="6" applyFill="1" applyBorder="1" applyAlignment="1" applyProtection="1">
      <alignment horizontal="center"/>
    </xf>
    <xf numFmtId="0" fontId="5" fillId="0" borderId="0" xfId="6" applyFill="1" applyBorder="1" applyProtection="1"/>
    <xf numFmtId="0" fontId="5" fillId="0" borderId="10" xfId="6" applyFill="1" applyBorder="1" applyAlignment="1" applyProtection="1">
      <alignment horizontal="left"/>
    </xf>
    <xf numFmtId="0" fontId="53" fillId="0" borderId="0" xfId="6" applyFont="1" applyBorder="1" applyAlignment="1" applyProtection="1">
      <alignment horizontal="left"/>
    </xf>
    <xf numFmtId="0" fontId="5" fillId="0" borderId="0" xfId="6" applyBorder="1" applyProtection="1"/>
    <xf numFmtId="0" fontId="5" fillId="0" borderId="0" xfId="6" applyBorder="1" applyAlignment="1" applyProtection="1">
      <alignment horizontal="center"/>
    </xf>
    <xf numFmtId="0" fontId="5" fillId="0" borderId="82" xfId="6" applyBorder="1" applyAlignment="1" applyProtection="1">
      <alignment horizontal="left"/>
    </xf>
    <xf numFmtId="0" fontId="3" fillId="0" borderId="9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3" fillId="0" borderId="0" xfId="6" applyFont="1" applyBorder="1" applyAlignment="1" applyProtection="1">
      <alignment horizontal="left"/>
    </xf>
    <xf numFmtId="0" fontId="5" fillId="0" borderId="9" xfId="6" applyFill="1" applyBorder="1" applyAlignment="1" applyProtection="1">
      <alignment horizontal="right"/>
    </xf>
    <xf numFmtId="0" fontId="4" fillId="0" borderId="0" xfId="6" applyFont="1" applyFill="1" applyBorder="1" applyAlignment="1" applyProtection="1">
      <alignment horizontal="left"/>
    </xf>
    <xf numFmtId="0" fontId="17" fillId="0" borderId="0" xfId="6" applyFont="1" applyBorder="1" applyAlignment="1" applyProtection="1"/>
    <xf numFmtId="0" fontId="5" fillId="0" borderId="0" xfId="6" applyFont="1" applyBorder="1" applyAlignment="1" applyProtection="1">
      <alignment horizontal="left"/>
    </xf>
    <xf numFmtId="0" fontId="3" fillId="0" borderId="0" xfId="6" applyFont="1" applyBorder="1" applyAlignment="1" applyProtection="1">
      <alignment horizontal="center"/>
    </xf>
    <xf numFmtId="2" fontId="5" fillId="3" borderId="3" xfId="6" applyNumberFormat="1" applyFill="1" applyBorder="1" applyAlignment="1" applyProtection="1">
      <alignment horizontal="center"/>
      <protection locked="0"/>
    </xf>
    <xf numFmtId="0" fontId="5" fillId="0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>
      <alignment horizontal="center"/>
    </xf>
    <xf numFmtId="2" fontId="5" fillId="0" borderId="3" xfId="6" applyNumberFormat="1" applyFill="1" applyBorder="1" applyAlignment="1" applyProtection="1">
      <alignment horizontal="center"/>
    </xf>
    <xf numFmtId="0" fontId="5" fillId="0" borderId="0" xfId="6" applyProtection="1"/>
    <xf numFmtId="0" fontId="5" fillId="0" borderId="0" xfId="6" applyAlignment="1" applyProtection="1"/>
    <xf numFmtId="0" fontId="20" fillId="0" borderId="13" xfId="6" applyFont="1" applyFill="1" applyBorder="1" applyAlignment="1" applyProtection="1">
      <alignment horizontal="left" vertical="center"/>
    </xf>
    <xf numFmtId="0" fontId="20" fillId="0" borderId="10" xfId="6" applyFont="1" applyFill="1" applyBorder="1" applyAlignment="1" applyProtection="1">
      <alignment horizontal="left" vertical="center"/>
    </xf>
    <xf numFmtId="0" fontId="3" fillId="0" borderId="0" xfId="6" applyFont="1" applyBorder="1" applyAlignment="1" applyProtection="1">
      <alignment horizontal="right"/>
    </xf>
    <xf numFmtId="0" fontId="5" fillId="0" borderId="0" xfId="6" applyFont="1" applyFill="1" applyBorder="1" applyAlignment="1" applyProtection="1">
      <alignment horizontal="right" vertical="center"/>
    </xf>
    <xf numFmtId="0" fontId="5" fillId="0" borderId="10" xfId="6" applyFont="1" applyFill="1" applyBorder="1" applyAlignment="1" applyProtection="1">
      <alignment horizontal="left" vertical="center"/>
    </xf>
    <xf numFmtId="9" fontId="5" fillId="0" borderId="3" xfId="8" applyFont="1" applyFill="1" applyBorder="1" applyAlignment="1" applyProtection="1">
      <alignment horizontal="center"/>
    </xf>
    <xf numFmtId="164" fontId="5" fillId="0" borderId="3" xfId="6" applyNumberFormat="1" applyFill="1" applyBorder="1" applyAlignment="1" applyProtection="1">
      <alignment horizontal="center"/>
    </xf>
    <xf numFmtId="0" fontId="20" fillId="0" borderId="0" xfId="6" applyFont="1" applyFill="1" applyBorder="1" applyAlignment="1" applyProtection="1">
      <alignment horizontal="left" vertical="center"/>
    </xf>
    <xf numFmtId="0" fontId="5" fillId="0" borderId="82" xfId="6" applyFill="1" applyBorder="1" applyAlignment="1" applyProtection="1">
      <alignment horizontal="center"/>
    </xf>
    <xf numFmtId="9" fontId="5" fillId="0" borderId="0" xfId="8" applyFont="1" applyFill="1" applyBorder="1" applyAlignment="1" applyProtection="1">
      <alignment horizontal="center"/>
    </xf>
    <xf numFmtId="0" fontId="5" fillId="0" borderId="0" xfId="6" applyFill="1" applyBorder="1" applyAlignment="1" applyProtection="1">
      <alignment horizontal="right" vertical="center"/>
    </xf>
    <xf numFmtId="0" fontId="5" fillId="0" borderId="0" xfId="6" applyFill="1" applyBorder="1" applyAlignment="1" applyProtection="1">
      <alignment horizontal="left" vertical="center"/>
    </xf>
    <xf numFmtId="0" fontId="5" fillId="0" borderId="82" xfId="6" quotePrefix="1" applyFill="1" applyBorder="1" applyAlignment="1" applyProtection="1">
      <alignment horizontal="center"/>
    </xf>
    <xf numFmtId="9" fontId="5" fillId="0" borderId="82" xfId="6" applyNumberFormat="1" applyFill="1" applyBorder="1" applyAlignment="1" applyProtection="1">
      <alignment horizontal="center"/>
    </xf>
    <xf numFmtId="0" fontId="5" fillId="0" borderId="82" xfId="6" applyFill="1" applyBorder="1" applyAlignment="1" applyProtection="1">
      <alignment horizontal="left"/>
    </xf>
    <xf numFmtId="0" fontId="5" fillId="0" borderId="82" xfId="6" applyFill="1" applyBorder="1" applyAlignment="1" applyProtection="1">
      <alignment horizontal="right"/>
    </xf>
    <xf numFmtId="2" fontId="5" fillId="3" borderId="3" xfId="6" applyNumberFormat="1" applyFont="1" applyFill="1" applyBorder="1" applyAlignment="1" applyProtection="1">
      <alignment horizontal="center"/>
      <protection locked="0"/>
    </xf>
    <xf numFmtId="0" fontId="6" fillId="0" borderId="0" xfId="6" applyFont="1" applyFill="1" applyBorder="1" applyAlignment="1" applyProtection="1">
      <alignment horizontal="left"/>
    </xf>
    <xf numFmtId="0" fontId="13" fillId="0" borderId="0" xfId="6" applyFont="1" applyBorder="1" applyAlignment="1" applyProtection="1">
      <alignment horizontal="left"/>
    </xf>
    <xf numFmtId="0" fontId="5" fillId="0" borderId="0" xfId="6" applyFill="1" applyBorder="1" applyAlignment="1" applyProtection="1">
      <alignment horizontal="right"/>
    </xf>
    <xf numFmtId="0" fontId="3" fillId="0" borderId="0" xfId="6" applyFont="1" applyFill="1" applyBorder="1" applyAlignment="1" applyProtection="1">
      <alignment horizontal="center"/>
    </xf>
    <xf numFmtId="0" fontId="5" fillId="3" borderId="3" xfId="6" applyFont="1" applyFill="1" applyBorder="1" applyAlignment="1" applyProtection="1">
      <alignment horizontal="center"/>
      <protection locked="0"/>
    </xf>
    <xf numFmtId="165" fontId="0" fillId="0" borderId="0" xfId="2" applyNumberFormat="1" applyFont="1" applyFill="1" applyBorder="1" applyAlignment="1" applyProtection="1">
      <alignment horizontal="center"/>
    </xf>
    <xf numFmtId="0" fontId="57" fillId="0" borderId="0" xfId="6" applyFont="1" applyFill="1" applyBorder="1" applyAlignment="1" applyProtection="1">
      <alignment horizontal="left"/>
    </xf>
    <xf numFmtId="0" fontId="28" fillId="0" borderId="0" xfId="6" applyFont="1" applyFill="1" applyBorder="1" applyAlignment="1" applyProtection="1">
      <alignment horizontal="left"/>
    </xf>
    <xf numFmtId="0" fontId="5" fillId="0" borderId="0" xfId="6" applyFont="1" applyBorder="1" applyAlignment="1" applyProtection="1">
      <alignment horizontal="right"/>
    </xf>
    <xf numFmtId="0" fontId="13" fillId="0" borderId="0" xfId="6" applyFont="1" applyFill="1" applyBorder="1" applyAlignment="1" applyProtection="1">
      <alignment horizontal="left"/>
    </xf>
    <xf numFmtId="0" fontId="5" fillId="0" borderId="10" xfId="6" applyFill="1" applyBorder="1" applyProtection="1"/>
    <xf numFmtId="0" fontId="5" fillId="0" borderId="10" xfId="6" applyFill="1" applyBorder="1" applyAlignment="1" applyProtection="1">
      <alignment horizontal="center"/>
    </xf>
    <xf numFmtId="0" fontId="5" fillId="0" borderId="11" xfId="6" applyFill="1" applyBorder="1" applyAlignment="1" applyProtection="1">
      <alignment horizontal="left"/>
    </xf>
    <xf numFmtId="0" fontId="5" fillId="0" borderId="4" xfId="6" applyFill="1" applyBorder="1" applyAlignment="1" applyProtection="1">
      <alignment horizontal="center"/>
    </xf>
    <xf numFmtId="0" fontId="5" fillId="0" borderId="4" xfId="6" applyFill="1" applyBorder="1" applyAlignment="1" applyProtection="1">
      <alignment horizontal="left"/>
    </xf>
    <xf numFmtId="0" fontId="5" fillId="0" borderId="12" xfId="6" applyFill="1" applyBorder="1" applyAlignment="1" applyProtection="1">
      <alignment horizontal="center"/>
    </xf>
    <xf numFmtId="0" fontId="5" fillId="0" borderId="84" xfId="6" applyBorder="1" applyProtection="1"/>
    <xf numFmtId="0" fontId="5" fillId="0" borderId="85" xfId="6" applyBorder="1" applyProtection="1"/>
    <xf numFmtId="0" fontId="5" fillId="0" borderId="86" xfId="6" applyBorder="1" applyProtection="1"/>
    <xf numFmtId="0" fontId="5" fillId="4" borderId="0" xfId="6" applyFill="1" applyBorder="1" applyProtection="1"/>
    <xf numFmtId="2" fontId="54" fillId="4" borderId="0" xfId="6" applyNumberFormat="1" applyFont="1" applyFill="1" applyBorder="1" applyAlignment="1" applyProtection="1">
      <alignment horizontal="center" vertical="center"/>
    </xf>
    <xf numFmtId="0" fontId="63" fillId="0" borderId="0" xfId="6" applyFont="1" applyBorder="1" applyAlignment="1" applyProtection="1">
      <alignment horizontal="left"/>
    </xf>
    <xf numFmtId="0" fontId="63" fillId="0" borderId="0" xfId="6" applyFont="1" applyBorder="1" applyAlignment="1" applyProtection="1">
      <alignment horizontal="right"/>
    </xf>
    <xf numFmtId="0" fontId="4" fillId="0" borderId="0" xfId="6" applyFont="1" applyFill="1" applyBorder="1" applyAlignment="1" applyProtection="1"/>
    <xf numFmtId="0" fontId="22" fillId="7" borderId="0" xfId="0" applyFont="1" applyFill="1" applyBorder="1" applyAlignment="1" applyProtection="1">
      <alignment horizontal="center"/>
    </xf>
    <xf numFmtId="0" fontId="2" fillId="0" borderId="0" xfId="4" applyFill="1" applyBorder="1" applyAlignment="1" applyProtection="1">
      <alignment horizontal="left"/>
    </xf>
    <xf numFmtId="0" fontId="0" fillId="7" borderId="0" xfId="0" applyFill="1" applyAlignment="1" applyProtection="1">
      <alignment horizontal="left"/>
    </xf>
    <xf numFmtId="38" fontId="13" fillId="7" borderId="0" xfId="3" applyNumberFormat="1" applyFont="1" applyFill="1" applyBorder="1" applyAlignment="1" applyProtection="1">
      <alignment horizontal="center"/>
    </xf>
    <xf numFmtId="0" fontId="0" fillId="7" borderId="0" xfId="0" applyFill="1" applyAlignment="1" applyProtection="1">
      <alignment horizontal="right"/>
    </xf>
    <xf numFmtId="0" fontId="6" fillId="7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left"/>
    </xf>
    <xf numFmtId="0" fontId="26" fillId="7" borderId="0" xfId="0" applyFont="1" applyFill="1" applyAlignment="1" applyProtection="1">
      <alignment horizontal="left"/>
    </xf>
    <xf numFmtId="0" fontId="0" fillId="7" borderId="3" xfId="0" applyFill="1" applyBorder="1" applyAlignment="1" applyProtection="1">
      <alignment horizontal="center"/>
    </xf>
    <xf numFmtId="0" fontId="10" fillId="7" borderId="0" xfId="0" applyFont="1" applyFill="1" applyAlignment="1" applyProtection="1">
      <alignment horizontal="left"/>
    </xf>
    <xf numFmtId="0" fontId="1" fillId="7" borderId="0" xfId="0" applyFont="1" applyFill="1" applyAlignment="1" applyProtection="1">
      <alignment horizontal="center"/>
    </xf>
    <xf numFmtId="0" fontId="11" fillId="7" borderId="23" xfId="0" applyFont="1" applyFill="1" applyBorder="1" applyAlignment="1" applyProtection="1">
      <alignment horizontal="left"/>
    </xf>
    <xf numFmtId="0" fontId="11" fillId="7" borderId="24" xfId="0" applyFont="1" applyFill="1" applyBorder="1" applyAlignment="1" applyProtection="1">
      <alignment horizontal="left"/>
    </xf>
    <xf numFmtId="0" fontId="11" fillId="7" borderId="24" xfId="0" applyFont="1" applyFill="1" applyBorder="1" applyAlignment="1" applyProtection="1">
      <alignment horizontal="right"/>
    </xf>
    <xf numFmtId="0" fontId="4" fillId="7" borderId="0" xfId="0" applyFont="1" applyFill="1" applyAlignment="1" applyProtection="1">
      <alignment horizontal="center"/>
    </xf>
    <xf numFmtId="0" fontId="12" fillId="7" borderId="23" xfId="0" applyFont="1" applyFill="1" applyBorder="1" applyAlignment="1" applyProtection="1"/>
    <xf numFmtId="0" fontId="12" fillId="7" borderId="24" xfId="0" applyFont="1" applyFill="1" applyBorder="1" applyAlignment="1" applyProtection="1"/>
    <xf numFmtId="0" fontId="3" fillId="7" borderId="0" xfId="0" applyFont="1" applyFill="1" applyAlignment="1" applyProtection="1">
      <alignment horizontal="center"/>
    </xf>
    <xf numFmtId="0" fontId="3" fillId="7" borderId="23" xfId="0" applyFont="1" applyFill="1" applyBorder="1" applyAlignment="1" applyProtection="1">
      <alignment horizontal="center"/>
    </xf>
    <xf numFmtId="0" fontId="3" fillId="7" borderId="24" xfId="0" applyFont="1" applyFill="1" applyBorder="1" applyAlignment="1" applyProtection="1">
      <alignment horizontal="center"/>
    </xf>
    <xf numFmtId="0" fontId="64" fillId="7" borderId="25" xfId="0" applyFont="1" applyFill="1" applyBorder="1" applyAlignment="1" applyProtection="1">
      <alignment horizontal="center"/>
    </xf>
    <xf numFmtId="0" fontId="64" fillId="7" borderId="26" xfId="0" applyFont="1" applyFill="1" applyBorder="1" applyAlignment="1" applyProtection="1">
      <alignment horizontal="center"/>
    </xf>
    <xf numFmtId="0" fontId="64" fillId="7" borderId="0" xfId="0" applyFont="1" applyFill="1" applyAlignment="1" applyProtection="1">
      <alignment horizontal="center"/>
    </xf>
    <xf numFmtId="0" fontId="5" fillId="7" borderId="0" xfId="0" applyFont="1" applyFill="1" applyAlignment="1" applyProtection="1">
      <alignment horizontal="left"/>
    </xf>
    <xf numFmtId="0" fontId="41" fillId="7" borderId="0" xfId="0" applyFont="1" applyFill="1" applyAlignment="1" applyProtection="1">
      <alignment horizontal="left"/>
    </xf>
    <xf numFmtId="0" fontId="65" fillId="7" borderId="3" xfId="0" applyFont="1" applyFill="1" applyBorder="1" applyAlignment="1" applyProtection="1">
      <alignment horizontal="center"/>
    </xf>
    <xf numFmtId="0" fontId="4" fillId="7" borderId="0" xfId="7" applyFont="1" applyFill="1" applyAlignment="1" applyProtection="1">
      <alignment horizontal="left"/>
    </xf>
    <xf numFmtId="0" fontId="5" fillId="7" borderId="0" xfId="7" applyFont="1" applyFill="1" applyAlignment="1" applyProtection="1">
      <alignment horizontal="left"/>
    </xf>
    <xf numFmtId="0" fontId="5" fillId="7" borderId="0" xfId="7" applyFont="1" applyFill="1" applyAlignment="1" applyProtection="1">
      <alignment horizontal="center"/>
    </xf>
    <xf numFmtId="0" fontId="53" fillId="7" borderId="0" xfId="0" applyFont="1" applyFill="1" applyAlignment="1" applyProtection="1">
      <alignment horizontal="left"/>
    </xf>
    <xf numFmtId="0" fontId="0" fillId="7" borderId="0" xfId="0" applyFill="1" applyBorder="1" applyAlignment="1" applyProtection="1">
      <alignment horizontal="right"/>
    </xf>
    <xf numFmtId="0" fontId="4" fillId="7" borderId="0" xfId="0" applyFont="1" applyFill="1" applyBorder="1" applyAlignment="1" applyProtection="1">
      <alignment horizontal="left"/>
    </xf>
    <xf numFmtId="0" fontId="4" fillId="7" borderId="0" xfId="0" applyFont="1" applyFill="1" applyAlignment="1" applyProtection="1">
      <alignment horizontal="left"/>
    </xf>
    <xf numFmtId="0" fontId="5" fillId="7" borderId="0" xfId="0" applyFont="1" applyFill="1" applyAlignment="1" applyProtection="1">
      <alignment horizontal="center"/>
    </xf>
    <xf numFmtId="0" fontId="0" fillId="7" borderId="27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/>
    </xf>
    <xf numFmtId="0" fontId="5" fillId="7" borderId="0" xfId="0" quotePrefix="1" applyFont="1" applyFill="1" applyAlignment="1" applyProtection="1">
      <alignment horizontal="center"/>
    </xf>
    <xf numFmtId="0" fontId="3" fillId="7" borderId="0" xfId="0" applyFont="1" applyFill="1" applyProtection="1"/>
    <xf numFmtId="0" fontId="41" fillId="7" borderId="0" xfId="0" applyFont="1" applyFill="1" applyAlignment="1" applyProtection="1">
      <alignment horizontal="right"/>
    </xf>
    <xf numFmtId="0" fontId="1" fillId="8" borderId="3" xfId="0" applyFont="1" applyFill="1" applyBorder="1" applyAlignment="1" applyProtection="1">
      <alignment horizontal="center"/>
    </xf>
    <xf numFmtId="0" fontId="42" fillId="7" borderId="0" xfId="0" applyFont="1" applyFill="1" applyAlignment="1" applyProtection="1">
      <alignment horizontal="left"/>
    </xf>
    <xf numFmtId="0" fontId="66" fillId="0" borderId="0" xfId="0" applyFont="1" applyFill="1" applyBorder="1" applyAlignment="1" applyProtection="1">
      <alignment horizontal="right"/>
    </xf>
    <xf numFmtId="0" fontId="18" fillId="0" borderId="27" xfId="0" applyFont="1" applyFill="1" applyBorder="1" applyAlignment="1" applyProtection="1"/>
    <xf numFmtId="0" fontId="2" fillId="0" borderId="0" xfId="4" applyBorder="1" applyAlignment="1" applyProtection="1">
      <alignment horizontal="left"/>
    </xf>
    <xf numFmtId="0" fontId="0" fillId="7" borderId="0" xfId="0" applyFill="1" applyAlignment="1" applyProtection="1"/>
    <xf numFmtId="0" fontId="0" fillId="7" borderId="0" xfId="0" applyFill="1" applyAlignment="1" applyProtection="1">
      <alignment horizontal="right" vertical="center"/>
    </xf>
    <xf numFmtId="1" fontId="8" fillId="7" borderId="0" xfId="0" applyNumberFormat="1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/>
    <xf numFmtId="0" fontId="27" fillId="7" borderId="0" xfId="0" applyFont="1" applyFill="1" applyBorder="1" applyAlignment="1" applyProtection="1">
      <alignment horizontal="left"/>
    </xf>
    <xf numFmtId="0" fontId="9" fillId="7" borderId="3" xfId="7" applyFont="1" applyFill="1" applyBorder="1" applyAlignment="1" applyProtection="1">
      <alignment horizontal="center"/>
    </xf>
    <xf numFmtId="0" fontId="25" fillId="7" borderId="0" xfId="7" applyFont="1" applyFill="1" applyAlignment="1" applyProtection="1">
      <alignment horizontal="left"/>
    </xf>
    <xf numFmtId="0" fontId="25" fillId="7" borderId="0" xfId="7" applyFill="1" applyAlignment="1" applyProtection="1">
      <alignment horizontal="left"/>
    </xf>
    <xf numFmtId="0" fontId="25" fillId="7" borderId="0" xfId="7" applyFill="1" applyBorder="1" applyAlignment="1" applyProtection="1">
      <alignment horizontal="center"/>
    </xf>
    <xf numFmtId="0" fontId="53" fillId="7" borderId="0" xfId="0" applyFont="1" applyFill="1" applyAlignment="1" applyProtection="1">
      <alignment horizontal="center"/>
    </xf>
    <xf numFmtId="0" fontId="25" fillId="7" borderId="0" xfId="7" applyFill="1" applyBorder="1" applyAlignment="1" applyProtection="1">
      <alignment horizontal="left"/>
    </xf>
    <xf numFmtId="0" fontId="5" fillId="7" borderId="0" xfId="7" applyFont="1" applyFill="1" applyBorder="1" applyAlignment="1" applyProtection="1">
      <alignment horizontal="left"/>
    </xf>
    <xf numFmtId="0" fontId="5" fillId="7" borderId="0" xfId="7" applyFont="1" applyFill="1" applyBorder="1" applyAlignment="1" applyProtection="1">
      <alignment horizontal="right"/>
    </xf>
    <xf numFmtId="0" fontId="5" fillId="7" borderId="0" xfId="7" applyFont="1" applyFill="1" applyBorder="1" applyAlignment="1" applyProtection="1">
      <alignment horizontal="center"/>
    </xf>
    <xf numFmtId="0" fontId="16" fillId="7" borderId="0" xfId="0" applyFont="1" applyFill="1" applyBorder="1" applyAlignment="1" applyProtection="1">
      <alignment horizontal="left" vertical="center"/>
    </xf>
    <xf numFmtId="0" fontId="3" fillId="7" borderId="0" xfId="7" applyFont="1" applyFill="1" applyAlignment="1" applyProtection="1">
      <alignment horizontal="left"/>
    </xf>
    <xf numFmtId="0" fontId="4" fillId="7" borderId="0" xfId="7" applyFont="1" applyFill="1" applyBorder="1" applyAlignment="1" applyProtection="1">
      <alignment horizontal="left"/>
    </xf>
    <xf numFmtId="0" fontId="5" fillId="7" borderId="0" xfId="0" applyFont="1" applyFill="1" applyBorder="1" applyAlignment="1" applyProtection="1">
      <alignment horizontal="right"/>
    </xf>
    <xf numFmtId="166" fontId="0" fillId="7" borderId="0" xfId="0" applyNumberFormat="1" applyFill="1" applyBorder="1" applyAlignment="1" applyProtection="1">
      <alignment horizontal="center"/>
    </xf>
    <xf numFmtId="0" fontId="54" fillId="7" borderId="3" xfId="0" quotePrefix="1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/>
    <xf numFmtId="0" fontId="36" fillId="7" borderId="2" xfId="0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right" vertical="center"/>
    </xf>
    <xf numFmtId="1" fontId="8" fillId="7" borderId="0" xfId="0" applyNumberFormat="1" applyFont="1" applyFill="1" applyBorder="1" applyAlignment="1" applyProtection="1">
      <alignment horizontal="center"/>
    </xf>
    <xf numFmtId="0" fontId="29" fillId="7" borderId="3" xfId="0" applyFont="1" applyFill="1" applyBorder="1" applyAlignment="1" applyProtection="1">
      <alignment horizontal="center"/>
    </xf>
    <xf numFmtId="166" fontId="0" fillId="7" borderId="3" xfId="0" applyNumberFormat="1" applyFill="1" applyBorder="1" applyAlignment="1" applyProtection="1">
      <alignment horizontal="center"/>
    </xf>
    <xf numFmtId="0" fontId="3" fillId="7" borderId="0" xfId="0" applyFont="1" applyFill="1" applyAlignment="1" applyProtection="1">
      <alignment horizontal="left"/>
    </xf>
    <xf numFmtId="0" fontId="5" fillId="7" borderId="0" xfId="0" quotePrefix="1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right"/>
    </xf>
    <xf numFmtId="2" fontId="0" fillId="3" borderId="28" xfId="0" applyNumberFormat="1" applyFill="1" applyBorder="1" applyAlignment="1" applyProtection="1">
      <alignment horizontal="center"/>
      <protection locked="0"/>
    </xf>
    <xf numFmtId="167" fontId="0" fillId="3" borderId="29" xfId="0" applyNumberFormat="1" applyFill="1" applyBorder="1" applyAlignment="1" applyProtection="1">
      <alignment horizontal="center"/>
      <protection locked="0"/>
    </xf>
    <xf numFmtId="169" fontId="0" fillId="3" borderId="29" xfId="0" applyNumberFormat="1" applyFill="1" applyBorder="1" applyAlignment="1" applyProtection="1">
      <alignment horizontal="left"/>
      <protection locked="0"/>
    </xf>
    <xf numFmtId="0" fontId="45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4" fontId="0" fillId="0" borderId="3" xfId="0" applyNumberFormat="1" applyBorder="1" applyAlignment="1" applyProtection="1">
      <alignment horizontal="center"/>
    </xf>
    <xf numFmtId="0" fontId="3" fillId="0" borderId="0" xfId="0" applyFont="1" applyAlignment="1">
      <alignment horizontal="right"/>
    </xf>
    <xf numFmtId="4" fontId="0" fillId="0" borderId="0" xfId="0" applyNumberFormat="1" applyBorder="1" applyAlignment="1" applyProtection="1">
      <alignment horizontal="center"/>
    </xf>
    <xf numFmtId="0" fontId="67" fillId="2" borderId="0" xfId="0" applyFont="1" applyFill="1" applyAlignment="1" applyProtection="1">
      <alignment horizontal="right"/>
    </xf>
    <xf numFmtId="0" fontId="46" fillId="2" borderId="0" xfId="0" applyFont="1" applyFill="1" applyAlignment="1" applyProtection="1">
      <alignment horizontal="right"/>
    </xf>
    <xf numFmtId="4" fontId="0" fillId="2" borderId="0" xfId="0" applyNumberFormat="1" applyFill="1" applyBorder="1" applyAlignment="1" applyProtection="1">
      <alignment horizontal="center"/>
    </xf>
    <xf numFmtId="0" fontId="68" fillId="0" borderId="0" xfId="0" applyFont="1" applyAlignment="1" applyProtection="1">
      <alignment horizontal="right"/>
    </xf>
    <xf numFmtId="0" fontId="43" fillId="0" borderId="0" xfId="0" applyFont="1" applyAlignment="1" applyProtection="1">
      <alignment horizontal="right"/>
    </xf>
    <xf numFmtId="0" fontId="67" fillId="0" borderId="0" xfId="0" applyFont="1" applyFill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7" fillId="0" borderId="0" xfId="0" applyFont="1" applyAlignment="1" applyProtection="1">
      <alignment horizontal="left" vertical="top"/>
    </xf>
    <xf numFmtId="0" fontId="48" fillId="0" borderId="0" xfId="0" applyFont="1" applyAlignment="1" applyProtection="1">
      <alignment horizontal="right" vertical="top"/>
    </xf>
    <xf numFmtId="0" fontId="29" fillId="0" borderId="0" xfId="0" applyFont="1" applyAlignment="1" applyProtection="1">
      <alignment horizontal="left"/>
    </xf>
    <xf numFmtId="0" fontId="37" fillId="0" borderId="0" xfId="0" applyFont="1" applyAlignment="1" applyProtection="1">
      <alignment horizontal="left" vertical="top"/>
    </xf>
    <xf numFmtId="0" fontId="48" fillId="0" borderId="0" xfId="0" quotePrefix="1" applyFont="1" applyAlignment="1" applyProtection="1">
      <alignment horizontal="center" vertical="top"/>
    </xf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3" fillId="2" borderId="0" xfId="0" applyFont="1" applyFill="1" applyAlignment="1" applyProtection="1">
      <alignment horizontal="right"/>
    </xf>
    <xf numFmtId="0" fontId="5" fillId="0" borderId="0" xfId="6" applyFont="1" applyFill="1" applyBorder="1" applyAlignment="1" applyProtection="1">
      <alignment horizontal="center" wrapText="1"/>
    </xf>
    <xf numFmtId="0" fontId="5" fillId="0" borderId="6" xfId="6" applyFill="1" applyBorder="1" applyAlignment="1" applyProtection="1">
      <alignment horizontal="left"/>
    </xf>
    <xf numFmtId="0" fontId="5" fillId="0" borderId="95" xfId="6" applyFill="1" applyBorder="1" applyProtection="1"/>
    <xf numFmtId="0" fontId="33" fillId="0" borderId="7" xfId="6" applyFont="1" applyFill="1" applyBorder="1" applyAlignment="1" applyProtection="1">
      <alignment vertical="center"/>
    </xf>
    <xf numFmtId="0" fontId="5" fillId="0" borderId="7" xfId="6" applyFill="1" applyBorder="1" applyAlignment="1" applyProtection="1">
      <alignment horizontal="left"/>
    </xf>
    <xf numFmtId="0" fontId="33" fillId="0" borderId="0" xfId="6" applyFont="1" applyFill="1" applyBorder="1" applyAlignment="1" applyProtection="1">
      <alignment vertical="center"/>
    </xf>
    <xf numFmtId="0" fontId="5" fillId="0" borderId="0" xfId="6" applyFill="1" applyAlignment="1" applyProtection="1">
      <alignment horizontal="left"/>
    </xf>
    <xf numFmtId="0" fontId="24" fillId="0" borderId="0" xfId="6" applyFont="1" applyFill="1" applyBorder="1" applyProtection="1"/>
    <xf numFmtId="0" fontId="53" fillId="0" borderId="0" xfId="6" applyFont="1" applyFill="1" applyBorder="1" applyAlignment="1" applyProtection="1">
      <alignment horizontal="center"/>
    </xf>
    <xf numFmtId="0" fontId="36" fillId="0" borderId="0" xfId="6" applyFont="1" applyFill="1" applyBorder="1" applyAlignment="1" applyProtection="1">
      <alignment horizontal="center" wrapText="1"/>
    </xf>
    <xf numFmtId="0" fontId="5" fillId="0" borderId="0" xfId="6" applyFont="1" applyFill="1" applyBorder="1" applyProtection="1"/>
    <xf numFmtId="0" fontId="5" fillId="0" borderId="0" xfId="6" applyFont="1" applyFill="1" applyBorder="1" applyAlignment="1" applyProtection="1">
      <alignment horizontal="center"/>
    </xf>
    <xf numFmtId="0" fontId="5" fillId="0" borderId="0" xfId="6" applyFont="1" applyAlignment="1" applyProtection="1">
      <alignment horizontal="left"/>
    </xf>
    <xf numFmtId="0" fontId="12" fillId="0" borderId="0" xfId="6" applyFont="1" applyFill="1" applyBorder="1" applyAlignment="1" applyProtection="1">
      <alignment horizontal="left"/>
    </xf>
    <xf numFmtId="0" fontId="62" fillId="0" borderId="0" xfId="6" applyFont="1" applyFill="1" applyBorder="1" applyAlignment="1" applyProtection="1">
      <alignment horizontal="center"/>
    </xf>
    <xf numFmtId="0" fontId="53" fillId="0" borderId="0" xfId="6" applyFont="1" applyFill="1" applyBorder="1" applyAlignment="1" applyProtection="1">
      <alignment horizontal="left"/>
    </xf>
    <xf numFmtId="0" fontId="69" fillId="0" borderId="9" xfId="6" applyFont="1" applyFill="1" applyBorder="1" applyProtection="1"/>
    <xf numFmtId="0" fontId="5" fillId="0" borderId="0" xfId="6" applyFill="1" applyBorder="1" applyAlignment="1" applyProtection="1">
      <alignment vertical="top"/>
    </xf>
    <xf numFmtId="0" fontId="5" fillId="0" borderId="0" xfId="6" applyFont="1" applyFill="1" applyBorder="1" applyAlignment="1" applyProtection="1">
      <alignment vertical="top"/>
    </xf>
    <xf numFmtId="0" fontId="11" fillId="0" borderId="0" xfId="6" applyFont="1" applyFill="1" applyBorder="1" applyAlignment="1" applyProtection="1">
      <alignment horizontal="center"/>
    </xf>
    <xf numFmtId="0" fontId="1" fillId="0" borderId="0" xfId="6" applyFont="1" applyFill="1" applyBorder="1" applyAlignment="1" applyProtection="1">
      <alignment horizontal="center"/>
    </xf>
    <xf numFmtId="0" fontId="59" fillId="0" borderId="0" xfId="6" applyFont="1" applyFill="1" applyBorder="1" applyAlignment="1" applyProtection="1">
      <alignment horizontal="center"/>
    </xf>
    <xf numFmtId="0" fontId="53" fillId="3" borderId="3" xfId="6" applyFont="1" applyFill="1" applyBorder="1" applyAlignment="1" applyProtection="1">
      <alignment horizontal="center"/>
      <protection locked="0"/>
    </xf>
    <xf numFmtId="0" fontId="5" fillId="0" borderId="0" xfId="6" applyFont="1" applyFill="1" applyAlignment="1" applyProtection="1">
      <alignment horizontal="right"/>
    </xf>
    <xf numFmtId="0" fontId="11" fillId="0" borderId="0" xfId="6" applyFont="1" applyFill="1" applyBorder="1" applyAlignment="1" applyProtection="1">
      <alignment horizontal="right"/>
    </xf>
    <xf numFmtId="0" fontId="12" fillId="0" borderId="0" xfId="4" applyFont="1" applyFill="1" applyBorder="1" applyAlignment="1" applyProtection="1">
      <alignment horizontal="right"/>
    </xf>
    <xf numFmtId="2" fontId="5" fillId="0" borderId="0" xfId="6" applyNumberFormat="1" applyFont="1" applyFill="1" applyBorder="1" applyAlignment="1" applyProtection="1">
      <alignment horizontal="center"/>
    </xf>
    <xf numFmtId="0" fontId="5" fillId="0" borderId="9" xfId="6" applyFill="1" applyBorder="1" applyProtection="1"/>
    <xf numFmtId="0" fontId="36" fillId="0" borderId="0" xfId="6" applyFont="1" applyFill="1" applyBorder="1" applyAlignment="1" applyProtection="1">
      <alignment horizontal="right" vertical="top"/>
    </xf>
    <xf numFmtId="0" fontId="60" fillId="0" borderId="0" xfId="6" applyFont="1" applyFill="1" applyBorder="1" applyAlignment="1" applyProtection="1">
      <alignment horizontal="right"/>
    </xf>
    <xf numFmtId="0" fontId="20" fillId="0" borderId="0" xfId="6" applyFont="1" applyFill="1" applyBorder="1" applyAlignment="1" applyProtection="1">
      <alignment horizontal="center"/>
    </xf>
    <xf numFmtId="0" fontId="70" fillId="0" borderId="0" xfId="6" applyFont="1" applyFill="1" applyBorder="1" applyAlignment="1" applyProtection="1">
      <alignment horizontal="left"/>
    </xf>
    <xf numFmtId="0" fontId="66" fillId="0" borderId="0" xfId="6" applyFont="1" applyFill="1" applyBorder="1" applyAlignment="1" applyProtection="1">
      <alignment wrapText="1"/>
    </xf>
    <xf numFmtId="0" fontId="51" fillId="0" borderId="0" xfId="0" applyFont="1" applyAlignment="1" applyProtection="1">
      <alignment horizontal="left"/>
    </xf>
    <xf numFmtId="0" fontId="0" fillId="2" borderId="3" xfId="0" applyFill="1" applyBorder="1" applyAlignment="1" applyProtection="1">
      <alignment textRotation="90"/>
    </xf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32" xfId="0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center" wrapText="1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51" fillId="0" borderId="34" xfId="0" applyFont="1" applyBorder="1" applyAlignment="1" applyProtection="1">
      <alignment horizontal="center"/>
    </xf>
    <xf numFmtId="49" fontId="0" fillId="0" borderId="0" xfId="0" applyNumberFormat="1" applyProtection="1"/>
    <xf numFmtId="16" fontId="0" fillId="0" borderId="0" xfId="0" applyNumberFormat="1" applyProtection="1"/>
    <xf numFmtId="0" fontId="76" fillId="2" borderId="30" xfId="0" applyFont="1" applyFill="1" applyBorder="1" applyProtection="1"/>
    <xf numFmtId="0" fontId="76" fillId="0" borderId="30" xfId="0" applyFont="1" applyBorder="1" applyAlignment="1" applyProtection="1">
      <alignment horizontal="center"/>
    </xf>
    <xf numFmtId="0" fontId="76" fillId="0" borderId="44" xfId="0" applyFont="1" applyBorder="1" applyProtection="1"/>
    <xf numFmtId="0" fontId="76" fillId="0" borderId="45" xfId="0" applyFont="1" applyBorder="1" applyProtection="1"/>
    <xf numFmtId="0" fontId="5" fillId="0" borderId="83" xfId="6" applyFill="1" applyBorder="1" applyAlignment="1" applyProtection="1">
      <alignment horizontal="left"/>
    </xf>
    <xf numFmtId="0" fontId="5" fillId="0" borderId="83" xfId="6" applyFill="1" applyBorder="1" applyAlignment="1" applyProtection="1">
      <alignment horizontal="center"/>
    </xf>
    <xf numFmtId="0" fontId="5" fillId="0" borderId="83" xfId="6" applyFill="1" applyBorder="1" applyAlignment="1" applyProtection="1">
      <alignment horizontal="right"/>
    </xf>
    <xf numFmtId="0" fontId="45" fillId="0" borderId="0" xfId="0" applyFont="1" applyAlignment="1" applyProtection="1">
      <alignment horizontal="center"/>
    </xf>
    <xf numFmtId="2" fontId="48" fillId="0" borderId="46" xfId="0" applyNumberFormat="1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18" fillId="3" borderId="50" xfId="0" applyFont="1" applyFill="1" applyBorder="1" applyAlignment="1" applyProtection="1">
      <alignment horizontal="left"/>
      <protection locked="0"/>
    </xf>
    <xf numFmtId="0" fontId="18" fillId="3" borderId="51" xfId="0" applyFont="1" applyFill="1" applyBorder="1" applyAlignment="1" applyProtection="1">
      <alignment horizontal="left"/>
      <protection locked="0"/>
    </xf>
    <xf numFmtId="0" fontId="2" fillId="0" borderId="23" xfId="4" applyBorder="1" applyAlignment="1" applyProtection="1">
      <alignment horizontal="left" vertical="center"/>
    </xf>
    <xf numFmtId="0" fontId="2" fillId="0" borderId="82" xfId="4" applyBorder="1" applyAlignment="1" applyProtection="1">
      <alignment horizontal="left" vertical="center"/>
    </xf>
    <xf numFmtId="0" fontId="11" fillId="3" borderId="5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53" xfId="0" applyFont="1" applyFill="1" applyBorder="1" applyAlignment="1" applyProtection="1">
      <alignment horizontal="left" vertical="top" wrapText="1"/>
      <protection locked="0"/>
    </xf>
    <xf numFmtId="0" fontId="11" fillId="3" borderId="54" xfId="0" applyFont="1" applyFill="1" applyBorder="1" applyAlignment="1" applyProtection="1">
      <alignment horizontal="left" vertical="top" wrapText="1"/>
      <protection locked="0"/>
    </xf>
    <xf numFmtId="0" fontId="11" fillId="3" borderId="27" xfId="0" applyFont="1" applyFill="1" applyBorder="1" applyAlignment="1" applyProtection="1">
      <alignment horizontal="left" vertical="top" wrapText="1"/>
      <protection locked="0"/>
    </xf>
    <xf numFmtId="0" fontId="11" fillId="3" borderId="55" xfId="0" applyFont="1" applyFill="1" applyBorder="1" applyAlignment="1" applyProtection="1">
      <alignment horizontal="left" vertical="top" wrapText="1"/>
      <protection locked="0"/>
    </xf>
    <xf numFmtId="0" fontId="72" fillId="0" borderId="0" xfId="0" applyFont="1" applyBorder="1" applyAlignment="1" applyProtection="1">
      <alignment horizontal="center" vertical="top" wrapText="1"/>
    </xf>
    <xf numFmtId="0" fontId="72" fillId="0" borderId="0" xfId="0" applyFont="1" applyBorder="1" applyAlignment="1" applyProtection="1">
      <alignment horizontal="center" vertical="top"/>
    </xf>
    <xf numFmtId="0" fontId="72" fillId="0" borderId="82" xfId="0" applyFont="1" applyBorder="1" applyAlignment="1" applyProtection="1">
      <alignment horizontal="center" vertical="top"/>
    </xf>
    <xf numFmtId="0" fontId="2" fillId="0" borderId="0" xfId="4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49" xfId="0" applyFont="1" applyBorder="1" applyAlignment="1" applyProtection="1">
      <alignment horizontal="left" vertical="center" wrapText="1"/>
    </xf>
    <xf numFmtId="0" fontId="71" fillId="0" borderId="0" xfId="0" applyFont="1" applyBorder="1" applyAlignment="1" applyProtection="1">
      <alignment horizontal="center" vertical="top" wrapText="1"/>
    </xf>
    <xf numFmtId="2" fontId="71" fillId="0" borderId="30" xfId="0" applyNumberFormat="1" applyFont="1" applyBorder="1" applyAlignment="1" applyProtection="1">
      <alignment horizontal="center" vertical="center" wrapText="1"/>
    </xf>
    <xf numFmtId="0" fontId="71" fillId="0" borderId="43" xfId="0" applyFont="1" applyBorder="1" applyAlignment="1" applyProtection="1">
      <alignment horizontal="center" vertical="center" wrapText="1"/>
    </xf>
    <xf numFmtId="14" fontId="0" fillId="3" borderId="50" xfId="0" applyNumberFormat="1" applyFill="1" applyBorder="1" applyAlignment="1" applyProtection="1">
      <alignment horizontal="left"/>
      <protection locked="0"/>
    </xf>
    <xf numFmtId="14" fontId="0" fillId="3" borderId="51" xfId="0" applyNumberFormat="1" applyFill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center"/>
    </xf>
    <xf numFmtId="0" fontId="2" fillId="0" borderId="0" xfId="4" applyBorder="1" applyAlignment="1" applyProtection="1">
      <alignment horizontal="left"/>
    </xf>
    <xf numFmtId="0" fontId="34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4" fillId="7" borderId="31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/>
    </xf>
    <xf numFmtId="0" fontId="4" fillId="7" borderId="56" xfId="0" applyFont="1" applyFill="1" applyBorder="1" applyAlignment="1" applyProtection="1">
      <alignment horizontal="center"/>
    </xf>
    <xf numFmtId="0" fontId="75" fillId="0" borderId="0" xfId="0" applyFont="1" applyBorder="1" applyAlignment="1" applyProtection="1">
      <alignment horizontal="center" wrapText="1"/>
    </xf>
    <xf numFmtId="0" fontId="75" fillId="0" borderId="88" xfId="0" applyFont="1" applyBorder="1" applyAlignment="1" applyProtection="1">
      <alignment horizontal="center" wrapText="1"/>
    </xf>
    <xf numFmtId="0" fontId="35" fillId="0" borderId="95" xfId="6" applyFont="1" applyFill="1" applyBorder="1" applyAlignment="1" applyProtection="1">
      <alignment horizontal="center" vertical="center"/>
    </xf>
    <xf numFmtId="0" fontId="35" fillId="0" borderId="0" xfId="6" applyFont="1" applyFill="1" applyBorder="1" applyAlignment="1" applyProtection="1">
      <alignment horizontal="center" vertical="center"/>
    </xf>
    <xf numFmtId="0" fontId="5" fillId="0" borderId="0" xfId="6" applyFont="1" applyFill="1" applyBorder="1" applyAlignment="1" applyProtection="1">
      <alignment horizontal="left"/>
    </xf>
    <xf numFmtId="0" fontId="66" fillId="0" borderId="9" xfId="6" applyFont="1" applyFill="1" applyBorder="1" applyAlignment="1" applyProtection="1">
      <alignment horizontal="left" wrapText="1" indent="1"/>
    </xf>
    <xf numFmtId="0" fontId="66" fillId="0" borderId="0" xfId="6" applyFont="1" applyFill="1" applyBorder="1" applyAlignment="1" applyProtection="1">
      <alignment horizontal="left" wrapText="1" indent="1"/>
    </xf>
    <xf numFmtId="0" fontId="66" fillId="0" borderId="10" xfId="6" applyFont="1" applyFill="1" applyBorder="1" applyAlignment="1" applyProtection="1">
      <alignment horizontal="left" wrapText="1" indent="1"/>
    </xf>
    <xf numFmtId="0" fontId="73" fillId="0" borderId="11" xfId="6" applyFont="1" applyFill="1" applyBorder="1" applyAlignment="1" applyProtection="1">
      <alignment horizontal="left"/>
    </xf>
    <xf numFmtId="0" fontId="73" fillId="0" borderId="4" xfId="6" applyFont="1" applyFill="1" applyBorder="1" applyAlignment="1" applyProtection="1">
      <alignment horizontal="left"/>
    </xf>
    <xf numFmtId="0" fontId="73" fillId="0" borderId="12" xfId="6" applyFont="1" applyFill="1" applyBorder="1" applyAlignment="1" applyProtection="1">
      <alignment horizontal="left"/>
    </xf>
    <xf numFmtId="0" fontId="2" fillId="0" borderId="0" xfId="4" applyFill="1" applyBorder="1" applyAlignment="1" applyProtection="1">
      <alignment horizontal="left"/>
      <protection locked="0"/>
    </xf>
    <xf numFmtId="0" fontId="80" fillId="0" borderId="7" xfId="6" applyFont="1" applyFill="1" applyBorder="1" applyAlignment="1" applyProtection="1">
      <alignment horizontal="center" wrapText="1"/>
    </xf>
    <xf numFmtId="0" fontId="80" fillId="0" borderId="8" xfId="6" applyFont="1" applyFill="1" applyBorder="1" applyAlignment="1" applyProtection="1">
      <alignment horizontal="center"/>
    </xf>
    <xf numFmtId="0" fontId="80" fillId="0" borderId="0" xfId="6" applyFont="1" applyFill="1" applyBorder="1" applyAlignment="1" applyProtection="1">
      <alignment horizontal="center"/>
    </xf>
    <xf numFmtId="0" fontId="80" fillId="0" borderId="10" xfId="6" applyFont="1" applyFill="1" applyBorder="1" applyAlignment="1" applyProtection="1">
      <alignment horizontal="center"/>
    </xf>
    <xf numFmtId="0" fontId="66" fillId="0" borderId="0" xfId="6" applyFont="1" applyFill="1" applyBorder="1" applyAlignment="1" applyProtection="1">
      <alignment horizontal="left" wrapText="1"/>
    </xf>
    <xf numFmtId="0" fontId="0" fillId="0" borderId="57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76" fillId="0" borderId="60" xfId="0" applyFont="1" applyBorder="1" applyAlignment="1" applyProtection="1">
      <alignment horizontal="center" vertical="center"/>
    </xf>
    <xf numFmtId="0" fontId="76" fillId="0" borderId="62" xfId="0" applyFont="1" applyBorder="1" applyAlignment="1" applyProtection="1">
      <alignment horizontal="center" vertical="center"/>
    </xf>
    <xf numFmtId="0" fontId="76" fillId="0" borderId="63" xfId="0" applyFont="1" applyBorder="1" applyAlignment="1" applyProtection="1">
      <alignment horizontal="center" vertical="center"/>
    </xf>
    <xf numFmtId="0" fontId="76" fillId="0" borderId="45" xfId="0" applyFont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/>
      <protection locked="0"/>
    </xf>
    <xf numFmtId="0" fontId="0" fillId="3" borderId="66" xfId="0" applyFill="1" applyBorder="1" applyAlignment="1" applyProtection="1">
      <alignment horizontal="center"/>
      <protection locked="0"/>
    </xf>
    <xf numFmtId="0" fontId="0" fillId="3" borderId="67" xfId="0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 vertical="center"/>
    </xf>
    <xf numFmtId="0" fontId="78" fillId="0" borderId="60" xfId="0" applyFont="1" applyBorder="1" applyAlignment="1" applyProtection="1">
      <alignment horizontal="center" vertical="center" wrapText="1"/>
    </xf>
    <xf numFmtId="0" fontId="78" fillId="0" borderId="61" xfId="0" applyFont="1" applyBorder="1" applyAlignment="1" applyProtection="1">
      <alignment horizontal="center" vertical="center" wrapText="1"/>
    </xf>
    <xf numFmtId="0" fontId="78" fillId="0" borderId="62" xfId="0" applyFont="1" applyBorder="1" applyAlignment="1" applyProtection="1">
      <alignment horizontal="center" vertical="center" wrapText="1"/>
    </xf>
    <xf numFmtId="0" fontId="78" fillId="0" borderId="63" xfId="0" applyFont="1" applyBorder="1" applyAlignment="1" applyProtection="1">
      <alignment horizontal="center" vertical="center" wrapText="1"/>
    </xf>
    <xf numFmtId="0" fontId="78" fillId="0" borderId="44" xfId="0" applyFont="1" applyBorder="1" applyAlignment="1" applyProtection="1">
      <alignment horizontal="center" vertical="center" wrapText="1"/>
    </xf>
    <xf numFmtId="0" fontId="78" fillId="0" borderId="45" xfId="0" applyFont="1" applyBorder="1" applyAlignment="1" applyProtection="1">
      <alignment horizontal="center" vertical="center" wrapText="1"/>
    </xf>
    <xf numFmtId="0" fontId="0" fillId="3" borderId="65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3" borderId="75" xfId="0" applyFill="1" applyBorder="1" applyAlignment="1" applyProtection="1">
      <alignment horizontal="center"/>
      <protection locked="0"/>
    </xf>
    <xf numFmtId="0" fontId="0" fillId="3" borderId="76" xfId="0" applyFill="1" applyBorder="1" applyAlignment="1" applyProtection="1">
      <alignment horizontal="center"/>
      <protection locked="0"/>
    </xf>
    <xf numFmtId="0" fontId="0" fillId="3" borderId="77" xfId="0" applyFill="1" applyBorder="1" applyAlignment="1" applyProtection="1">
      <alignment horizont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 wrapText="1"/>
    </xf>
    <xf numFmtId="0" fontId="0" fillId="0" borderId="44" xfId="0" applyBorder="1" applyAlignment="1" applyProtection="1">
      <alignment horizontal="center" wrapText="1"/>
    </xf>
    <xf numFmtId="0" fontId="0" fillId="0" borderId="45" xfId="0" applyBorder="1" applyAlignment="1" applyProtection="1">
      <alignment horizontal="center" wrapText="1"/>
    </xf>
    <xf numFmtId="0" fontId="0" fillId="0" borderId="31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0" fontId="0" fillId="3" borderId="80" xfId="0" applyFill="1" applyBorder="1" applyAlignment="1" applyProtection="1">
      <alignment horizontal="center"/>
      <protection locked="0"/>
    </xf>
    <xf numFmtId="0" fontId="0" fillId="3" borderId="81" xfId="0" applyFill="1" applyBorder="1" applyAlignment="1" applyProtection="1">
      <alignment horizontal="center"/>
      <protection locked="0"/>
    </xf>
    <xf numFmtId="0" fontId="76" fillId="0" borderId="71" xfId="0" applyFont="1" applyBorder="1" applyAlignment="1" applyProtection="1">
      <alignment horizontal="center" vertical="center"/>
    </xf>
    <xf numFmtId="0" fontId="76" fillId="0" borderId="72" xfId="0" applyFont="1" applyBorder="1" applyAlignment="1" applyProtection="1">
      <alignment horizontal="center" vertical="center"/>
    </xf>
    <xf numFmtId="0" fontId="76" fillId="0" borderId="73" xfId="0" applyFont="1" applyBorder="1" applyAlignment="1" applyProtection="1">
      <alignment horizontal="center" vertical="center"/>
    </xf>
    <xf numFmtId="0" fontId="76" fillId="0" borderId="63" xfId="0" applyFont="1" applyBorder="1" applyAlignment="1" applyProtection="1">
      <alignment horizontal="center" vertical="center" wrapText="1"/>
    </xf>
    <xf numFmtId="0" fontId="76" fillId="0" borderId="44" xfId="0" applyFont="1" applyBorder="1" applyAlignment="1" applyProtection="1">
      <alignment horizontal="center" vertical="center" wrapText="1"/>
    </xf>
    <xf numFmtId="0" fontId="76" fillId="0" borderId="43" xfId="0" applyFont="1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wrapText="1"/>
    </xf>
    <xf numFmtId="0" fontId="0" fillId="0" borderId="43" xfId="0" applyBorder="1" applyAlignment="1" applyProtection="1">
      <alignment horizontal="center" wrapText="1"/>
    </xf>
    <xf numFmtId="0" fontId="0" fillId="0" borderId="7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79" fillId="0" borderId="0" xfId="0" applyFont="1" applyBorder="1" applyAlignment="1" applyProtection="1">
      <alignment horizontal="center" wrapText="1"/>
    </xf>
    <xf numFmtId="0" fontId="79" fillId="0" borderId="0" xfId="0" applyFont="1" applyBorder="1" applyAlignment="1" applyProtection="1">
      <alignment horizontal="center"/>
    </xf>
    <xf numFmtId="0" fontId="79" fillId="0" borderId="2" xfId="0" applyFont="1" applyBorder="1" applyAlignment="1" applyProtection="1">
      <alignment horizontal="center"/>
    </xf>
    <xf numFmtId="0" fontId="76" fillId="0" borderId="60" xfId="0" applyFont="1" applyBorder="1" applyAlignment="1" applyProtection="1">
      <alignment horizontal="center" vertical="center" wrapText="1"/>
    </xf>
    <xf numFmtId="0" fontId="76" fillId="0" borderId="61" xfId="0" applyFont="1" applyBorder="1" applyAlignment="1" applyProtection="1">
      <alignment horizontal="center" vertical="center" wrapText="1"/>
    </xf>
    <xf numFmtId="0" fontId="76" fillId="0" borderId="69" xfId="0" applyFont="1" applyBorder="1" applyAlignment="1" applyProtection="1">
      <alignment horizontal="center" vertical="center" wrapText="1"/>
    </xf>
    <xf numFmtId="0" fontId="76" fillId="0" borderId="70" xfId="0" applyFont="1" applyBorder="1" applyAlignment="1" applyProtection="1">
      <alignment horizontal="center" vertical="center" wrapText="1"/>
    </xf>
    <xf numFmtId="0" fontId="76" fillId="0" borderId="62" xfId="0" applyFont="1" applyBorder="1" applyAlignment="1" applyProtection="1">
      <alignment horizontal="center" vertical="center" wrapText="1"/>
    </xf>
    <xf numFmtId="0" fontId="76" fillId="0" borderId="45" xfId="0" applyFont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left"/>
    </xf>
    <xf numFmtId="0" fontId="4" fillId="7" borderId="0" xfId="0" applyFont="1" applyFill="1" applyAlignment="1" applyProtection="1">
      <alignment horizontal="center"/>
    </xf>
    <xf numFmtId="0" fontId="7" fillId="7" borderId="0" xfId="0" applyFont="1" applyFill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35" fillId="0" borderId="22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35" fillId="0" borderId="6" xfId="6" applyFont="1" applyFill="1" applyBorder="1" applyAlignment="1" applyProtection="1">
      <alignment horizontal="center" vertical="center"/>
    </xf>
    <xf numFmtId="0" fontId="35" fillId="0" borderId="7" xfId="6" applyFont="1" applyFill="1" applyBorder="1" applyAlignment="1" applyProtection="1">
      <alignment horizontal="center" vertical="center"/>
    </xf>
    <xf numFmtId="0" fontId="35" fillId="0" borderId="8" xfId="6" applyFont="1" applyFill="1" applyBorder="1" applyAlignment="1" applyProtection="1">
      <alignment horizontal="center" vertical="center"/>
    </xf>
    <xf numFmtId="0" fontId="35" fillId="0" borderId="9" xfId="6" applyFont="1" applyFill="1" applyBorder="1" applyAlignment="1" applyProtection="1">
      <alignment horizontal="center" vertical="center"/>
    </xf>
    <xf numFmtId="0" fontId="35" fillId="0" borderId="10" xfId="6" applyFont="1" applyFill="1" applyBorder="1" applyAlignment="1" applyProtection="1">
      <alignment horizontal="center" vertical="center"/>
    </xf>
    <xf numFmtId="0" fontId="4" fillId="0" borderId="0" xfId="6" applyFont="1" applyFill="1" applyBorder="1" applyAlignment="1" applyProtection="1">
      <alignment horizontal="left"/>
    </xf>
    <xf numFmtId="0" fontId="37" fillId="0" borderId="0" xfId="6" applyFont="1" applyFill="1" applyBorder="1" applyAlignment="1" applyProtection="1">
      <alignment horizontal="center" vertical="top" textRotation="27"/>
    </xf>
    <xf numFmtId="0" fontId="18" fillId="0" borderId="0" xfId="6" applyFont="1" applyFill="1" applyBorder="1" applyAlignment="1" applyProtection="1">
      <alignment horizontal="center" vertical="top" textRotation="27"/>
    </xf>
    <xf numFmtId="0" fontId="5" fillId="0" borderId="0" xfId="6" applyFont="1" applyFill="1" applyBorder="1" applyAlignment="1" applyProtection="1">
      <alignment horizontal="center" wrapText="1"/>
    </xf>
    <xf numFmtId="0" fontId="74" fillId="0" borderId="0" xfId="6" applyFont="1" applyFill="1" applyBorder="1" applyAlignment="1" applyProtection="1">
      <alignment horizontal="center" vertical="center" wrapText="1"/>
    </xf>
    <xf numFmtId="0" fontId="35" fillId="0" borderId="9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9">
    <cellStyle name="Comma" xfId="1" builtinId="3"/>
    <cellStyle name="Comma 2" xfId="2" xr:uid="{00000000-0005-0000-0000-000001000000}"/>
    <cellStyle name="Comma_SERWKSHT" xfId="3" xr:uid="{00000000-0005-0000-0000-000002000000}"/>
    <cellStyle name="Hyperlink" xfId="4" builtinId="8"/>
    <cellStyle name="Normal" xfId="0" builtinId="0"/>
    <cellStyle name="Normal 2" xfId="5" xr:uid="{00000000-0005-0000-0000-000005000000}"/>
    <cellStyle name="Normal 3" xfId="6" xr:uid="{00000000-0005-0000-0000-000006000000}"/>
    <cellStyle name="Normal_SWRWKSHT" xfId="7" xr:uid="{00000000-0005-0000-0000-000007000000}"/>
    <cellStyle name="Percent" xfId="8" builtinId="5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11</xdr:row>
      <xdr:rowOff>28575</xdr:rowOff>
    </xdr:from>
    <xdr:to>
      <xdr:col>8</xdr:col>
      <xdr:colOff>209550</xdr:colOff>
      <xdr:row>14</xdr:row>
      <xdr:rowOff>28575</xdr:rowOff>
    </xdr:to>
    <xdr:sp macro="" textlink="">
      <xdr:nvSpPr>
        <xdr:cNvPr id="24828" name="Line 4">
          <a:extLst>
            <a:ext uri="{FF2B5EF4-FFF2-40B4-BE49-F238E27FC236}">
              <a16:creationId xmlns:a16="http://schemas.microsoft.com/office/drawing/2014/main" id="{00000000-0008-0000-0600-0000FC600000}"/>
            </a:ext>
          </a:extLst>
        </xdr:cNvPr>
        <xdr:cNvSpPr>
          <a:spLocks noChangeShapeType="1"/>
        </xdr:cNvSpPr>
      </xdr:nvSpPr>
      <xdr:spPr bwMode="auto">
        <a:xfrm flipH="1">
          <a:off x="4229100" y="1819275"/>
          <a:ext cx="514350" cy="4857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11</xdr:row>
      <xdr:rowOff>38100</xdr:rowOff>
    </xdr:from>
    <xdr:to>
      <xdr:col>9</xdr:col>
      <xdr:colOff>190500</xdr:colOff>
      <xdr:row>11</xdr:row>
      <xdr:rowOff>38100</xdr:rowOff>
    </xdr:to>
    <xdr:sp macro="" textlink="">
      <xdr:nvSpPr>
        <xdr:cNvPr id="24829" name="Line 5">
          <a:extLst>
            <a:ext uri="{FF2B5EF4-FFF2-40B4-BE49-F238E27FC236}">
              <a16:creationId xmlns:a16="http://schemas.microsoft.com/office/drawing/2014/main" id="{00000000-0008-0000-0600-0000FD600000}"/>
            </a:ext>
          </a:extLst>
        </xdr:cNvPr>
        <xdr:cNvSpPr>
          <a:spLocks noChangeShapeType="1"/>
        </xdr:cNvSpPr>
      </xdr:nvSpPr>
      <xdr:spPr bwMode="auto">
        <a:xfrm>
          <a:off x="4752975" y="18288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10</xdr:col>
      <xdr:colOff>28575</xdr:colOff>
      <xdr:row>13</xdr:row>
      <xdr:rowOff>152400</xdr:rowOff>
    </xdr:to>
    <xdr:sp macro="" textlink="">
      <xdr:nvSpPr>
        <xdr:cNvPr id="24830" name="Line 6">
          <a:extLst>
            <a:ext uri="{FF2B5EF4-FFF2-40B4-BE49-F238E27FC236}">
              <a16:creationId xmlns:a16="http://schemas.microsoft.com/office/drawing/2014/main" id="{00000000-0008-0000-0600-0000FE600000}"/>
            </a:ext>
          </a:extLst>
        </xdr:cNvPr>
        <xdr:cNvSpPr>
          <a:spLocks noChangeShapeType="1"/>
        </xdr:cNvSpPr>
      </xdr:nvSpPr>
      <xdr:spPr bwMode="auto">
        <a:xfrm>
          <a:off x="5343525" y="1819275"/>
          <a:ext cx="438150" cy="4476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11</xdr:row>
      <xdr:rowOff>28575</xdr:rowOff>
    </xdr:from>
    <xdr:to>
      <xdr:col>8</xdr:col>
      <xdr:colOff>200025</xdr:colOff>
      <xdr:row>14</xdr:row>
      <xdr:rowOff>38100</xdr:rowOff>
    </xdr:to>
    <xdr:sp macro="" textlink="">
      <xdr:nvSpPr>
        <xdr:cNvPr id="24831" name="Line 7">
          <a:extLst>
            <a:ext uri="{FF2B5EF4-FFF2-40B4-BE49-F238E27FC236}">
              <a16:creationId xmlns:a16="http://schemas.microsoft.com/office/drawing/2014/main" id="{00000000-0008-0000-0600-0000FF600000}"/>
            </a:ext>
          </a:extLst>
        </xdr:cNvPr>
        <xdr:cNvSpPr>
          <a:spLocks noChangeShapeType="1"/>
        </xdr:cNvSpPr>
      </xdr:nvSpPr>
      <xdr:spPr bwMode="auto">
        <a:xfrm flipH="1">
          <a:off x="3714750" y="18192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11</xdr:col>
      <xdr:colOff>28575</xdr:colOff>
      <xdr:row>13</xdr:row>
      <xdr:rowOff>161925</xdr:rowOff>
    </xdr:to>
    <xdr:sp macro="" textlink="">
      <xdr:nvSpPr>
        <xdr:cNvPr id="24832" name="Line 8">
          <a:extLst>
            <a:ext uri="{FF2B5EF4-FFF2-40B4-BE49-F238E27FC236}">
              <a16:creationId xmlns:a16="http://schemas.microsoft.com/office/drawing/2014/main" id="{00000000-0008-0000-0600-000000610000}"/>
            </a:ext>
          </a:extLst>
        </xdr:cNvPr>
        <xdr:cNvSpPr>
          <a:spLocks noChangeShapeType="1"/>
        </xdr:cNvSpPr>
      </xdr:nvSpPr>
      <xdr:spPr bwMode="auto">
        <a:xfrm>
          <a:off x="5343525" y="1819275"/>
          <a:ext cx="1047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161925</xdr:rowOff>
    </xdr:from>
    <xdr:to>
      <xdr:col>11</xdr:col>
      <xdr:colOff>28575</xdr:colOff>
      <xdr:row>14</xdr:row>
      <xdr:rowOff>38100</xdr:rowOff>
    </xdr:to>
    <xdr:sp macro="" textlink="">
      <xdr:nvSpPr>
        <xdr:cNvPr id="24833" name="Line 9">
          <a:extLst>
            <a:ext uri="{FF2B5EF4-FFF2-40B4-BE49-F238E27FC236}">
              <a16:creationId xmlns:a16="http://schemas.microsoft.com/office/drawing/2014/main" id="{00000000-0008-0000-0600-000001610000}"/>
            </a:ext>
          </a:extLst>
        </xdr:cNvPr>
        <xdr:cNvSpPr>
          <a:spLocks noChangeShapeType="1"/>
        </xdr:cNvSpPr>
      </xdr:nvSpPr>
      <xdr:spPr bwMode="auto">
        <a:xfrm flipV="1">
          <a:off x="3705225" y="2276475"/>
          <a:ext cx="268605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10</xdr:row>
      <xdr:rowOff>9525</xdr:rowOff>
    </xdr:from>
    <xdr:to>
      <xdr:col>9</xdr:col>
      <xdr:colOff>219075</xdr:colOff>
      <xdr:row>11</xdr:row>
      <xdr:rowOff>28575</xdr:rowOff>
    </xdr:to>
    <xdr:sp macro="" textlink="">
      <xdr:nvSpPr>
        <xdr:cNvPr id="24834" name="AutoShape 11">
          <a:extLst>
            <a:ext uri="{FF2B5EF4-FFF2-40B4-BE49-F238E27FC236}">
              <a16:creationId xmlns:a16="http://schemas.microsoft.com/office/drawing/2014/main" id="{00000000-0008-0000-0600-000002610000}"/>
            </a:ext>
          </a:extLst>
        </xdr:cNvPr>
        <xdr:cNvSpPr>
          <a:spLocks noChangeArrowheads="1"/>
        </xdr:cNvSpPr>
      </xdr:nvSpPr>
      <xdr:spPr bwMode="auto">
        <a:xfrm>
          <a:off x="5314950" y="1638300"/>
          <a:ext cx="47625" cy="180975"/>
        </a:xfrm>
        <a:prstGeom prst="leftArrowCallout">
          <a:avLst>
            <a:gd name="adj1" fmla="val 95000"/>
            <a:gd name="adj2" fmla="val 90004"/>
            <a:gd name="adj3" fmla="val 16667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485775</xdr:colOff>
      <xdr:row>13</xdr:row>
      <xdr:rowOff>19050</xdr:rowOff>
    </xdr:from>
    <xdr:to>
      <xdr:col>9</xdr:col>
      <xdr:colOff>504825</xdr:colOff>
      <xdr:row>13</xdr:row>
      <xdr:rowOff>28575</xdr:rowOff>
    </xdr:to>
    <xdr:cxnSp macro="">
      <xdr:nvCxnSpPr>
        <xdr:cNvPr id="24835" name="Straight Arrow Connector 12">
          <a:extLst>
            <a:ext uri="{FF2B5EF4-FFF2-40B4-BE49-F238E27FC236}">
              <a16:creationId xmlns:a16="http://schemas.microsoft.com/office/drawing/2014/main" id="{00000000-0008-0000-0600-000003610000}"/>
            </a:ext>
          </a:extLst>
        </xdr:cNvPr>
        <xdr:cNvCxnSpPr>
          <a:cxnSpLocks noChangeShapeType="1"/>
        </xdr:cNvCxnSpPr>
      </xdr:nvCxnSpPr>
      <xdr:spPr bwMode="auto">
        <a:xfrm>
          <a:off x="4410075" y="2133600"/>
          <a:ext cx="12382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333375</xdr:colOff>
      <xdr:row>11</xdr:row>
      <xdr:rowOff>0</xdr:rowOff>
    </xdr:from>
    <xdr:to>
      <xdr:col>10</xdr:col>
      <xdr:colOff>333375</xdr:colOff>
      <xdr:row>13</xdr:row>
      <xdr:rowOff>152400</xdr:rowOff>
    </xdr:to>
    <xdr:cxnSp macro="">
      <xdr:nvCxnSpPr>
        <xdr:cNvPr id="24836" name="Straight Arrow Connector 11">
          <a:extLst>
            <a:ext uri="{FF2B5EF4-FFF2-40B4-BE49-F238E27FC236}">
              <a16:creationId xmlns:a16="http://schemas.microsoft.com/office/drawing/2014/main" id="{00000000-0008-0000-0600-00000461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5848350" y="2028825"/>
          <a:ext cx="476250" cy="0"/>
        </a:xfrm>
        <a:prstGeom prst="straightConnector1">
          <a:avLst/>
        </a:prstGeom>
        <a:noFill/>
        <a:ln w="0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workbookViewId="0">
      <selection activeCell="F11" sqref="F11"/>
    </sheetView>
  </sheetViews>
  <sheetFormatPr defaultRowHeight="12.75" customHeight="1" x14ac:dyDescent="0.2"/>
  <sheetData>
    <row r="1" spans="1:9" ht="12.75" customHeight="1" x14ac:dyDescent="0.2">
      <c r="A1" s="3"/>
      <c r="B1" s="465" t="s">
        <v>214</v>
      </c>
      <c r="C1" s="465"/>
      <c r="D1" s="465"/>
      <c r="E1" s="465"/>
      <c r="F1" s="465"/>
      <c r="G1" s="465"/>
      <c r="H1" s="465"/>
      <c r="I1" s="465"/>
    </row>
    <row r="2" spans="1:9" ht="12.75" customHeight="1" x14ac:dyDescent="0.2">
      <c r="A2" s="3"/>
      <c r="B2" s="465"/>
      <c r="C2" s="465"/>
      <c r="D2" s="465"/>
      <c r="E2" s="465"/>
      <c r="F2" s="465"/>
      <c r="G2" s="465"/>
      <c r="H2" s="465"/>
      <c r="I2" s="465"/>
    </row>
    <row r="3" spans="1:9" ht="12.75" customHeight="1" x14ac:dyDescent="0.4">
      <c r="A3" s="3"/>
      <c r="B3" s="3"/>
      <c r="C3" s="382"/>
      <c r="D3" s="382"/>
      <c r="E3" s="382"/>
      <c r="F3" s="382"/>
      <c r="G3" s="382"/>
      <c r="H3" s="382"/>
      <c r="I3" s="382"/>
    </row>
    <row r="4" spans="1:9" ht="12.75" customHeight="1" x14ac:dyDescent="0.2">
      <c r="A4" s="3"/>
      <c r="B4" s="3"/>
      <c r="C4" s="3"/>
      <c r="D4" s="383"/>
      <c r="E4" s="383"/>
      <c r="F4" s="3"/>
      <c r="G4" s="3"/>
      <c r="H4" s="3"/>
      <c r="I4" s="3"/>
    </row>
    <row r="5" spans="1:9" ht="12.75" customHeight="1" x14ac:dyDescent="0.2">
      <c r="A5" s="3"/>
      <c r="B5" s="3"/>
      <c r="C5" s="3"/>
      <c r="D5" s="384" t="s">
        <v>209</v>
      </c>
      <c r="E5" s="384"/>
      <c r="F5" s="385">
        <f>SUMMARY!K18</f>
        <v>0</v>
      </c>
      <c r="G5" s="3"/>
      <c r="H5" s="3"/>
      <c r="I5" s="386"/>
    </row>
    <row r="6" spans="1:9" ht="12.75" customHeight="1" x14ac:dyDescent="0.2">
      <c r="A6" s="3"/>
      <c r="B6" s="3"/>
      <c r="C6" s="3"/>
      <c r="D6" s="384"/>
      <c r="E6" s="384"/>
      <c r="F6" s="3"/>
      <c r="G6" s="3"/>
      <c r="H6" s="3"/>
      <c r="I6" s="386"/>
    </row>
    <row r="7" spans="1:9" ht="12.75" customHeight="1" x14ac:dyDescent="0.2">
      <c r="A7" s="3"/>
      <c r="B7" s="3"/>
      <c r="C7" s="3"/>
      <c r="D7" s="384" t="s">
        <v>210</v>
      </c>
      <c r="E7" s="384"/>
      <c r="F7" s="385">
        <f>SUMMARY!K19</f>
        <v>0</v>
      </c>
      <c r="G7" s="3"/>
      <c r="H7" s="3"/>
      <c r="I7" s="386"/>
    </row>
    <row r="8" spans="1:9" ht="12.75" customHeight="1" x14ac:dyDescent="0.2">
      <c r="A8" s="3"/>
      <c r="B8" s="3"/>
      <c r="C8" s="3"/>
      <c r="D8" s="384"/>
      <c r="E8" s="384"/>
      <c r="F8" s="3"/>
      <c r="G8" s="3"/>
      <c r="H8" s="3"/>
      <c r="I8" s="386"/>
    </row>
    <row r="9" spans="1:9" ht="12.75" customHeight="1" x14ac:dyDescent="0.2">
      <c r="A9" s="3"/>
      <c r="B9" s="3"/>
      <c r="C9" s="44"/>
      <c r="D9" s="388" t="s">
        <v>217</v>
      </c>
      <c r="E9" s="403"/>
      <c r="F9" s="390"/>
      <c r="G9" s="3"/>
      <c r="H9" s="3"/>
      <c r="I9" s="386"/>
    </row>
    <row r="10" spans="1:9" ht="12.75" customHeight="1" x14ac:dyDescent="0.2">
      <c r="A10" s="3"/>
      <c r="B10" s="3"/>
      <c r="C10" s="3"/>
      <c r="D10" s="384"/>
      <c r="E10" s="384"/>
      <c r="F10" s="3"/>
      <c r="G10" s="3"/>
      <c r="H10" s="3"/>
      <c r="I10" s="386"/>
    </row>
    <row r="11" spans="1:9" ht="12.75" customHeight="1" x14ac:dyDescent="0.2">
      <c r="A11" s="3"/>
      <c r="B11" s="3"/>
      <c r="C11" s="3"/>
      <c r="D11" s="384" t="s">
        <v>211</v>
      </c>
      <c r="E11" s="384"/>
      <c r="F11" s="385">
        <f>SUMMARY!K29</f>
        <v>0</v>
      </c>
      <c r="G11" s="3"/>
      <c r="H11" s="3"/>
      <c r="I11" s="386"/>
    </row>
    <row r="12" spans="1:9" ht="12.75" customHeight="1" x14ac:dyDescent="0.2">
      <c r="A12" s="3"/>
      <c r="B12" s="3"/>
      <c r="C12" s="3"/>
      <c r="D12" s="384"/>
      <c r="E12" s="384"/>
      <c r="F12" s="3"/>
      <c r="G12" s="3"/>
      <c r="H12" s="3"/>
      <c r="I12" s="386"/>
    </row>
    <row r="13" spans="1:9" ht="12.75" customHeight="1" x14ac:dyDescent="0.2">
      <c r="A13" s="3"/>
      <c r="B13" s="3"/>
      <c r="C13" s="3"/>
      <c r="D13" s="384" t="s">
        <v>212</v>
      </c>
      <c r="E13" s="384"/>
      <c r="F13" s="385">
        <f>SUMMARY!K35</f>
        <v>0</v>
      </c>
      <c r="G13" s="3"/>
      <c r="H13" s="3"/>
      <c r="I13" s="386"/>
    </row>
    <row r="14" spans="1:9" ht="12.75" customHeight="1" x14ac:dyDescent="0.2">
      <c r="A14" s="3"/>
      <c r="B14" s="3"/>
      <c r="C14" s="3"/>
      <c r="D14" s="384"/>
      <c r="E14" s="384"/>
      <c r="F14" s="387"/>
      <c r="G14" s="3"/>
      <c r="H14" s="3"/>
      <c r="I14" s="386"/>
    </row>
    <row r="15" spans="1:9" ht="12.75" customHeight="1" x14ac:dyDescent="0.2">
      <c r="A15" s="3"/>
      <c r="B15" s="3"/>
      <c r="C15" s="3"/>
      <c r="D15" s="384" t="s">
        <v>219</v>
      </c>
      <c r="E15" s="384"/>
      <c r="F15" s="385">
        <f>SUMMARY!K54</f>
        <v>0</v>
      </c>
      <c r="G15" s="3"/>
      <c r="H15" s="3"/>
      <c r="I15" s="386"/>
    </row>
    <row r="16" spans="1:9" ht="12.75" customHeight="1" x14ac:dyDescent="0.2">
      <c r="A16" s="3"/>
      <c r="B16" s="3"/>
      <c r="C16" s="3"/>
      <c r="D16" s="391"/>
      <c r="E16" s="392"/>
      <c r="F16" s="9"/>
      <c r="G16" s="3"/>
      <c r="H16" s="3"/>
      <c r="I16" s="391"/>
    </row>
    <row r="17" spans="1:9" ht="12.75" customHeight="1" x14ac:dyDescent="0.2">
      <c r="A17" s="3"/>
      <c r="B17" s="3"/>
      <c r="C17" s="3"/>
      <c r="D17" s="384" t="s">
        <v>220</v>
      </c>
      <c r="E17" s="384"/>
      <c r="F17" s="385">
        <f>SUMMARY!K47</f>
        <v>0</v>
      </c>
      <c r="G17" s="3"/>
      <c r="H17" s="3"/>
      <c r="I17" s="393"/>
    </row>
    <row r="18" spans="1:9" ht="12.75" customHeight="1" x14ac:dyDescent="0.2">
      <c r="A18" s="3"/>
      <c r="B18" s="3"/>
      <c r="C18" s="3"/>
      <c r="D18" s="383"/>
      <c r="E18" s="383"/>
      <c r="F18" s="3"/>
      <c r="G18" s="3"/>
      <c r="H18" s="3"/>
      <c r="I18" s="383"/>
    </row>
    <row r="19" spans="1:9" ht="12.75" customHeight="1" x14ac:dyDescent="0.2">
      <c r="A19" s="3"/>
      <c r="B19" s="3"/>
      <c r="C19" s="44"/>
      <c r="D19" s="388" t="s">
        <v>213</v>
      </c>
      <c r="E19" s="389"/>
      <c r="F19" s="390"/>
      <c r="G19" s="175"/>
      <c r="H19" s="394"/>
      <c r="I19" s="384"/>
    </row>
    <row r="20" spans="1:9" ht="12.75" customHeight="1" x14ac:dyDescent="0.2">
      <c r="A20" s="3"/>
      <c r="B20" s="3"/>
      <c r="C20" s="3"/>
      <c r="D20" s="384"/>
      <c r="E20" s="384"/>
      <c r="F20" s="3"/>
      <c r="G20" s="3"/>
      <c r="H20" s="3"/>
      <c r="I20" s="3"/>
    </row>
    <row r="21" spans="1:9" ht="12.75" hidden="1" customHeight="1" x14ac:dyDescent="0.2">
      <c r="A21" s="3"/>
      <c r="B21" s="3"/>
      <c r="C21" s="3"/>
      <c r="D21" s="383"/>
      <c r="E21" s="383"/>
      <c r="F21" s="394">
        <f>SUM(F5,F7,F11,F13,F15,F17)</f>
        <v>0</v>
      </c>
      <c r="G21" s="3"/>
      <c r="H21" s="3"/>
      <c r="I21" s="3"/>
    </row>
    <row r="22" spans="1:9" ht="12.75" customHeight="1" x14ac:dyDescent="0.2">
      <c r="A22" s="3"/>
      <c r="B22" s="3"/>
      <c r="C22" s="3"/>
      <c r="D22" s="383"/>
      <c r="E22" s="383"/>
      <c r="F22" s="3"/>
      <c r="G22" s="3"/>
      <c r="H22" s="3"/>
      <c r="I22" s="3"/>
    </row>
    <row r="23" spans="1:9" ht="12.75" customHeight="1" x14ac:dyDescent="0.2">
      <c r="A23" s="3"/>
      <c r="B23" s="3"/>
      <c r="C23" s="3"/>
      <c r="D23" s="383"/>
      <c r="E23" s="383"/>
      <c r="F23" s="3"/>
      <c r="G23" s="3"/>
      <c r="H23" s="3"/>
      <c r="I23" s="3"/>
    </row>
    <row r="24" spans="1:9" ht="12.75" customHeight="1" thickBot="1" x14ac:dyDescent="0.25">
      <c r="A24" s="3"/>
      <c r="B24" s="3"/>
      <c r="C24" s="3"/>
      <c r="D24" s="383"/>
      <c r="E24" s="383"/>
      <c r="F24" s="3"/>
      <c r="G24" s="3"/>
      <c r="H24" s="3"/>
      <c r="I24" s="3"/>
    </row>
    <row r="25" spans="1:9" ht="12.75" customHeight="1" thickTop="1" x14ac:dyDescent="0.2">
      <c r="A25" s="395"/>
      <c r="B25" s="395"/>
      <c r="C25" s="396"/>
      <c r="D25" s="395"/>
      <c r="E25" s="395"/>
      <c r="F25" s="466">
        <f>SUMMARY!K57</f>
        <v>0</v>
      </c>
      <c r="G25" s="3"/>
      <c r="H25" s="3"/>
      <c r="I25" s="3"/>
    </row>
    <row r="26" spans="1:9" ht="12.75" customHeight="1" x14ac:dyDescent="0.2">
      <c r="A26" s="397"/>
      <c r="B26" s="3"/>
      <c r="C26" s="398" t="s">
        <v>207</v>
      </c>
      <c r="D26" s="399"/>
      <c r="E26" s="400" t="s">
        <v>7</v>
      </c>
      <c r="F26" s="467" t="b">
        <v>0</v>
      </c>
      <c r="G26" s="3"/>
      <c r="H26" s="3"/>
      <c r="I26" s="3"/>
    </row>
    <row r="27" spans="1:9" ht="12.75" customHeight="1" thickBot="1" x14ac:dyDescent="0.25">
      <c r="A27" s="395"/>
      <c r="B27" s="395"/>
      <c r="C27" s="401"/>
      <c r="D27" s="395"/>
      <c r="E27" s="395"/>
      <c r="F27" s="468" t="b">
        <v>0</v>
      </c>
      <c r="G27" s="3"/>
      <c r="H27" s="3"/>
      <c r="I27" s="3"/>
    </row>
    <row r="28" spans="1:9" ht="12.75" customHeight="1" thickTop="1" x14ac:dyDescent="0.2">
      <c r="A28" s="402"/>
      <c r="B28" s="402"/>
      <c r="C28" s="402"/>
      <c r="D28" s="402"/>
      <c r="E28" s="402"/>
      <c r="F28" s="402"/>
      <c r="G28" s="402"/>
      <c r="H28" s="402"/>
      <c r="I28" s="402"/>
    </row>
    <row r="29" spans="1:9" ht="12.75" customHeight="1" x14ac:dyDescent="0.2">
      <c r="A29" s="402"/>
      <c r="B29" s="402"/>
      <c r="C29" s="402"/>
      <c r="D29" s="402"/>
      <c r="E29" s="402"/>
      <c r="F29" s="402"/>
      <c r="G29" s="402"/>
      <c r="H29" s="402"/>
      <c r="I29" s="402"/>
    </row>
    <row r="30" spans="1:9" ht="12.75" customHeight="1" x14ac:dyDescent="0.2">
      <c r="A30" s="402"/>
      <c r="B30" s="402"/>
      <c r="C30" s="402"/>
      <c r="D30" s="402"/>
      <c r="E30" s="402"/>
      <c r="F30" s="402"/>
      <c r="G30" s="402"/>
      <c r="H30" s="402"/>
      <c r="I30" s="402"/>
    </row>
    <row r="31" spans="1:9" ht="12.75" customHeight="1" x14ac:dyDescent="0.2">
      <c r="A31" s="402"/>
      <c r="B31" s="402"/>
      <c r="C31" s="402"/>
      <c r="D31" s="402"/>
      <c r="E31" s="402"/>
      <c r="F31" s="402"/>
      <c r="G31" s="402"/>
      <c r="H31" s="402"/>
      <c r="I31" s="402"/>
    </row>
    <row r="32" spans="1:9" ht="11.25" hidden="1" customHeight="1" x14ac:dyDescent="0.2">
      <c r="A32" s="5" t="s">
        <v>218</v>
      </c>
      <c r="B32" s="402"/>
      <c r="C32" s="402"/>
      <c r="D32" s="402"/>
      <c r="E32" s="402"/>
      <c r="F32" s="402"/>
      <c r="G32" s="402"/>
      <c r="H32" s="402"/>
      <c r="I32" s="402"/>
    </row>
  </sheetData>
  <sheetProtection password="EC65" sheet="1" objects="1" scenarios="1" selectLockedCells="1"/>
  <mergeCells count="2">
    <mergeCell ref="B1:I2"/>
    <mergeCell ref="F25:F27"/>
  </mergeCells>
  <conditionalFormatting sqref="F25:F27">
    <cfRule type="expression" dxfId="39" priority="2" stopIfTrue="1">
      <formula>ISERROR($N$4)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</sheetPr>
  <dimension ref="A1:AT336"/>
  <sheetViews>
    <sheetView showGridLines="0" tabSelected="1" topLeftCell="A4" zoomScale="75" zoomScaleNormal="75" workbookViewId="0">
      <selection activeCell="F5" sqref="F5:I6"/>
    </sheetView>
  </sheetViews>
  <sheetFormatPr defaultRowHeight="12" customHeight="1" x14ac:dyDescent="0.2"/>
  <cols>
    <col min="1" max="1" width="4.5703125" style="53" customWidth="1"/>
    <col min="2" max="2" width="5.140625" style="1" customWidth="1"/>
    <col min="3" max="3" width="4.140625" style="1" customWidth="1"/>
    <col min="4" max="4" width="9.140625" style="1"/>
    <col min="5" max="6" width="9.28515625" style="1" bestFit="1" customWidth="1"/>
    <col min="7" max="7" width="9.140625" style="1"/>
    <col min="8" max="8" width="9.28515625" style="3" bestFit="1" customWidth="1"/>
    <col min="9" max="10" width="9.28515625" style="1" bestFit="1" customWidth="1"/>
    <col min="11" max="11" width="9.28515625" style="1" customWidth="1"/>
    <col min="12" max="12" width="5.85546875" style="1" customWidth="1"/>
    <col min="13" max="13" width="5.7109375" style="1" customWidth="1"/>
    <col min="14" max="23" width="6.7109375" style="40" customWidth="1"/>
    <col min="24" max="24" width="9.140625" style="40"/>
    <col min="25" max="25" width="7.85546875" style="40" customWidth="1"/>
    <col min="26" max="26" width="8.140625" style="40" customWidth="1"/>
    <col min="27" max="16384" width="9.140625" style="40"/>
  </cols>
  <sheetData>
    <row r="1" spans="2:27" s="53" customFormat="1" ht="12" customHeight="1" x14ac:dyDescent="0.2"/>
    <row r="2" spans="2:27" s="53" customFormat="1" ht="12" customHeight="1" thickBot="1" x14ac:dyDescent="0.25"/>
    <row r="3" spans="2:27" s="53" customFormat="1" ht="12" customHeight="1" x14ac:dyDescent="0.2"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</row>
    <row r="4" spans="2:27" ht="12" customHeight="1" x14ac:dyDescent="0.25">
      <c r="B4" s="58"/>
      <c r="C4" s="483" t="s">
        <v>25</v>
      </c>
      <c r="D4" s="483"/>
      <c r="E4" s="483"/>
      <c r="F4" s="469"/>
      <c r="G4" s="470"/>
      <c r="H4" s="347"/>
      <c r="I4" s="347"/>
      <c r="J4" s="479" t="s">
        <v>174</v>
      </c>
      <c r="K4" s="480"/>
      <c r="L4" s="480"/>
      <c r="M4" s="481"/>
      <c r="T4" s="53"/>
    </row>
    <row r="5" spans="2:27" ht="12" customHeight="1" x14ac:dyDescent="0.2">
      <c r="B5" s="58"/>
      <c r="C5" s="484" t="s">
        <v>208</v>
      </c>
      <c r="D5" s="484"/>
      <c r="E5" s="485"/>
      <c r="F5" s="473"/>
      <c r="G5" s="474"/>
      <c r="H5" s="474"/>
      <c r="I5" s="475"/>
      <c r="J5" s="479"/>
      <c r="K5" s="480"/>
      <c r="L5" s="480"/>
      <c r="M5" s="481"/>
      <c r="T5" s="53"/>
    </row>
    <row r="6" spans="2:27" ht="12" customHeight="1" x14ac:dyDescent="0.2">
      <c r="B6" s="58"/>
      <c r="C6" s="484"/>
      <c r="D6" s="484"/>
      <c r="E6" s="485"/>
      <c r="F6" s="476"/>
      <c r="G6" s="477"/>
      <c r="H6" s="477"/>
      <c r="I6" s="478"/>
      <c r="J6" s="480"/>
      <c r="K6" s="480"/>
      <c r="L6" s="480"/>
      <c r="M6" s="481"/>
      <c r="T6" s="53"/>
    </row>
    <row r="7" spans="2:27" ht="12" customHeight="1" x14ac:dyDescent="0.2">
      <c r="B7" s="58"/>
      <c r="C7" s="175" t="s">
        <v>83</v>
      </c>
      <c r="D7" s="175"/>
      <c r="E7" s="175"/>
      <c r="F7" s="379"/>
      <c r="G7" s="140" t="s">
        <v>180</v>
      </c>
      <c r="H7" s="137"/>
      <c r="I7" s="137"/>
      <c r="J7" s="480"/>
      <c r="K7" s="480"/>
      <c r="L7" s="480"/>
      <c r="M7" s="481"/>
      <c r="T7" s="53"/>
    </row>
    <row r="8" spans="2:27" ht="12" customHeight="1" x14ac:dyDescent="0.2">
      <c r="B8" s="58"/>
      <c r="C8" s="175" t="s">
        <v>179</v>
      </c>
      <c r="D8" s="175"/>
      <c r="E8" s="175"/>
      <c r="F8" s="380"/>
      <c r="G8" s="188" t="s">
        <v>178</v>
      </c>
      <c r="H8" s="136"/>
      <c r="I8" s="136"/>
      <c r="J8" s="480"/>
      <c r="K8" s="480"/>
      <c r="L8" s="480"/>
      <c r="M8" s="481"/>
      <c r="T8" s="53"/>
    </row>
    <row r="9" spans="2:27" ht="12" customHeight="1" x14ac:dyDescent="0.2">
      <c r="B9" s="58"/>
      <c r="C9" s="16" t="s">
        <v>26</v>
      </c>
      <c r="D9" s="16"/>
      <c r="E9" s="16"/>
      <c r="F9" s="381"/>
      <c r="G9" s="13"/>
      <c r="H9" s="9"/>
      <c r="I9" s="4"/>
      <c r="J9" s="486" t="s">
        <v>207</v>
      </c>
      <c r="K9" s="486"/>
      <c r="L9" s="486"/>
      <c r="M9" s="156"/>
      <c r="T9" s="53"/>
    </row>
    <row r="10" spans="2:27" ht="12" customHeight="1" x14ac:dyDescent="0.2">
      <c r="B10" s="58"/>
      <c r="C10" s="16" t="s">
        <v>27</v>
      </c>
      <c r="D10" s="16"/>
      <c r="E10" s="16"/>
      <c r="F10" s="489"/>
      <c r="G10" s="490"/>
      <c r="H10" s="9"/>
      <c r="I10" s="4"/>
      <c r="J10" s="486"/>
      <c r="K10" s="486"/>
      <c r="L10" s="486"/>
      <c r="M10" s="156"/>
    </row>
    <row r="11" spans="2:27" ht="12" customHeight="1" x14ac:dyDescent="0.2">
      <c r="B11" s="58"/>
      <c r="C11" s="4"/>
      <c r="D11" s="13"/>
      <c r="E11" s="13"/>
      <c r="F11" s="491" t="s">
        <v>90</v>
      </c>
      <c r="G11" s="491"/>
      <c r="H11" s="491"/>
      <c r="I11" s="491"/>
      <c r="J11" s="155"/>
      <c r="K11" s="487">
        <f>K57</f>
        <v>0</v>
      </c>
      <c r="L11" s="155"/>
      <c r="M11" s="156"/>
    </row>
    <row r="12" spans="2:27" ht="12" customHeight="1" x14ac:dyDescent="0.2">
      <c r="B12" s="58"/>
      <c r="C12" s="13"/>
      <c r="D12" s="4"/>
      <c r="E12" s="4"/>
      <c r="F12" s="491"/>
      <c r="G12" s="491"/>
      <c r="H12" s="491"/>
      <c r="I12" s="491"/>
      <c r="J12" s="155"/>
      <c r="K12" s="488"/>
      <c r="L12" s="155"/>
      <c r="M12" s="156"/>
    </row>
    <row r="13" spans="2:27" ht="12" customHeight="1" x14ac:dyDescent="0.2">
      <c r="B13" s="58"/>
      <c r="C13" s="19"/>
      <c r="D13" s="19"/>
      <c r="E13" s="4"/>
      <c r="F13" s="141" t="s">
        <v>79</v>
      </c>
      <c r="G13" s="141"/>
      <c r="H13" s="19"/>
      <c r="I13" s="9"/>
      <c r="J13" s="19"/>
      <c r="K13" s="19"/>
      <c r="L13" s="4"/>
      <c r="M13" s="57"/>
    </row>
    <row r="14" spans="2:27" ht="12" customHeight="1" x14ac:dyDescent="0.2">
      <c r="B14" s="58"/>
      <c r="C14" s="123"/>
      <c r="D14" s="2"/>
      <c r="E14" s="123"/>
      <c r="F14" s="123"/>
      <c r="G14" s="123"/>
      <c r="H14" s="123"/>
      <c r="I14" s="124"/>
      <c r="J14" s="124"/>
      <c r="K14" s="124"/>
      <c r="L14" s="123"/>
      <c r="M14" s="57"/>
    </row>
    <row r="15" spans="2:27" ht="12" customHeight="1" x14ac:dyDescent="0.2">
      <c r="B15" s="58"/>
      <c r="C15" s="4"/>
      <c r="D15" s="23"/>
      <c r="E15" s="13"/>
      <c r="F15" s="13"/>
      <c r="G15" s="13"/>
      <c r="H15" s="13"/>
      <c r="I15" s="9" t="s">
        <v>0</v>
      </c>
      <c r="J15" s="9"/>
      <c r="K15" s="9" t="s">
        <v>39</v>
      </c>
      <c r="L15" s="4"/>
      <c r="M15" s="57"/>
      <c r="AA15" s="41"/>
    </row>
    <row r="16" spans="2:27" ht="12" customHeight="1" x14ac:dyDescent="0.2">
      <c r="B16" s="63"/>
      <c r="C16" s="4"/>
      <c r="D16" s="131" t="s">
        <v>40</v>
      </c>
      <c r="E16" s="13"/>
      <c r="F16" s="27" t="s">
        <v>58</v>
      </c>
      <c r="G16" s="13"/>
      <c r="H16" s="13"/>
      <c r="I16" s="15" t="s">
        <v>1</v>
      </c>
      <c r="J16" s="15"/>
      <c r="K16" s="15" t="s">
        <v>1</v>
      </c>
      <c r="L16" s="4"/>
      <c r="M16" s="57"/>
      <c r="AA16" s="41"/>
    </row>
    <row r="17" spans="2:30" ht="12" customHeight="1" x14ac:dyDescent="0.2">
      <c r="B17" s="63"/>
      <c r="C17" s="10"/>
      <c r="D17" s="19"/>
      <c r="E17" s="4"/>
      <c r="F17" s="4"/>
      <c r="G17" s="19"/>
      <c r="H17" s="4"/>
      <c r="I17" s="9"/>
      <c r="J17" s="9"/>
      <c r="K17" s="14"/>
      <c r="L17" s="4"/>
      <c r="M17" s="57"/>
      <c r="AA17" s="42"/>
    </row>
    <row r="18" spans="2:30" ht="12" customHeight="1" x14ac:dyDescent="0.2">
      <c r="B18" s="63"/>
      <c r="C18" s="4"/>
      <c r="D18" s="4"/>
      <c r="E18" s="482" t="s">
        <v>41</v>
      </c>
      <c r="F18" s="482"/>
      <c r="G18" s="26"/>
      <c r="H18" s="4"/>
      <c r="I18" s="9">
        <v>5</v>
      </c>
      <c r="J18" s="9"/>
      <c r="K18" s="69">
        <f>'TRAFFIC &amp; ACCIDENTS'!L42</f>
        <v>0</v>
      </c>
      <c r="L18" s="4"/>
      <c r="M18" s="57"/>
      <c r="AA18" s="43"/>
      <c r="AB18" s="44"/>
    </row>
    <row r="19" spans="2:30" ht="12" customHeight="1" x14ac:dyDescent="0.2">
      <c r="B19" s="58"/>
      <c r="C19" s="4"/>
      <c r="D19" s="4"/>
      <c r="E19" s="482" t="s">
        <v>42</v>
      </c>
      <c r="F19" s="482"/>
      <c r="G19" s="482"/>
      <c r="H19" s="4"/>
      <c r="I19" s="14">
        <v>5</v>
      </c>
      <c r="J19" s="9"/>
      <c r="K19" s="69">
        <f>IF('TRAFFIC &amp; ACCIDENTS'!L62&gt;5,5,'TRAFFIC &amp; ACCIDENTS'!L62)</f>
        <v>0</v>
      </c>
      <c r="L19" s="4"/>
      <c r="M19" s="57"/>
      <c r="AD19" s="45"/>
    </row>
    <row r="20" spans="2:30" ht="12" customHeight="1" x14ac:dyDescent="0.2">
      <c r="B20" s="58"/>
      <c r="C20" s="4"/>
      <c r="D20" s="4"/>
      <c r="E20" s="4"/>
      <c r="F20" s="4"/>
      <c r="G20" s="26"/>
      <c r="H20" s="59" t="s">
        <v>3</v>
      </c>
      <c r="I20" s="128">
        <f>SUM(I18:I19)</f>
        <v>10</v>
      </c>
      <c r="J20" s="8"/>
      <c r="K20" s="218">
        <f>SUM(K18:K19)</f>
        <v>0</v>
      </c>
      <c r="L20" s="4"/>
      <c r="M20" s="57"/>
      <c r="AD20" s="45"/>
    </row>
    <row r="21" spans="2:30" ht="12" customHeight="1" thickBot="1" x14ac:dyDescent="0.25">
      <c r="B21" s="58"/>
      <c r="C21" s="117"/>
      <c r="D21" s="117"/>
      <c r="E21" s="117"/>
      <c r="F21" s="117"/>
      <c r="G21" s="132"/>
      <c r="H21" s="133"/>
      <c r="I21" s="118"/>
      <c r="J21" s="118"/>
      <c r="K21" s="70"/>
      <c r="L21" s="117"/>
      <c r="M21" s="57"/>
      <c r="AD21" s="45"/>
    </row>
    <row r="22" spans="2:30" ht="12" customHeight="1" thickTop="1" x14ac:dyDescent="0.2">
      <c r="B22" s="58"/>
      <c r="C22" s="4"/>
      <c r="D22" s="4"/>
      <c r="E22" s="4"/>
      <c r="F22" s="4"/>
      <c r="G22" s="26"/>
      <c r="H22" s="138"/>
      <c r="I22" s="8"/>
      <c r="J22" s="8"/>
      <c r="K22" s="64"/>
      <c r="L22" s="138"/>
      <c r="M22" s="57"/>
      <c r="AD22" s="45"/>
    </row>
    <row r="23" spans="2:30" ht="12" customHeight="1" x14ac:dyDescent="0.2">
      <c r="B23" s="58"/>
      <c r="C23" s="4"/>
      <c r="D23" s="4"/>
      <c r="E23" s="4"/>
      <c r="F23" s="4"/>
      <c r="G23" s="26"/>
      <c r="H23" s="139"/>
      <c r="I23" s="8"/>
      <c r="J23" s="9"/>
      <c r="K23" s="65"/>
      <c r="L23" s="139"/>
      <c r="M23" s="57"/>
      <c r="AA23" s="46"/>
      <c r="AD23" s="47"/>
    </row>
    <row r="24" spans="2:30" ht="12" customHeight="1" x14ac:dyDescent="0.35">
      <c r="B24" s="58"/>
      <c r="C24" s="4"/>
      <c r="D24" s="148" t="s">
        <v>22</v>
      </c>
      <c r="E24" s="149"/>
      <c r="F24" s="149"/>
      <c r="G24" s="150" t="s">
        <v>118</v>
      </c>
      <c r="H24" s="147"/>
      <c r="I24" s="147"/>
      <c r="J24" s="15"/>
      <c r="K24" s="151"/>
      <c r="L24" s="151"/>
      <c r="M24" s="57"/>
      <c r="AA24" s="46"/>
      <c r="AD24" s="47"/>
    </row>
    <row r="25" spans="2:30" ht="12" customHeight="1" x14ac:dyDescent="0.35">
      <c r="B25" s="58"/>
      <c r="C25" s="4"/>
      <c r="D25" s="19"/>
      <c r="E25" s="19"/>
      <c r="H25" s="147"/>
      <c r="I25" s="147"/>
      <c r="J25" s="4"/>
      <c r="K25" s="151"/>
      <c r="L25" s="151"/>
      <c r="M25" s="57"/>
      <c r="AA25" s="48"/>
      <c r="AD25" s="45"/>
    </row>
    <row r="26" spans="2:30" ht="12" customHeight="1" x14ac:dyDescent="0.2">
      <c r="B26" s="58"/>
      <c r="C26" s="4"/>
      <c r="D26" s="10"/>
      <c r="E26" s="482" t="s">
        <v>91</v>
      </c>
      <c r="F26" s="482"/>
      <c r="G26" s="141"/>
      <c r="I26" s="3">
        <v>45</v>
      </c>
      <c r="J26" s="113"/>
      <c r="K26" s="54">
        <f>STRUCTURE!M11</f>
        <v>0</v>
      </c>
      <c r="L26" s="141"/>
      <c r="M26" s="57"/>
      <c r="AA26" s="48"/>
      <c r="AD26" s="45"/>
    </row>
    <row r="27" spans="2:30" ht="12" customHeight="1" x14ac:dyDescent="0.2">
      <c r="B27" s="58"/>
      <c r="C27" s="4"/>
      <c r="D27" s="4"/>
      <c r="E27" s="482" t="s">
        <v>92</v>
      </c>
      <c r="F27" s="482"/>
      <c r="G27" s="141"/>
      <c r="I27" s="3">
        <v>6</v>
      </c>
      <c r="J27" s="113"/>
      <c r="K27" s="54">
        <f>STRUCTURE!M20</f>
        <v>0</v>
      </c>
      <c r="L27" s="471"/>
      <c r="M27" s="472"/>
      <c r="AA27" s="48"/>
    </row>
    <row r="28" spans="2:30" ht="12" customHeight="1" x14ac:dyDescent="0.2">
      <c r="B28" s="58"/>
      <c r="C28" s="4"/>
      <c r="D28" s="4"/>
      <c r="E28" s="482" t="s">
        <v>93</v>
      </c>
      <c r="F28" s="482"/>
      <c r="G28" s="141"/>
      <c r="I28" s="3">
        <v>4</v>
      </c>
      <c r="J28" s="97"/>
      <c r="K28" s="54">
        <f>STRUCTURE!M26</f>
        <v>0</v>
      </c>
      <c r="L28" s="348"/>
      <c r="M28" s="57"/>
      <c r="N28" s="49"/>
      <c r="AA28" s="46"/>
    </row>
    <row r="29" spans="2:30" ht="12" customHeight="1" x14ac:dyDescent="0.2">
      <c r="B29" s="58"/>
      <c r="C29" s="4"/>
      <c r="D29" s="4"/>
      <c r="E29" s="4"/>
      <c r="F29" s="4"/>
      <c r="G29" s="4"/>
      <c r="H29" s="146" t="s">
        <v>3</v>
      </c>
      <c r="I29" s="129">
        <f>SUM(I26:I28)</f>
        <v>55</v>
      </c>
      <c r="K29" s="219">
        <f>SUM(K26:K28)</f>
        <v>0</v>
      </c>
      <c r="L29" s="16"/>
      <c r="M29" s="57"/>
      <c r="N29" s="49"/>
      <c r="AA29" s="41"/>
    </row>
    <row r="30" spans="2:30" ht="12" customHeight="1" thickBot="1" x14ac:dyDescent="0.25">
      <c r="B30" s="58"/>
      <c r="C30" s="117"/>
      <c r="D30" s="117"/>
      <c r="E30" s="117"/>
      <c r="F30" s="117"/>
      <c r="G30" s="117"/>
      <c r="H30" s="135"/>
      <c r="I30" s="119"/>
      <c r="J30" s="120"/>
      <c r="K30" s="119"/>
      <c r="L30" s="121"/>
      <c r="M30" s="57"/>
      <c r="N30" s="49"/>
      <c r="AA30" s="41"/>
    </row>
    <row r="31" spans="2:30" ht="12" customHeight="1" thickTop="1" x14ac:dyDescent="0.2">
      <c r="B31" s="58"/>
      <c r="C31" s="4"/>
      <c r="D31" s="4"/>
      <c r="E31" s="4"/>
      <c r="F31" s="4"/>
      <c r="G31" s="4"/>
      <c r="H31" s="21"/>
      <c r="I31" s="95"/>
      <c r="J31" s="94"/>
      <c r="K31" s="95"/>
      <c r="L31" s="16"/>
      <c r="M31" s="57"/>
      <c r="N31" s="49"/>
      <c r="AA31" s="41"/>
    </row>
    <row r="32" spans="2:30" ht="12" customHeight="1" x14ac:dyDescent="0.2">
      <c r="B32" s="58"/>
      <c r="C32" s="4"/>
      <c r="D32" s="134" t="s">
        <v>43</v>
      </c>
      <c r="E32" s="13"/>
      <c r="F32" s="27" t="s">
        <v>58</v>
      </c>
      <c r="G32" s="4"/>
      <c r="H32" s="21"/>
      <c r="I32" s="94"/>
      <c r="K32" s="66"/>
      <c r="L32" s="4"/>
      <c r="M32" s="57"/>
      <c r="N32" s="49"/>
      <c r="AA32" s="41"/>
    </row>
    <row r="33" spans="2:27" ht="12" customHeight="1" x14ac:dyDescent="0.2">
      <c r="B33" s="58"/>
      <c r="C33" s="4"/>
      <c r="D33" s="19"/>
      <c r="E33" s="19"/>
      <c r="F33" s="19"/>
      <c r="G33" s="19"/>
      <c r="H33" s="4"/>
      <c r="I33" s="9"/>
      <c r="J33" s="9"/>
      <c r="K33" s="9"/>
      <c r="L33" s="4"/>
      <c r="M33" s="57"/>
    </row>
    <row r="34" spans="2:27" ht="12" customHeight="1" x14ac:dyDescent="0.2">
      <c r="B34" s="58"/>
      <c r="C34" s="4"/>
      <c r="D34" s="4"/>
      <c r="E34" s="482" t="s">
        <v>76</v>
      </c>
      <c r="F34" s="482"/>
      <c r="G34" s="482"/>
      <c r="H34" s="482"/>
      <c r="I34" s="14">
        <v>10</v>
      </c>
      <c r="J34" s="26"/>
      <c r="K34" s="69" t="str">
        <f>IF(GEOMETRY!F7-GEOMETRY!F6=2,5,IF(GEOMETRY!F7-GEOMETRY!F6&gt;=3,10,""))</f>
        <v/>
      </c>
      <c r="L34" s="4"/>
      <c r="M34" s="57"/>
    </row>
    <row r="35" spans="2:27" ht="12" customHeight="1" x14ac:dyDescent="0.2">
      <c r="B35" s="58"/>
      <c r="C35" s="4"/>
      <c r="D35" s="4"/>
      <c r="E35" s="4"/>
      <c r="F35" s="4"/>
      <c r="G35" s="4"/>
      <c r="H35" s="59" t="s">
        <v>3</v>
      </c>
      <c r="I35" s="128">
        <v>10</v>
      </c>
      <c r="J35" s="8"/>
      <c r="K35" s="65">
        <f>SUM(K34)</f>
        <v>0</v>
      </c>
      <c r="L35" s="4"/>
      <c r="M35" s="57"/>
    </row>
    <row r="36" spans="2:27" ht="12" customHeight="1" x14ac:dyDescent="0.2">
      <c r="B36" s="58"/>
      <c r="C36" s="4"/>
      <c r="D36" s="13"/>
      <c r="E36" s="9" t="s">
        <v>45</v>
      </c>
      <c r="F36" s="9" t="s">
        <v>1</v>
      </c>
      <c r="G36" s="4"/>
      <c r="H36" s="9"/>
      <c r="I36" s="4"/>
      <c r="J36" s="4"/>
      <c r="K36" s="9"/>
      <c r="L36" s="4"/>
      <c r="M36" s="57"/>
      <c r="AA36" s="46"/>
    </row>
    <row r="37" spans="2:27" ht="12" customHeight="1" x14ac:dyDescent="0.2">
      <c r="B37" s="58"/>
      <c r="C37" s="4"/>
      <c r="D37" s="4"/>
      <c r="E37" s="9" t="s">
        <v>10</v>
      </c>
      <c r="F37" s="9">
        <v>5</v>
      </c>
      <c r="G37" s="4"/>
      <c r="H37" s="9"/>
      <c r="I37" s="9"/>
      <c r="J37" s="9"/>
      <c r="K37" s="9"/>
      <c r="L37" s="4"/>
      <c r="M37" s="57"/>
      <c r="AA37" s="46"/>
    </row>
    <row r="38" spans="2:27" ht="12" customHeight="1" x14ac:dyDescent="0.2">
      <c r="B38" s="58"/>
      <c r="C38" s="4"/>
      <c r="D38" s="4"/>
      <c r="E38" s="9" t="s">
        <v>11</v>
      </c>
      <c r="F38" s="9">
        <v>10</v>
      </c>
      <c r="G38" s="4"/>
      <c r="H38" s="9"/>
      <c r="I38" s="9"/>
      <c r="J38" s="9"/>
      <c r="K38" s="9"/>
      <c r="L38" s="4"/>
      <c r="M38" s="57"/>
      <c r="AA38" s="46"/>
    </row>
    <row r="39" spans="2:27" ht="12" customHeight="1" x14ac:dyDescent="0.2">
      <c r="B39" s="58"/>
      <c r="C39" s="4"/>
      <c r="D39" s="4"/>
      <c r="E39" s="9"/>
      <c r="F39" s="9"/>
      <c r="G39" s="4"/>
      <c r="H39" s="9"/>
      <c r="I39" s="9"/>
      <c r="J39" s="9"/>
      <c r="K39" s="8"/>
      <c r="L39" s="4"/>
      <c r="M39" s="57"/>
      <c r="AA39" s="46"/>
    </row>
    <row r="40" spans="2:27" ht="12" customHeight="1" thickBot="1" x14ac:dyDescent="0.25">
      <c r="B40" s="58"/>
      <c r="C40" s="117"/>
      <c r="D40" s="117"/>
      <c r="E40" s="122"/>
      <c r="F40" s="122"/>
      <c r="G40" s="117"/>
      <c r="H40" s="122"/>
      <c r="I40" s="122"/>
      <c r="J40" s="122"/>
      <c r="K40" s="118"/>
      <c r="L40" s="117"/>
      <c r="M40" s="57"/>
      <c r="AA40" s="46"/>
    </row>
    <row r="41" spans="2:27" ht="12" customHeight="1" thickTop="1" x14ac:dyDescent="0.2">
      <c r="B41" s="58"/>
      <c r="C41" s="4"/>
      <c r="D41" s="4"/>
      <c r="E41" s="9"/>
      <c r="F41" s="9"/>
      <c r="G41" s="4"/>
      <c r="H41" s="9"/>
      <c r="I41" s="9"/>
      <c r="J41" s="9"/>
      <c r="K41" s="8"/>
      <c r="L41" s="4"/>
      <c r="M41" s="57"/>
      <c r="AA41" s="46"/>
    </row>
    <row r="42" spans="2:27" ht="12" customHeight="1" x14ac:dyDescent="0.2">
      <c r="B42" s="58"/>
      <c r="C42" s="4"/>
      <c r="D42" s="134" t="s">
        <v>70</v>
      </c>
      <c r="E42" s="4"/>
      <c r="G42" s="27" t="s">
        <v>134</v>
      </c>
      <c r="H42" s="4"/>
      <c r="I42" s="17"/>
      <c r="J42" s="17"/>
      <c r="K42" s="9"/>
      <c r="L42" s="4"/>
      <c r="M42" s="57"/>
      <c r="AA42" s="41"/>
    </row>
    <row r="43" spans="2:27" ht="12" customHeight="1" x14ac:dyDescent="0.2">
      <c r="B43" s="58"/>
      <c r="C43" s="4"/>
      <c r="D43" s="19"/>
      <c r="E43" s="19"/>
      <c r="F43" s="19"/>
      <c r="G43" s="19"/>
      <c r="H43" s="4"/>
      <c r="I43" s="9"/>
      <c r="J43" s="9"/>
      <c r="K43" s="8"/>
      <c r="L43" s="4"/>
      <c r="M43" s="57"/>
    </row>
    <row r="44" spans="2:27" ht="12" customHeight="1" x14ac:dyDescent="0.2">
      <c r="B44" s="67"/>
      <c r="C44" s="4"/>
      <c r="D44" s="4"/>
      <c r="E44" s="10" t="s">
        <v>80</v>
      </c>
      <c r="F44" s="4"/>
      <c r="G44" s="4"/>
      <c r="H44" s="4"/>
      <c r="I44" s="4"/>
      <c r="J44" s="4"/>
      <c r="K44" s="9"/>
      <c r="L44" s="4"/>
      <c r="M44" s="57"/>
      <c r="AA44" s="41"/>
    </row>
    <row r="45" spans="2:27" ht="12" customHeight="1" x14ac:dyDescent="0.2">
      <c r="B45" s="67"/>
      <c r="C45" s="4"/>
      <c r="D45" s="11"/>
      <c r="E45" s="482" t="s">
        <v>77</v>
      </c>
      <c r="F45" s="482"/>
      <c r="G45" s="482"/>
      <c r="H45" s="9"/>
      <c r="I45" s="9">
        <v>5</v>
      </c>
      <c r="J45" s="9"/>
      <c r="K45" s="200">
        <f>'ROADSIDE SAFETY'!E14</f>
        <v>0</v>
      </c>
      <c r="L45" s="4"/>
      <c r="M45" s="57"/>
      <c r="AA45" s="46"/>
    </row>
    <row r="46" spans="2:27" ht="12" customHeight="1" x14ac:dyDescent="0.2">
      <c r="B46" s="58"/>
      <c r="C46" s="4"/>
      <c r="D46" s="11"/>
      <c r="E46" s="482" t="s">
        <v>94</v>
      </c>
      <c r="F46" s="482"/>
      <c r="G46" s="482"/>
      <c r="H46" s="482"/>
      <c r="I46" s="14">
        <v>10</v>
      </c>
      <c r="J46" s="9"/>
      <c r="K46" s="200">
        <f>'ROADSIDE SAFETY'!C21+'ROADSIDE SAFETY'!C26</f>
        <v>0</v>
      </c>
      <c r="L46" s="4"/>
      <c r="M46" s="57"/>
    </row>
    <row r="47" spans="2:27" ht="12" customHeight="1" x14ac:dyDescent="0.2">
      <c r="B47" s="58"/>
      <c r="C47" s="4"/>
      <c r="D47" s="11"/>
      <c r="E47" s="492"/>
      <c r="F47" s="492"/>
      <c r="G47" s="492"/>
      <c r="H47" s="59" t="s">
        <v>3</v>
      </c>
      <c r="I47" s="130">
        <f>SUM(I45:I46)</f>
        <v>15</v>
      </c>
      <c r="J47" s="9"/>
      <c r="K47" s="218">
        <f>SUM(K45:K46)</f>
        <v>0</v>
      </c>
      <c r="L47" s="4"/>
      <c r="M47" s="57"/>
    </row>
    <row r="48" spans="2:27" ht="12" customHeight="1" x14ac:dyDescent="0.2">
      <c r="B48" s="58"/>
      <c r="C48" s="4"/>
      <c r="D48" s="4"/>
      <c r="E48" s="4"/>
      <c r="F48" s="4"/>
      <c r="G48" s="4"/>
      <c r="I48" s="217"/>
      <c r="J48" s="17"/>
      <c r="K48" s="64"/>
      <c r="L48" s="4"/>
      <c r="M48" s="57"/>
    </row>
    <row r="49" spans="2:27" ht="12" customHeight="1" thickBot="1" x14ac:dyDescent="0.25">
      <c r="B49" s="58"/>
      <c r="C49" s="117"/>
      <c r="D49" s="117"/>
      <c r="E49" s="117"/>
      <c r="F49" s="117"/>
      <c r="G49" s="117"/>
      <c r="H49" s="122"/>
      <c r="I49" s="117"/>
      <c r="J49" s="117"/>
      <c r="K49" s="117"/>
      <c r="L49" s="117"/>
      <c r="M49" s="57"/>
    </row>
    <row r="50" spans="2:27" ht="12" customHeight="1" thickTop="1" x14ac:dyDescent="0.2">
      <c r="B50" s="58"/>
      <c r="C50" s="23"/>
      <c r="D50" s="24"/>
      <c r="E50" s="23"/>
      <c r="F50" s="23"/>
      <c r="G50" s="23"/>
      <c r="H50" s="39"/>
      <c r="I50" s="25"/>
      <c r="J50" s="25"/>
      <c r="K50" s="17"/>
      <c r="L50" s="4"/>
      <c r="M50" s="57"/>
      <c r="AA50" s="41"/>
    </row>
    <row r="51" spans="2:27" ht="12" customHeight="1" x14ac:dyDescent="0.2">
      <c r="B51" s="58"/>
      <c r="C51" s="23"/>
      <c r="D51" s="134" t="s">
        <v>86</v>
      </c>
      <c r="E51" s="23"/>
      <c r="F51" s="23"/>
      <c r="G51" s="27" t="s">
        <v>58</v>
      </c>
      <c r="H51" s="142"/>
      <c r="I51" s="25"/>
      <c r="J51" s="25"/>
      <c r="K51" s="161"/>
      <c r="L51" s="4"/>
      <c r="M51" s="57"/>
      <c r="AA51" s="41"/>
    </row>
    <row r="52" spans="2:27" ht="12" customHeight="1" x14ac:dyDescent="0.2">
      <c r="B52" s="67"/>
      <c r="C52" s="4"/>
      <c r="D52" s="11"/>
      <c r="E52" s="482" t="s">
        <v>116</v>
      </c>
      <c r="F52" s="482"/>
      <c r="G52" s="482"/>
      <c r="H52" s="9"/>
      <c r="I52" s="9">
        <v>5</v>
      </c>
      <c r="J52" s="9"/>
      <c r="K52" s="69">
        <f>SIGNIFICANCE!M18</f>
        <v>0</v>
      </c>
      <c r="L52" s="4"/>
      <c r="M52" s="57"/>
      <c r="AA52" s="46"/>
    </row>
    <row r="53" spans="2:27" ht="12" customHeight="1" x14ac:dyDescent="0.2">
      <c r="B53" s="68"/>
      <c r="C53" s="4"/>
      <c r="D53" s="11"/>
      <c r="E53" s="482" t="s">
        <v>117</v>
      </c>
      <c r="F53" s="482"/>
      <c r="G53" s="482"/>
      <c r="H53" s="9"/>
      <c r="I53" s="14">
        <v>5</v>
      </c>
      <c r="J53" s="9"/>
      <c r="K53" s="69">
        <f>SIGNIFICANCE!M36</f>
        <v>0</v>
      </c>
      <c r="L53" s="4"/>
      <c r="M53" s="57"/>
      <c r="AA53" s="46"/>
    </row>
    <row r="54" spans="2:27" ht="12" customHeight="1" x14ac:dyDescent="0.2">
      <c r="B54" s="58"/>
      <c r="C54" s="23"/>
      <c r="D54" s="24"/>
      <c r="E54" s="23"/>
      <c r="F54" s="23"/>
      <c r="G54" s="143"/>
      <c r="H54" s="142"/>
      <c r="I54" s="130">
        <v>10</v>
      </c>
      <c r="J54" s="25"/>
      <c r="K54" s="65">
        <f>SUM(K52:K53)</f>
        <v>0</v>
      </c>
      <c r="L54" s="4"/>
      <c r="M54" s="57"/>
      <c r="AA54" s="41"/>
    </row>
    <row r="55" spans="2:27" ht="12" customHeight="1" thickBot="1" x14ac:dyDescent="0.25">
      <c r="B55" s="58"/>
      <c r="C55" s="117"/>
      <c r="D55" s="117"/>
      <c r="E55" s="117"/>
      <c r="F55" s="117"/>
      <c r="G55" s="117"/>
      <c r="H55" s="122"/>
      <c r="I55" s="117"/>
      <c r="J55" s="117"/>
      <c r="K55" s="144"/>
      <c r="L55" s="117"/>
      <c r="M55" s="57"/>
      <c r="AA55" s="41"/>
    </row>
    <row r="56" spans="2:27" ht="12" customHeight="1" thickTop="1" x14ac:dyDescent="0.2">
      <c r="B56" s="58"/>
      <c r="C56" s="23"/>
      <c r="D56" s="24"/>
      <c r="E56" s="23"/>
      <c r="F56" s="23"/>
      <c r="G56" s="23"/>
      <c r="H56" s="39"/>
      <c r="I56" s="25"/>
      <c r="J56" s="25"/>
      <c r="K56" s="17"/>
      <c r="L56" s="4"/>
      <c r="M56" s="57"/>
      <c r="AA56" s="41"/>
    </row>
    <row r="57" spans="2:27" ht="12" customHeight="1" thickBot="1" x14ac:dyDescent="0.25">
      <c r="B57" s="68"/>
      <c r="C57" s="4"/>
      <c r="D57" s="150" t="s">
        <v>73</v>
      </c>
      <c r="E57" s="150"/>
      <c r="F57" s="150"/>
      <c r="G57" s="150"/>
      <c r="I57" s="128">
        <f>I54+I47+I35+I29+I20</f>
        <v>100</v>
      </c>
      <c r="J57" s="8"/>
      <c r="K57" s="220">
        <f>SUM(K20,K29,K35,K47,K54)</f>
        <v>0</v>
      </c>
      <c r="L57" s="4"/>
      <c r="M57" s="57"/>
      <c r="AA57" s="46"/>
    </row>
    <row r="58" spans="2:27" ht="12" customHeight="1" thickTop="1" x14ac:dyDescent="0.2">
      <c r="B58" s="68"/>
      <c r="C58" s="4"/>
      <c r="D58" s="27"/>
      <c r="E58" s="27"/>
      <c r="F58" s="27"/>
      <c r="G58" s="27"/>
      <c r="I58" s="125" t="s">
        <v>81</v>
      </c>
      <c r="J58" s="8"/>
      <c r="K58" s="126" t="s">
        <v>82</v>
      </c>
      <c r="L58" s="4"/>
      <c r="M58" s="57"/>
      <c r="AA58" s="46"/>
    </row>
    <row r="59" spans="2:27" ht="12" customHeight="1" x14ac:dyDescent="0.2">
      <c r="B59" s="58"/>
      <c r="C59" s="27" t="s">
        <v>46</v>
      </c>
      <c r="D59" s="4"/>
      <c r="E59" s="4"/>
      <c r="F59" s="4"/>
      <c r="G59" s="4"/>
      <c r="H59" s="4"/>
      <c r="I59" s="9"/>
      <c r="J59" s="9"/>
      <c r="K59" s="9"/>
      <c r="L59" s="4"/>
      <c r="M59" s="57"/>
      <c r="AA59" s="46"/>
    </row>
    <row r="60" spans="2:27" ht="12" customHeight="1" x14ac:dyDescent="0.2">
      <c r="B60" s="58"/>
      <c r="C60" s="113" t="s">
        <v>87</v>
      </c>
      <c r="D60" s="4"/>
      <c r="E60" s="4"/>
      <c r="F60" s="4"/>
      <c r="G60" s="4"/>
      <c r="H60" s="4"/>
      <c r="I60" s="9"/>
      <c r="J60" s="9"/>
      <c r="K60" s="9"/>
      <c r="L60" s="4"/>
      <c r="M60" s="57"/>
      <c r="AA60" s="41"/>
    </row>
    <row r="61" spans="2:27" ht="12" customHeight="1" x14ac:dyDescent="0.2">
      <c r="B61" s="58"/>
      <c r="C61" s="113" t="s">
        <v>88</v>
      </c>
      <c r="D61" s="4"/>
      <c r="E61" s="4"/>
      <c r="F61" s="4"/>
      <c r="G61" s="4"/>
      <c r="H61" s="4"/>
      <c r="I61" s="4"/>
      <c r="J61" s="4"/>
      <c r="K61" s="4"/>
      <c r="L61" s="4"/>
      <c r="M61" s="57"/>
      <c r="AA61" s="46"/>
    </row>
    <row r="62" spans="2:27" ht="12" customHeight="1" thickBot="1" x14ac:dyDescent="0.25"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2"/>
      <c r="AA62" s="46"/>
    </row>
    <row r="63" spans="2:27" ht="12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AA63" s="41"/>
    </row>
    <row r="64" spans="2:27" ht="12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AA64" s="46"/>
    </row>
    <row r="65" spans="2:27" ht="12" customHeight="1" x14ac:dyDescent="0.2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AA65" s="46"/>
    </row>
    <row r="66" spans="2:27" ht="12" customHeight="1" x14ac:dyDescent="0.2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AA66" s="41"/>
    </row>
    <row r="67" spans="2:27" ht="12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AA67" s="46"/>
    </row>
    <row r="68" spans="2:27" ht="12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AA68" s="46"/>
    </row>
    <row r="69" spans="2:27" ht="12" customHeight="1" x14ac:dyDescent="0.2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AA69" s="41"/>
    </row>
    <row r="70" spans="2:27" ht="12" customHeight="1" x14ac:dyDescent="0.2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AA70" s="46"/>
    </row>
    <row r="71" spans="2:27" ht="12" customHeight="1" x14ac:dyDescent="0.2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AA71" s="41"/>
    </row>
    <row r="72" spans="2:27" ht="12" customHeight="1" x14ac:dyDescent="0.2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2:27" ht="12" customHeight="1" x14ac:dyDescent="0.2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2:27" ht="12" customHeight="1" x14ac:dyDescent="0.2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2:27" ht="12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2:27" ht="12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27" ht="12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27" ht="12" customHeight="1" x14ac:dyDescent="0.2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50"/>
    </row>
    <row r="79" spans="2:27" ht="12" customHeight="1" x14ac:dyDescent="0.2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50"/>
    </row>
    <row r="80" spans="2:27" ht="12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2:46" ht="12" customHeight="1" x14ac:dyDescent="0.2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2:46" ht="12" customHeight="1" x14ac:dyDescent="0.2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2:46" ht="12" customHeight="1" x14ac:dyDescent="0.2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2:46" ht="12" customHeight="1" x14ac:dyDescent="0.2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2:46" ht="12" customHeight="1" x14ac:dyDescent="0.2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2:46" ht="12" customHeight="1" x14ac:dyDescent="0.2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2:46" ht="12" customHeight="1" x14ac:dyDescent="0.2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2:46" ht="12" customHeight="1" x14ac:dyDescent="0.2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1"/>
    </row>
    <row r="89" spans="2:46" ht="12" customHeight="1" x14ac:dyDescent="0.2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51"/>
    </row>
    <row r="90" spans="2:46" ht="12" customHeight="1" x14ac:dyDescent="0.2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52"/>
    </row>
    <row r="91" spans="2:46" ht="12" customHeight="1" x14ac:dyDescent="0.2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52"/>
    </row>
    <row r="92" spans="2:46" ht="12" customHeight="1" x14ac:dyDescent="0.2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52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</row>
    <row r="93" spans="2:46" ht="12" customHeight="1" x14ac:dyDescent="0.2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6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</row>
    <row r="94" spans="2:46" ht="12" customHeight="1" x14ac:dyDescent="0.2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6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</row>
    <row r="95" spans="2:46" ht="12" customHeight="1" x14ac:dyDescent="0.2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</row>
    <row r="96" spans="2:46" ht="12" customHeight="1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</row>
    <row r="97" spans="2:46" ht="12" customHeight="1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</row>
    <row r="98" spans="2:46" ht="12" customHeight="1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</row>
    <row r="99" spans="2:46" ht="12" customHeight="1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</row>
    <row r="100" spans="2:46" ht="12" customHeight="1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</row>
    <row r="101" spans="2:46" ht="12" customHeight="1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</row>
    <row r="102" spans="2:46" ht="12" customHeight="1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</row>
    <row r="103" spans="2:46" ht="12" customHeight="1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</row>
    <row r="104" spans="2:46" ht="12" customHeight="1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</row>
    <row r="105" spans="2:46" ht="12" customHeight="1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</row>
    <row r="106" spans="2:46" ht="12" customHeight="1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</row>
    <row r="107" spans="2:46" ht="12" customHeight="1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</row>
    <row r="108" spans="2:46" ht="12" customHeight="1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</row>
    <row r="109" spans="2:46" ht="12" customHeight="1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</row>
    <row r="110" spans="2:46" ht="12" customHeight="1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</row>
    <row r="111" spans="2:46" ht="12" customHeight="1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</row>
    <row r="112" spans="2:46" ht="12" customHeight="1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</row>
    <row r="113" spans="2:46" ht="12" customHeight="1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</row>
    <row r="114" spans="2:46" ht="12" customHeight="1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</row>
    <row r="115" spans="2:46" ht="12" customHeight="1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</row>
    <row r="116" spans="2:46" ht="12" customHeight="1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</row>
    <row r="117" spans="2:46" ht="12" customHeight="1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</row>
    <row r="118" spans="2:46" ht="12" customHeight="1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</row>
    <row r="119" spans="2:46" ht="12" customHeight="1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</row>
    <row r="120" spans="2:46" ht="12" customHeight="1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</row>
    <row r="121" spans="2:46" ht="12" customHeight="1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</row>
    <row r="122" spans="2:46" ht="12" customHeight="1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</row>
    <row r="123" spans="2:46" ht="12" customHeight="1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</row>
    <row r="124" spans="2:46" ht="12" customHeight="1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</row>
    <row r="125" spans="2:46" ht="12" customHeight="1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</row>
    <row r="126" spans="2:46" ht="12" customHeight="1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</row>
    <row r="127" spans="2:46" ht="12" customHeight="1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</row>
    <row r="128" spans="2:46" ht="12" customHeight="1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</row>
    <row r="129" spans="2:46" ht="12" customHeight="1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</row>
    <row r="130" spans="2:46" ht="12" customHeight="1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</row>
    <row r="131" spans="2:46" ht="12" customHeight="1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</row>
    <row r="132" spans="2:46" ht="12" customHeight="1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</row>
    <row r="133" spans="2:46" ht="12" customHeight="1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</row>
    <row r="134" spans="2:46" ht="12" customHeight="1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</row>
    <row r="135" spans="2:46" ht="12" customHeight="1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</row>
    <row r="136" spans="2:46" ht="12" customHeight="1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</row>
    <row r="137" spans="2:46" ht="12" customHeight="1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</row>
    <row r="138" spans="2:46" ht="12" customHeight="1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</row>
    <row r="139" spans="2:46" ht="12" customHeight="1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</row>
    <row r="140" spans="2:46" ht="12" customHeight="1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</row>
    <row r="141" spans="2:46" ht="12" customHeight="1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</row>
    <row r="142" spans="2:46" ht="12" customHeight="1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</row>
    <row r="143" spans="2:46" ht="12" customHeight="1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</row>
    <row r="144" spans="2:46" ht="12" customHeight="1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</row>
    <row r="145" spans="2:46" ht="12" customHeight="1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</row>
    <row r="146" spans="2:46" ht="12" customHeight="1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</row>
    <row r="147" spans="2:46" ht="12" customHeight="1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</row>
    <row r="148" spans="2:46" ht="12" customHeight="1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</row>
    <row r="149" spans="2:46" ht="12" customHeight="1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</row>
    <row r="150" spans="2:46" ht="12" customHeight="1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</row>
    <row r="151" spans="2:46" ht="12" customHeight="1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</row>
    <row r="152" spans="2:46" ht="12" customHeight="1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</row>
    <row r="153" spans="2:46" ht="12" customHeight="1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</row>
    <row r="154" spans="2:46" ht="12" customHeight="1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</row>
    <row r="155" spans="2:46" ht="12" customHeight="1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</row>
    <row r="156" spans="2:46" ht="12" customHeight="1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</row>
    <row r="157" spans="2:46" ht="12" customHeight="1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</row>
    <row r="158" spans="2:46" ht="12" customHeight="1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</row>
    <row r="159" spans="2:46" ht="12" customHeight="1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</row>
    <row r="160" spans="2:46" ht="12" customHeight="1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</row>
    <row r="161" spans="2:46" ht="12" customHeight="1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</row>
    <row r="162" spans="2:46" ht="12" customHeight="1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</row>
    <row r="163" spans="2:46" ht="12" customHeight="1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</row>
    <row r="164" spans="2:46" ht="12" customHeight="1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</row>
    <row r="165" spans="2:46" ht="12" customHeight="1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</row>
    <row r="166" spans="2:46" ht="12" customHeight="1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</row>
    <row r="167" spans="2:46" ht="12" customHeight="1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</row>
    <row r="168" spans="2:46" ht="12" customHeight="1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</row>
    <row r="169" spans="2:46" ht="12" customHeight="1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</row>
    <row r="170" spans="2:46" ht="12" customHeight="1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</row>
    <row r="171" spans="2:46" ht="12" customHeight="1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</row>
    <row r="172" spans="2:46" ht="12" customHeight="1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</row>
    <row r="173" spans="2:46" ht="12" customHeight="1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</row>
    <row r="174" spans="2:46" ht="12" customHeight="1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</row>
    <row r="175" spans="2:46" ht="12" customHeight="1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</row>
    <row r="176" spans="2:46" ht="12" customHeight="1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</row>
    <row r="177" spans="2:46" ht="12" customHeight="1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</row>
    <row r="178" spans="2:46" ht="12" customHeight="1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</row>
    <row r="179" spans="2:46" ht="12" customHeight="1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</row>
    <row r="180" spans="2:46" ht="12" customHeight="1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</row>
    <row r="181" spans="2:46" ht="12" customHeight="1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</row>
    <row r="182" spans="2:46" ht="12" customHeight="1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</row>
    <row r="183" spans="2:46" ht="12" customHeight="1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</row>
    <row r="184" spans="2:46" ht="12" customHeight="1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</row>
    <row r="185" spans="2:46" ht="12" customHeight="1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</row>
    <row r="186" spans="2:46" ht="12" customHeight="1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</row>
    <row r="187" spans="2:46" ht="12" customHeight="1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</row>
    <row r="188" spans="2:46" ht="12" customHeight="1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</row>
    <row r="189" spans="2:46" ht="12" customHeight="1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</row>
    <row r="190" spans="2:46" ht="12" customHeight="1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</row>
    <row r="191" spans="2:46" ht="12" customHeight="1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</row>
    <row r="192" spans="2:46" ht="12" customHeight="1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</row>
    <row r="193" spans="2:46" ht="12" customHeight="1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</row>
    <row r="194" spans="2:46" ht="12" customHeight="1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</row>
    <row r="195" spans="2:46" ht="12" customHeight="1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</row>
    <row r="196" spans="2:46" ht="12" customHeight="1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</row>
    <row r="197" spans="2:46" ht="12" customHeight="1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</row>
    <row r="198" spans="2:46" ht="12" customHeight="1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</row>
    <row r="199" spans="2:46" ht="12" customHeight="1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</row>
    <row r="200" spans="2:46" ht="12" customHeight="1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</row>
    <row r="201" spans="2:46" ht="12" customHeight="1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</row>
    <row r="202" spans="2:46" ht="12" customHeight="1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</row>
    <row r="203" spans="2:46" ht="12" customHeight="1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</row>
    <row r="204" spans="2:46" ht="12" customHeight="1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</row>
    <row r="205" spans="2:46" ht="12" customHeight="1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</row>
    <row r="206" spans="2:46" ht="12" customHeight="1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</row>
    <row r="207" spans="2:46" ht="12" customHeight="1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</row>
    <row r="208" spans="2:46" ht="12" customHeight="1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</row>
    <row r="209" spans="2:46" ht="12" customHeight="1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</row>
    <row r="210" spans="2:46" ht="12" customHeight="1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</row>
    <row r="211" spans="2:46" ht="12" customHeight="1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</row>
    <row r="212" spans="2:46" ht="12" customHeight="1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</row>
    <row r="213" spans="2:46" ht="12" customHeight="1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</row>
    <row r="214" spans="2:46" ht="12" customHeight="1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</row>
    <row r="215" spans="2:46" ht="12" customHeight="1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</row>
    <row r="216" spans="2:46" ht="12" customHeight="1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</row>
    <row r="217" spans="2:46" ht="12" customHeight="1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</row>
    <row r="218" spans="2:46" ht="12" customHeight="1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</row>
    <row r="219" spans="2:46" ht="12" customHeight="1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</row>
    <row r="220" spans="2:46" ht="12" customHeight="1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</row>
    <row r="221" spans="2:46" ht="12" customHeight="1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</row>
    <row r="222" spans="2:46" ht="12" customHeight="1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</row>
    <row r="223" spans="2:46" ht="12" customHeight="1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</row>
    <row r="224" spans="2:46" ht="12" customHeight="1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</row>
    <row r="225" spans="2:46" ht="12" customHeight="1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</row>
    <row r="226" spans="2:46" ht="12" customHeight="1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</row>
    <row r="227" spans="2:46" ht="12" customHeight="1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</row>
    <row r="228" spans="2:46" ht="12" customHeight="1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</row>
    <row r="229" spans="2:46" ht="12" customHeight="1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</row>
    <row r="230" spans="2:46" ht="12" customHeight="1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</row>
    <row r="231" spans="2:46" ht="12" customHeight="1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</row>
    <row r="232" spans="2:46" ht="12" customHeight="1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</row>
    <row r="233" spans="2:46" ht="12" customHeight="1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</row>
    <row r="234" spans="2:46" ht="12" customHeight="1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</row>
    <row r="235" spans="2:46" ht="12" customHeight="1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</row>
    <row r="236" spans="2:46" ht="12" customHeight="1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</row>
    <row r="237" spans="2:46" ht="12" customHeight="1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</row>
    <row r="238" spans="2:46" ht="12" customHeight="1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</row>
    <row r="239" spans="2:46" ht="12" customHeight="1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</row>
    <row r="240" spans="2:46" ht="12" customHeight="1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</row>
    <row r="241" spans="2:46" ht="12" customHeight="1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</row>
    <row r="242" spans="2:46" ht="12" customHeight="1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</row>
    <row r="243" spans="2:46" ht="12" customHeight="1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</row>
    <row r="244" spans="2:46" ht="12" customHeight="1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</row>
    <row r="245" spans="2:46" ht="12" customHeight="1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</row>
    <row r="246" spans="2:46" ht="12" customHeight="1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</row>
    <row r="247" spans="2:46" ht="12" customHeight="1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</row>
    <row r="248" spans="2:46" ht="12" customHeight="1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</row>
    <row r="249" spans="2:46" ht="12" customHeight="1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</row>
    <row r="250" spans="2:46" ht="12" customHeight="1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</row>
    <row r="251" spans="2:46" ht="12" customHeight="1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</row>
    <row r="252" spans="2:46" ht="12" customHeight="1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</row>
    <row r="253" spans="2:46" ht="12" customHeight="1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</row>
    <row r="254" spans="2:46" ht="12" customHeight="1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</row>
    <row r="255" spans="2:46" ht="12" customHeight="1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</row>
    <row r="256" spans="2:46" ht="12" customHeight="1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</row>
    <row r="257" spans="2:46" ht="12" customHeight="1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</row>
    <row r="258" spans="2:46" ht="12" customHeight="1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</row>
    <row r="259" spans="2:46" ht="12" customHeight="1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</row>
    <row r="260" spans="2:46" ht="12" customHeight="1" x14ac:dyDescent="0.2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</row>
    <row r="261" spans="2:46" ht="12" customHeight="1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</row>
    <row r="262" spans="2:46" ht="12" customHeight="1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</row>
    <row r="263" spans="2:46" ht="12" customHeight="1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</row>
    <row r="264" spans="2:46" ht="12" customHeight="1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</row>
    <row r="265" spans="2:46" ht="12" customHeight="1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</row>
    <row r="266" spans="2:46" ht="12" customHeight="1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</row>
    <row r="267" spans="2:46" ht="12" customHeight="1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</row>
    <row r="268" spans="2:46" ht="12" customHeight="1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</row>
    <row r="269" spans="2:46" ht="12" customHeight="1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</row>
    <row r="270" spans="2:46" ht="12" customHeight="1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</row>
    <row r="271" spans="2:46" ht="12" customHeight="1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</row>
    <row r="272" spans="2:46" ht="12" customHeight="1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</row>
    <row r="273" spans="2:46" ht="12" customHeight="1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</row>
    <row r="274" spans="2:46" ht="12" customHeight="1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</row>
    <row r="275" spans="2:46" ht="12" customHeight="1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</row>
    <row r="276" spans="2:46" ht="12" customHeight="1" x14ac:dyDescent="0.2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</row>
    <row r="277" spans="2:46" ht="12" customHeight="1" x14ac:dyDescent="0.2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</row>
    <row r="278" spans="2:46" ht="12" customHeight="1" x14ac:dyDescent="0.2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</row>
    <row r="279" spans="2:46" ht="12" customHeight="1" x14ac:dyDescent="0.2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</row>
    <row r="280" spans="2:46" ht="12" customHeight="1" x14ac:dyDescent="0.2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</row>
    <row r="281" spans="2:46" ht="12" customHeight="1" x14ac:dyDescent="0.2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</row>
    <row r="282" spans="2:46" ht="12" customHeight="1" x14ac:dyDescent="0.2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</row>
    <row r="283" spans="2:46" ht="12" customHeight="1" x14ac:dyDescent="0.2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</row>
    <row r="284" spans="2:46" ht="12" customHeight="1" x14ac:dyDescent="0.2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</row>
    <row r="285" spans="2:46" ht="12" customHeight="1" x14ac:dyDescent="0.2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</row>
    <row r="286" spans="2:46" ht="12" customHeight="1" x14ac:dyDescent="0.2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</row>
    <row r="287" spans="2:46" ht="12" customHeight="1" x14ac:dyDescent="0.2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</row>
    <row r="288" spans="2:46" ht="12" customHeight="1" x14ac:dyDescent="0.2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</row>
    <row r="289" spans="2:46" ht="12" customHeight="1" x14ac:dyDescent="0.2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</row>
    <row r="290" spans="2:46" ht="12" customHeight="1" x14ac:dyDescent="0.2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</row>
    <row r="291" spans="2:46" ht="12" customHeight="1" x14ac:dyDescent="0.2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</row>
    <row r="292" spans="2:46" ht="12" customHeight="1" x14ac:dyDescent="0.2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</row>
    <row r="293" spans="2:46" ht="12" customHeight="1" x14ac:dyDescent="0.2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</row>
    <row r="294" spans="2:46" ht="12" customHeight="1" x14ac:dyDescent="0.2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</row>
    <row r="295" spans="2:46" ht="12" customHeight="1" x14ac:dyDescent="0.2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</row>
    <row r="296" spans="2:46" ht="12" customHeight="1" x14ac:dyDescent="0.2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</row>
    <row r="297" spans="2:46" ht="12" customHeight="1" x14ac:dyDescent="0.2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</row>
    <row r="298" spans="2:46" ht="12" customHeight="1" x14ac:dyDescent="0.2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</row>
    <row r="299" spans="2:46" ht="12" customHeight="1" x14ac:dyDescent="0.2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</row>
    <row r="300" spans="2:46" ht="12" customHeight="1" x14ac:dyDescent="0.2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</row>
    <row r="301" spans="2:46" ht="12" customHeight="1" x14ac:dyDescent="0.2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</row>
    <row r="302" spans="2:46" ht="12" customHeight="1" x14ac:dyDescent="0.2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</row>
    <row r="303" spans="2:46" ht="12" customHeight="1" x14ac:dyDescent="0.2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</row>
    <row r="304" spans="2:46" ht="12" customHeight="1" x14ac:dyDescent="0.2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</row>
    <row r="305" spans="2:46" ht="12" customHeight="1" x14ac:dyDescent="0.2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</row>
    <row r="306" spans="2:46" ht="12" customHeight="1" x14ac:dyDescent="0.2"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</row>
    <row r="307" spans="2:46" ht="12" customHeight="1" x14ac:dyDescent="0.2"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</row>
    <row r="308" spans="2:46" ht="12" customHeight="1" x14ac:dyDescent="0.2"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</row>
    <row r="309" spans="2:46" ht="12" customHeight="1" x14ac:dyDescent="0.2"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</row>
    <row r="310" spans="2:46" ht="12" customHeight="1" x14ac:dyDescent="0.2"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</row>
    <row r="311" spans="2:46" ht="12" customHeight="1" x14ac:dyDescent="0.2"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</row>
    <row r="312" spans="2:46" ht="12" customHeight="1" x14ac:dyDescent="0.2"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</row>
    <row r="313" spans="2:46" ht="12" customHeight="1" x14ac:dyDescent="0.2"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</row>
    <row r="314" spans="2:46" ht="12" customHeight="1" x14ac:dyDescent="0.2"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</row>
    <row r="315" spans="2:46" ht="12" customHeight="1" x14ac:dyDescent="0.2"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</row>
    <row r="316" spans="2:46" ht="12" customHeight="1" x14ac:dyDescent="0.2"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</row>
    <row r="317" spans="2:46" ht="12" customHeight="1" x14ac:dyDescent="0.2"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</row>
    <row r="318" spans="2:46" ht="12" customHeight="1" x14ac:dyDescent="0.2"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</row>
    <row r="319" spans="2:46" ht="12" customHeight="1" x14ac:dyDescent="0.2"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</row>
    <row r="320" spans="2:46" ht="12" customHeight="1" x14ac:dyDescent="0.2"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</row>
    <row r="321" spans="2:46" ht="12" customHeight="1" x14ac:dyDescent="0.2"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</row>
    <row r="322" spans="2:46" ht="12" customHeight="1" x14ac:dyDescent="0.2"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</row>
    <row r="323" spans="2:46" ht="12" customHeight="1" x14ac:dyDescent="0.2"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</row>
    <row r="324" spans="2:46" ht="12" customHeight="1" x14ac:dyDescent="0.2"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</row>
    <row r="325" spans="2:46" ht="12" customHeight="1" x14ac:dyDescent="0.2"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</row>
    <row r="326" spans="2:46" ht="12" customHeight="1" x14ac:dyDescent="0.2"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</row>
    <row r="327" spans="2:46" ht="12" customHeight="1" x14ac:dyDescent="0.2"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</row>
    <row r="328" spans="2:46" ht="12" customHeight="1" x14ac:dyDescent="0.2"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</row>
    <row r="329" spans="2:46" ht="12" customHeight="1" x14ac:dyDescent="0.2"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</row>
    <row r="330" spans="2:46" ht="12" customHeight="1" x14ac:dyDescent="0.2"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</row>
    <row r="331" spans="2:46" ht="12" customHeight="1" x14ac:dyDescent="0.2"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</row>
    <row r="332" spans="2:46" ht="12" customHeight="1" x14ac:dyDescent="0.2"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</row>
    <row r="333" spans="2:46" ht="12" customHeight="1" x14ac:dyDescent="0.2"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</row>
    <row r="334" spans="2:46" ht="12" customHeight="1" x14ac:dyDescent="0.2"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</row>
    <row r="335" spans="2:46" ht="12" customHeight="1" x14ac:dyDescent="0.2"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</row>
    <row r="336" spans="2:46" ht="12" customHeight="1" x14ac:dyDescent="0.2"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</row>
  </sheetData>
  <sheetProtection password="EC65" sheet="1" selectLockedCells="1"/>
  <mergeCells count="21">
    <mergeCell ref="F10:G10"/>
    <mergeCell ref="F11:I12"/>
    <mergeCell ref="E28:F28"/>
    <mergeCell ref="E47:G47"/>
    <mergeCell ref="E26:F26"/>
    <mergeCell ref="F4:G4"/>
    <mergeCell ref="L27:M27"/>
    <mergeCell ref="F5:I6"/>
    <mergeCell ref="J4:M8"/>
    <mergeCell ref="E53:G53"/>
    <mergeCell ref="E19:G19"/>
    <mergeCell ref="E34:H34"/>
    <mergeCell ref="C4:E4"/>
    <mergeCell ref="E18:F18"/>
    <mergeCell ref="E52:G52"/>
    <mergeCell ref="C5:E6"/>
    <mergeCell ref="J9:L10"/>
    <mergeCell ref="K11:K12"/>
    <mergeCell ref="E46:H46"/>
    <mergeCell ref="E27:F27"/>
    <mergeCell ref="E45:G45"/>
  </mergeCells>
  <phoneticPr fontId="0" type="noConversion"/>
  <conditionalFormatting sqref="K57:K58">
    <cfRule type="expression" dxfId="38" priority="51" stopIfTrue="1">
      <formula>ISERROR($K$57)</formula>
    </cfRule>
  </conditionalFormatting>
  <conditionalFormatting sqref="K48">
    <cfRule type="expression" dxfId="37" priority="54" stopIfTrue="1">
      <formula>ISERROR($K$48)</formula>
    </cfRule>
  </conditionalFormatting>
  <conditionalFormatting sqref="K48 K54 K35">
    <cfRule type="expression" dxfId="36" priority="56" stopIfTrue="1">
      <formula>ISERROR($K$35)</formula>
    </cfRule>
  </conditionalFormatting>
  <conditionalFormatting sqref="K52 K45:K46">
    <cfRule type="containsErrors" dxfId="35" priority="12" stopIfTrue="1">
      <formula>ISERROR(K45)</formula>
    </cfRule>
    <cfRule type="cellIs" dxfId="34" priority="25" stopIfTrue="1" operator="equal">
      <formula>0</formula>
    </cfRule>
  </conditionalFormatting>
  <conditionalFormatting sqref="K47 K51:K53 K26:K28 K34 K18:K19">
    <cfRule type="cellIs" dxfId="33" priority="24" stopIfTrue="1" operator="equal">
      <formula>0</formula>
    </cfRule>
  </conditionalFormatting>
  <conditionalFormatting sqref="K47">
    <cfRule type="containsErrors" dxfId="32" priority="2" stopIfTrue="1">
      <formula>ISERROR(K47)</formula>
    </cfRule>
    <cfRule type="expression" dxfId="31" priority="4" stopIfTrue="1">
      <formula>ISERROR($K$35)</formula>
    </cfRule>
  </conditionalFormatting>
  <conditionalFormatting sqref="K46">
    <cfRule type="containsErrors" dxfId="30" priority="3" stopIfTrue="1">
      <formula>ISERROR(K46)</formula>
    </cfRule>
  </conditionalFormatting>
  <conditionalFormatting sqref="K11:K12">
    <cfRule type="containsErrors" dxfId="29" priority="1" stopIfTrue="1">
      <formula>ISERROR(K11)</formula>
    </cfRule>
  </conditionalFormatting>
  <hyperlinks>
    <hyperlink ref="E34" location="GEOMETRY!F8" display="ROAD WIDTH (shoulder to shoulder)" xr:uid="{00000000-0004-0000-0100-000000000000}"/>
    <hyperlink ref="E18" location="'TRAFFIC &amp; ACCIDENTS'!D10" display="TRAFFIC VOLUME" xr:uid="{00000000-0004-0000-0100-000001000000}"/>
    <hyperlink ref="E19" location="'TRAFFIC &amp; ACCIDENTS'!I10" display="TRAFFIC ACCIDENTS" xr:uid="{00000000-0004-0000-0100-000002000000}"/>
    <hyperlink ref="E26" location="STRUCTURE!C10" display="CULVERT/ROAD" xr:uid="{00000000-0004-0000-0100-000003000000}"/>
    <hyperlink ref="E45" location="'ROADSIDE SAFETY'!C10" display="SIDESLOPES &amp; GUARDRAIL" xr:uid="{00000000-0004-0000-0100-000004000000}"/>
    <hyperlink ref="E46" location="'ROADSIDE SAFETY'!D24" display="REMOVE STRUCTURES &amp; OBSTRUCTIONS" xr:uid="{00000000-0004-0000-0100-000005000000}"/>
    <hyperlink ref="E28" location="STRUCTURE!C25" display="WATER QUALITY" xr:uid="{00000000-0004-0000-0100-000006000000}"/>
    <hyperlink ref="E27" location="STRUCTURE!C19" display="FISH PASSAGE" xr:uid="{00000000-0004-0000-0100-000007000000}"/>
    <hyperlink ref="E34:H34" location="GEOMETRY!F6" display="ROAD WIDTH (shoulder to shoulder)" xr:uid="{00000000-0004-0000-0100-000008000000}"/>
    <hyperlink ref="E52" location="'ROADSIDE SAFETY'!C10" display="SIDESLOPES &amp; GUARDRAIL" xr:uid="{00000000-0004-0000-0100-000009000000}"/>
    <hyperlink ref="E53" location="'ROADSIDE SAFETY'!C19" display="CULVERT END TREATMENTS" xr:uid="{00000000-0004-0000-0100-00000A000000}"/>
    <hyperlink ref="E53:G53" location="SIGNIFICANCE!C21" display="OTHER " xr:uid="{00000000-0004-0000-0100-00000B000000}"/>
    <hyperlink ref="E52:G52" location="SIGNIFICANCE!C10" display="LOCAL MATCH" xr:uid="{00000000-0004-0000-0100-00000C000000}"/>
    <hyperlink ref="E46:H46" location="'ROADSIDE SAFETY'!C22" display="FLOODING" xr:uid="{00000000-0004-0000-0100-00000D000000}"/>
    <hyperlink ref="E45:G45" location="'ROADSIDE SAFETY'!C8" display="SIDESLOPES &amp; GUARDRAIL" xr:uid="{00000000-0004-0000-0100-00000E000000}"/>
    <hyperlink ref="E18:F18" location="'TRAFFIC &amp; ACCIDENTS'!C7" display="TRAFFIC VOLUME" xr:uid="{00000000-0004-0000-0100-00000F000000}"/>
    <hyperlink ref="E19:G19" location="'TRAFFIC &amp; ACCIDENTS'!L9" display="TRAFFIC ACCIDENTS" xr:uid="{00000000-0004-0000-0100-000010000000}"/>
  </hyperlinks>
  <pageMargins left="0.42" right="0.5" top="0.5" bottom="0.4" header="0.3" footer="0.25"/>
  <pageSetup orientation="portrait" horizontalDpi="4294967292" verticalDpi="4294967292" r:id="rId1"/>
  <headerFooter alignWithMargins="0">
    <oddFooter xml:space="preserve">&amp;L&amp;8&amp;F&amp;C&amp;6
</oddFooter>
  </headerFooter>
  <rowBreaks count="1" manualBreakCount="1">
    <brk id="62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74"/>
  <sheetViews>
    <sheetView showGridLines="0" zoomScale="91" zoomScaleNormal="91" workbookViewId="0">
      <selection activeCell="D9" sqref="D9"/>
    </sheetView>
  </sheetViews>
  <sheetFormatPr defaultColWidth="0" defaultRowHeight="12.75" x14ac:dyDescent="0.2"/>
  <cols>
    <col min="1" max="1" width="2.5703125" style="168" customWidth="1"/>
    <col min="2" max="2" width="6.85546875" style="105" customWidth="1"/>
    <col min="3" max="3" width="7.85546875" style="105" customWidth="1"/>
    <col min="4" max="6" width="9.140625" style="105" customWidth="1"/>
    <col min="7" max="7" width="3.85546875" style="105" customWidth="1"/>
    <col min="8" max="8" width="8" style="105" customWidth="1"/>
    <col min="9" max="10" width="9.140625" style="105" customWidth="1"/>
    <col min="11" max="11" width="4.5703125" style="105" customWidth="1"/>
    <col min="12" max="12" width="9.140625" style="105" customWidth="1"/>
    <col min="13" max="13" width="5.5703125" style="105" customWidth="1"/>
    <col min="14" max="14" width="9.140625" style="105" customWidth="1"/>
    <col min="15" max="255" width="9.140625" style="105" hidden="1" customWidth="1"/>
    <col min="256" max="16384" width="8.140625" style="105" hidden="1"/>
  </cols>
  <sheetData>
    <row r="1" spans="2:21" s="168" customFormat="1" x14ac:dyDescent="0.2"/>
    <row r="2" spans="2:21" s="168" customFormat="1" ht="13.5" thickBot="1" x14ac:dyDescent="0.25"/>
    <row r="3" spans="2:21" ht="13.5" thickTop="1" x14ac:dyDescent="0.2"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168"/>
    </row>
    <row r="4" spans="2:21" ht="12.75" customHeight="1" x14ac:dyDescent="0.2">
      <c r="B4" s="92"/>
      <c r="C4" s="104"/>
      <c r="D4" s="493" t="s">
        <v>38</v>
      </c>
      <c r="E4" s="493"/>
      <c r="F4" s="493"/>
      <c r="G4" s="493"/>
      <c r="H4" s="493"/>
      <c r="I4" s="165"/>
      <c r="J4" s="165"/>
      <c r="K4" s="31"/>
      <c r="L4" s="31"/>
      <c r="M4" s="93"/>
      <c r="N4" s="170"/>
    </row>
    <row r="5" spans="2:21" ht="12.75" customHeight="1" x14ac:dyDescent="0.2">
      <c r="B5" s="92"/>
      <c r="C5" s="104"/>
      <c r="D5" s="493"/>
      <c r="E5" s="493"/>
      <c r="F5" s="493"/>
      <c r="G5" s="493"/>
      <c r="H5" s="493"/>
      <c r="I5" s="165"/>
      <c r="J5" s="111"/>
      <c r="K5" s="31"/>
      <c r="L5" s="31"/>
      <c r="M5" s="93"/>
      <c r="N5" s="170"/>
    </row>
    <row r="6" spans="2:21" ht="15.75" x14ac:dyDescent="0.2">
      <c r="B6" s="92"/>
      <c r="C6" s="91"/>
      <c r="D6" s="91"/>
      <c r="E6" s="76"/>
      <c r="F6" s="76"/>
      <c r="G6" s="23"/>
      <c r="H6" s="23"/>
      <c r="I6" s="23"/>
      <c r="J6" s="111"/>
      <c r="K6" s="31"/>
      <c r="L6" s="31"/>
      <c r="M6" s="93"/>
      <c r="N6" s="170"/>
    </row>
    <row r="7" spans="2:21" x14ac:dyDescent="0.2">
      <c r="B7" s="92"/>
      <c r="C7" s="201" t="s">
        <v>75</v>
      </c>
      <c r="D7" s="304"/>
      <c r="E7" s="77"/>
      <c r="F7" s="77"/>
      <c r="G7" s="77"/>
      <c r="H7" s="23"/>
      <c r="I7" s="494" t="s">
        <v>24</v>
      </c>
      <c r="J7" s="494"/>
      <c r="K7" s="498" t="s">
        <v>270</v>
      </c>
      <c r="L7" s="498"/>
      <c r="M7" s="499"/>
      <c r="N7" s="170"/>
    </row>
    <row r="8" spans="2:21" x14ac:dyDescent="0.2">
      <c r="B8" s="92"/>
      <c r="C8" s="23"/>
      <c r="D8" s="23"/>
      <c r="E8" s="78"/>
      <c r="F8" s="78"/>
      <c r="G8" s="78"/>
      <c r="H8" s="83"/>
      <c r="I8" s="83"/>
      <c r="J8" s="83"/>
      <c r="K8" s="498"/>
      <c r="L8" s="498"/>
      <c r="M8" s="499"/>
      <c r="N8" s="171"/>
    </row>
    <row r="9" spans="2:21" x14ac:dyDescent="0.2">
      <c r="B9" s="92"/>
      <c r="C9" s="79" t="s">
        <v>5</v>
      </c>
      <c r="D9" s="71"/>
      <c r="E9" s="173"/>
      <c r="F9" s="110" t="s">
        <v>158</v>
      </c>
      <c r="G9" s="110"/>
      <c r="H9" s="23"/>
      <c r="I9" s="23"/>
      <c r="J9" s="111"/>
      <c r="K9" s="79" t="s">
        <v>20</v>
      </c>
      <c r="L9" s="71"/>
      <c r="M9" s="93"/>
      <c r="N9" s="170"/>
    </row>
    <row r="10" spans="2:21" x14ac:dyDescent="0.2">
      <c r="B10" s="92"/>
      <c r="C10" s="79" t="s">
        <v>19</v>
      </c>
      <c r="D10" s="71"/>
      <c r="E10" s="174"/>
      <c r="F10" s="110" t="s">
        <v>159</v>
      </c>
      <c r="G10" s="110"/>
      <c r="H10" s="23"/>
      <c r="I10" s="23"/>
      <c r="J10" s="111"/>
      <c r="K10" s="79" t="s">
        <v>28</v>
      </c>
      <c r="L10" s="71"/>
      <c r="M10" s="93"/>
      <c r="N10" s="172"/>
    </row>
    <row r="11" spans="2:21" x14ac:dyDescent="0.2">
      <c r="B11" s="92"/>
      <c r="C11" s="30" t="s">
        <v>271</v>
      </c>
      <c r="D11" s="22">
        <f>SUMMARY!F7</f>
        <v>0</v>
      </c>
      <c r="E11" s="80" t="s">
        <v>23</v>
      </c>
      <c r="F11" s="80"/>
      <c r="G11" s="80"/>
      <c r="H11" s="23"/>
      <c r="I11" s="23"/>
      <c r="J11" s="111"/>
      <c r="K11" s="79" t="s">
        <v>18</v>
      </c>
      <c r="L11" s="71"/>
      <c r="M11" s="93"/>
      <c r="N11" s="172"/>
    </row>
    <row r="12" spans="2:21" x14ac:dyDescent="0.2">
      <c r="B12" s="92"/>
      <c r="C12" s="23"/>
      <c r="D12" s="23"/>
      <c r="E12" s="23"/>
      <c r="F12" s="23"/>
      <c r="G12" s="23"/>
      <c r="H12" s="23"/>
      <c r="I12" s="23"/>
      <c r="J12" s="23"/>
      <c r="K12" s="23"/>
      <c r="L12" s="346" t="s">
        <v>206</v>
      </c>
      <c r="M12" s="93"/>
      <c r="N12" s="172"/>
    </row>
    <row r="13" spans="2:21" ht="13.5" thickBot="1" x14ac:dyDescent="0.25"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  <c r="N13" s="168"/>
    </row>
    <row r="14" spans="2:21" s="168" customFormat="1" ht="13.5" thickTop="1" x14ac:dyDescent="0.2"/>
    <row r="15" spans="2:21" s="168" customFormat="1" x14ac:dyDescent="0.2"/>
    <row r="16" spans="2:21" s="168" customFormat="1" x14ac:dyDescent="0.2">
      <c r="B16" s="305"/>
      <c r="C16" s="305"/>
      <c r="D16" s="305"/>
      <c r="E16" s="305"/>
      <c r="F16" s="305"/>
      <c r="G16" s="306"/>
      <c r="H16" s="305"/>
      <c r="I16" s="307"/>
      <c r="J16" s="306"/>
      <c r="K16" s="305"/>
      <c r="L16" s="305"/>
      <c r="M16" s="305"/>
      <c r="N16" s="308"/>
      <c r="O16" s="305"/>
      <c r="P16" s="305"/>
      <c r="Q16" s="305"/>
      <c r="R16" s="309"/>
      <c r="S16" s="207"/>
      <c r="T16" s="207"/>
      <c r="U16" s="305"/>
    </row>
    <row r="17" spans="2:18" s="168" customFormat="1" x14ac:dyDescent="0.2">
      <c r="B17" s="310" t="s">
        <v>157</v>
      </c>
      <c r="C17" s="305"/>
      <c r="D17" s="305"/>
      <c r="E17" s="305"/>
      <c r="F17" s="305"/>
      <c r="G17" s="305"/>
      <c r="H17" s="305"/>
      <c r="I17" s="305"/>
      <c r="J17" s="207"/>
      <c r="K17" s="305"/>
      <c r="L17" s="207"/>
      <c r="M17" s="305"/>
      <c r="N17" s="305"/>
      <c r="O17" s="305"/>
      <c r="P17" s="305"/>
      <c r="Q17" s="305"/>
      <c r="R17" s="305"/>
    </row>
    <row r="18" spans="2:18" s="168" customFormat="1" x14ac:dyDescent="0.2">
      <c r="B18" s="305"/>
      <c r="C18" s="305"/>
      <c r="D18" s="305"/>
      <c r="E18" s="305"/>
      <c r="F18" s="305"/>
      <c r="G18" s="305"/>
      <c r="H18" s="207"/>
      <c r="I18" s="305"/>
      <c r="J18" s="207"/>
      <c r="K18" s="305"/>
      <c r="L18" s="305"/>
      <c r="M18" s="305"/>
      <c r="N18" s="305"/>
      <c r="O18" s="305"/>
      <c r="P18" s="305"/>
    </row>
    <row r="19" spans="2:18" s="168" customFormat="1" x14ac:dyDescent="0.2">
      <c r="B19" s="305"/>
      <c r="C19" s="305"/>
      <c r="D19" s="305"/>
      <c r="E19" s="305"/>
      <c r="F19" s="305"/>
      <c r="G19" s="305"/>
      <c r="H19" s="207"/>
      <c r="I19" s="305"/>
      <c r="J19" s="207"/>
      <c r="K19" s="305"/>
      <c r="L19" s="305"/>
      <c r="M19" s="305"/>
      <c r="N19" s="305"/>
      <c r="O19" s="305"/>
      <c r="P19" s="308"/>
    </row>
    <row r="20" spans="2:18" s="168" customFormat="1" x14ac:dyDescent="0.2">
      <c r="B20" s="305"/>
      <c r="C20" s="305" t="s">
        <v>136</v>
      </c>
      <c r="D20" s="305"/>
      <c r="E20" s="305"/>
      <c r="F20" s="311">
        <f>'TRAFFIC &amp; ACCIDENTS'!D9</f>
        <v>0</v>
      </c>
      <c r="H20" s="305" t="s">
        <v>137</v>
      </c>
      <c r="I20" s="305"/>
      <c r="J20" s="311">
        <f>'TRAFFIC &amp; ACCIDENTS'!E9</f>
        <v>0</v>
      </c>
      <c r="K20" s="170"/>
      <c r="L20" s="305"/>
      <c r="M20" s="305"/>
      <c r="N20" s="305"/>
      <c r="O20" s="305"/>
      <c r="P20" s="308"/>
    </row>
    <row r="21" spans="2:18" s="168" customFormat="1" x14ac:dyDescent="0.2">
      <c r="B21" s="305"/>
      <c r="C21" s="305" t="s">
        <v>138</v>
      </c>
      <c r="D21" s="305"/>
      <c r="E21" s="305"/>
      <c r="F21" s="305"/>
      <c r="H21" s="305"/>
      <c r="I21" s="305"/>
      <c r="J21" s="207"/>
      <c r="K21" s="305"/>
      <c r="L21" s="305"/>
      <c r="M21" s="305"/>
      <c r="N21" s="305"/>
      <c r="O21" s="305"/>
      <c r="P21" s="312"/>
    </row>
    <row r="22" spans="2:18" s="168" customFormat="1" x14ac:dyDescent="0.2">
      <c r="B22" s="305"/>
      <c r="C22" s="305" t="s">
        <v>139</v>
      </c>
      <c r="D22" s="305"/>
      <c r="E22" s="305"/>
      <c r="F22" s="311">
        <f>'TRAFFIC &amp; ACCIDENTS'!D10</f>
        <v>0</v>
      </c>
      <c r="H22" s="305" t="s">
        <v>140</v>
      </c>
      <c r="I22" s="305"/>
      <c r="J22" s="311">
        <f>'TRAFFIC &amp; ACCIDENTS'!E10</f>
        <v>0</v>
      </c>
      <c r="K22" s="170"/>
      <c r="L22" s="305"/>
      <c r="M22" s="305"/>
      <c r="N22" s="305"/>
      <c r="O22" s="305"/>
      <c r="P22" s="313"/>
    </row>
    <row r="23" spans="2:18" s="168" customFormat="1" x14ac:dyDescent="0.2">
      <c r="B23" s="305"/>
      <c r="C23" s="305"/>
      <c r="D23" s="305"/>
      <c r="E23" s="305"/>
      <c r="F23" s="305"/>
      <c r="G23" s="305"/>
      <c r="H23" s="207"/>
      <c r="I23" s="305"/>
      <c r="J23" s="207"/>
      <c r="K23" s="305"/>
      <c r="L23" s="305"/>
      <c r="M23" s="305"/>
      <c r="N23" s="305"/>
      <c r="O23" s="305"/>
      <c r="P23" s="305"/>
    </row>
    <row r="24" spans="2:18" s="168" customFormat="1" x14ac:dyDescent="0.2">
      <c r="B24" s="305"/>
      <c r="C24" s="305" t="s">
        <v>141</v>
      </c>
      <c r="D24" s="305"/>
      <c r="E24" s="305"/>
      <c r="F24" s="305"/>
      <c r="G24" s="305"/>
      <c r="H24" s="207"/>
      <c r="I24" s="305"/>
      <c r="J24" s="207"/>
      <c r="K24" s="305"/>
      <c r="L24" s="305"/>
      <c r="M24" s="305"/>
      <c r="N24" s="305"/>
      <c r="O24" s="305"/>
      <c r="P24" s="305"/>
    </row>
    <row r="25" spans="2:18" s="168" customFormat="1" x14ac:dyDescent="0.2">
      <c r="B25" s="305"/>
      <c r="C25" s="305" t="s">
        <v>142</v>
      </c>
      <c r="D25" s="305"/>
      <c r="E25" s="305"/>
      <c r="F25" s="305"/>
      <c r="G25" s="305"/>
      <c r="H25" s="207"/>
      <c r="I25" s="305"/>
      <c r="J25" s="207"/>
      <c r="K25" s="305"/>
      <c r="L25" s="305"/>
      <c r="M25" s="305"/>
      <c r="N25" s="305"/>
      <c r="O25" s="305"/>
      <c r="P25" s="305"/>
    </row>
    <row r="26" spans="2:18" s="168" customFormat="1" x14ac:dyDescent="0.2">
      <c r="B26" s="305"/>
      <c r="C26" s="305"/>
      <c r="D26" s="305"/>
      <c r="E26" s="305"/>
      <c r="F26" s="305"/>
      <c r="G26" s="305"/>
      <c r="H26" s="207"/>
      <c r="I26" s="305"/>
      <c r="J26" s="207"/>
      <c r="K26" s="305"/>
      <c r="L26" s="305"/>
      <c r="P26" s="305"/>
    </row>
    <row r="27" spans="2:18" s="168" customFormat="1" x14ac:dyDescent="0.2">
      <c r="B27" s="305"/>
      <c r="C27" s="305"/>
      <c r="D27" s="305"/>
      <c r="E27" s="305"/>
      <c r="F27" s="305"/>
      <c r="G27" s="305"/>
      <c r="H27" s="207"/>
      <c r="I27" s="305"/>
      <c r="J27" s="207"/>
      <c r="K27" s="305"/>
      <c r="L27" s="305"/>
      <c r="P27" s="305"/>
    </row>
    <row r="28" spans="2:18" s="168" customFormat="1" x14ac:dyDescent="0.2">
      <c r="B28" s="305"/>
      <c r="C28" s="305"/>
      <c r="D28" s="305"/>
      <c r="E28" s="305"/>
      <c r="F28" s="305"/>
      <c r="J28" s="305"/>
      <c r="O28" s="305"/>
    </row>
    <row r="29" spans="2:18" s="168" customFormat="1" x14ac:dyDescent="0.2">
      <c r="C29" s="305" t="s">
        <v>143</v>
      </c>
      <c r="D29" s="305"/>
      <c r="E29" s="305"/>
      <c r="F29" s="305"/>
      <c r="G29" s="207"/>
      <c r="H29" s="305"/>
      <c r="I29" s="207"/>
      <c r="J29" s="495" t="s">
        <v>4</v>
      </c>
      <c r="K29" s="496"/>
      <c r="L29" s="497"/>
      <c r="O29" s="305"/>
    </row>
    <row r="30" spans="2:18" s="168" customFormat="1" x14ac:dyDescent="0.2">
      <c r="D30" s="305" t="s">
        <v>2</v>
      </c>
      <c r="E30" s="305"/>
      <c r="F30" s="305"/>
      <c r="G30" s="207"/>
      <c r="H30" s="305"/>
      <c r="I30" s="207"/>
      <c r="J30" s="314"/>
      <c r="K30" s="169"/>
      <c r="L30" s="315"/>
      <c r="O30" s="305"/>
    </row>
    <row r="31" spans="2:18" s="168" customFormat="1" x14ac:dyDescent="0.2">
      <c r="C31" s="207" t="s">
        <v>144</v>
      </c>
      <c r="E31" s="207" t="s">
        <v>144</v>
      </c>
      <c r="G31" s="207"/>
      <c r="H31" s="207"/>
      <c r="I31" s="207"/>
      <c r="J31" s="314" t="s">
        <v>5</v>
      </c>
      <c r="K31" s="169"/>
      <c r="L31" s="316" t="s">
        <v>61</v>
      </c>
      <c r="O31" s="305"/>
    </row>
    <row r="32" spans="2:18" s="168" customFormat="1" x14ac:dyDescent="0.2">
      <c r="C32" s="317" t="s">
        <v>21</v>
      </c>
      <c r="E32" s="317" t="s">
        <v>145</v>
      </c>
      <c r="G32" s="207"/>
      <c r="H32" s="317" t="s">
        <v>1</v>
      </c>
      <c r="I32" s="207"/>
      <c r="J32" s="318" t="s">
        <v>6</v>
      </c>
      <c r="K32" s="169"/>
      <c r="L32" s="319" t="s">
        <v>6</v>
      </c>
      <c r="O32" s="305"/>
    </row>
    <row r="33" spans="2:19" s="168" customFormat="1" x14ac:dyDescent="0.2">
      <c r="C33" s="207"/>
      <c r="E33" s="207"/>
      <c r="G33" s="207"/>
      <c r="H33" s="207"/>
      <c r="I33" s="207"/>
      <c r="J33" s="314"/>
      <c r="K33" s="169"/>
      <c r="L33" s="315"/>
      <c r="O33" s="305"/>
    </row>
    <row r="34" spans="2:19" s="168" customFormat="1" x14ac:dyDescent="0.2">
      <c r="C34" s="317" t="s">
        <v>146</v>
      </c>
      <c r="D34" s="320" t="s">
        <v>147</v>
      </c>
      <c r="E34" s="317" t="s">
        <v>148</v>
      </c>
      <c r="G34" s="207"/>
      <c r="H34" s="320">
        <v>1</v>
      </c>
      <c r="I34" s="207"/>
      <c r="J34" s="321">
        <f>IF(F20=0,0,J35)</f>
        <v>0</v>
      </c>
      <c r="K34" s="221" t="s">
        <v>138</v>
      </c>
      <c r="L34" s="322">
        <f>IF(F22=0,0,L35)</f>
        <v>0</v>
      </c>
      <c r="O34" s="305"/>
    </row>
    <row r="35" spans="2:19" s="168" customFormat="1" x14ac:dyDescent="0.2">
      <c r="C35" s="207" t="s">
        <v>149</v>
      </c>
      <c r="E35" s="207" t="s">
        <v>150</v>
      </c>
      <c r="G35" s="207"/>
      <c r="H35" s="320">
        <v>2</v>
      </c>
      <c r="I35" s="207"/>
      <c r="J35" s="323">
        <f>IF(AND(F20&lt;501,F20&lt;&gt;0),H34,J36)</f>
        <v>2</v>
      </c>
      <c r="K35" s="176"/>
      <c r="L35" s="324">
        <f>IF(F22&lt;51,H34,L36)</f>
        <v>1</v>
      </c>
      <c r="O35" s="305"/>
    </row>
    <row r="36" spans="2:19" s="168" customFormat="1" x14ac:dyDescent="0.2">
      <c r="C36" s="207" t="s">
        <v>151</v>
      </c>
      <c r="E36" s="207" t="s">
        <v>152</v>
      </c>
      <c r="G36" s="207"/>
      <c r="H36" s="320">
        <v>3</v>
      </c>
      <c r="I36" s="207"/>
      <c r="J36" s="325">
        <f>IF(F20&lt;1001,H35,J37)</f>
        <v>2</v>
      </c>
      <c r="K36" s="177"/>
      <c r="L36" s="325">
        <f>IF(F22&lt;101,H35,L37)</f>
        <v>2</v>
      </c>
      <c r="O36" s="305"/>
    </row>
    <row r="37" spans="2:19" s="168" customFormat="1" x14ac:dyDescent="0.2">
      <c r="C37" s="207" t="s">
        <v>153</v>
      </c>
      <c r="E37" s="207" t="s">
        <v>154</v>
      </c>
      <c r="G37" s="207"/>
      <c r="H37" s="320">
        <v>4</v>
      </c>
      <c r="I37" s="207"/>
      <c r="J37" s="325">
        <f>IF(F20&lt;2001,H36,J38)</f>
        <v>3</v>
      </c>
      <c r="K37" s="177"/>
      <c r="L37" s="325">
        <f>IF(F22&lt;201,H36,L38)</f>
        <v>3</v>
      </c>
      <c r="O37" s="305"/>
    </row>
    <row r="38" spans="2:19" s="168" customFormat="1" x14ac:dyDescent="0.2">
      <c r="C38" s="317" t="s">
        <v>155</v>
      </c>
      <c r="E38" s="317" t="s">
        <v>156</v>
      </c>
      <c r="G38" s="207"/>
      <c r="H38" s="320">
        <v>5</v>
      </c>
      <c r="I38" s="207"/>
      <c r="J38" s="325">
        <f>IF(F20&lt;5001,H37,J39)</f>
        <v>4</v>
      </c>
      <c r="K38" s="177"/>
      <c r="L38" s="325">
        <f>IF(F22&lt;501,H37,L39)</f>
        <v>4</v>
      </c>
      <c r="O38" s="305"/>
    </row>
    <row r="39" spans="2:19" s="168" customFormat="1" x14ac:dyDescent="0.2">
      <c r="H39" s="326"/>
      <c r="I39" s="207"/>
      <c r="J39" s="325">
        <f>IF(F20&gt;=5001,H38,0)</f>
        <v>0</v>
      </c>
      <c r="K39" s="177"/>
      <c r="L39" s="325">
        <f>IF(F22&gt;=501,H38,0)</f>
        <v>0</v>
      </c>
      <c r="O39" s="305"/>
    </row>
    <row r="40" spans="2:19" s="168" customFormat="1" x14ac:dyDescent="0.2">
      <c r="H40" s="305"/>
      <c r="I40" s="207"/>
      <c r="J40" s="305"/>
      <c r="K40" s="305"/>
      <c r="L40" s="305"/>
      <c r="M40" s="305"/>
      <c r="N40" s="305"/>
      <c r="O40" s="305"/>
    </row>
    <row r="41" spans="2:19" s="168" customFormat="1" x14ac:dyDescent="0.2">
      <c r="B41" s="305"/>
      <c r="I41" s="305"/>
      <c r="J41" s="207"/>
      <c r="K41" s="305"/>
      <c r="L41" s="305"/>
      <c r="M41" s="305"/>
      <c r="N41" s="305"/>
      <c r="O41" s="305"/>
      <c r="P41" s="305"/>
    </row>
    <row r="42" spans="2:19" s="168" customFormat="1" x14ac:dyDescent="0.2">
      <c r="B42" s="305"/>
      <c r="C42" s="305"/>
      <c r="D42" s="305"/>
      <c r="E42" s="305"/>
      <c r="F42" s="305"/>
      <c r="G42" s="305"/>
      <c r="H42" s="327" t="s">
        <v>57</v>
      </c>
      <c r="I42" s="305"/>
      <c r="J42" s="207"/>
      <c r="K42" s="305"/>
      <c r="L42" s="328">
        <f>IF(F22&gt;(F20/10),L34,J34)</f>
        <v>0</v>
      </c>
      <c r="N42" s="305"/>
      <c r="O42" s="305"/>
      <c r="P42" s="305"/>
    </row>
    <row r="43" spans="2:19" s="168" customFormat="1" x14ac:dyDescent="0.2">
      <c r="B43" s="329"/>
      <c r="C43" s="329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1"/>
      <c r="O43" s="330"/>
      <c r="P43" s="207"/>
      <c r="Q43" s="207"/>
      <c r="R43" s="305"/>
      <c r="S43" s="305"/>
    </row>
    <row r="44" spans="2:19" s="168" customFormat="1" x14ac:dyDescent="0.2"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207"/>
      <c r="Q44" s="207"/>
      <c r="R44" s="305"/>
      <c r="S44" s="305"/>
    </row>
    <row r="45" spans="2:19" s="168" customFormat="1" x14ac:dyDescent="0.2">
      <c r="B45" s="310" t="s">
        <v>205</v>
      </c>
      <c r="C45" s="330"/>
      <c r="D45" s="330"/>
      <c r="E45" s="330"/>
      <c r="F45" s="330"/>
      <c r="G45" s="332"/>
      <c r="H45" s="332"/>
      <c r="I45" s="305"/>
      <c r="J45" s="207"/>
      <c r="K45" s="305"/>
      <c r="L45" s="207"/>
      <c r="M45" s="305"/>
      <c r="N45" s="305"/>
      <c r="O45" s="305"/>
      <c r="P45" s="305"/>
      <c r="Q45" s="305"/>
    </row>
    <row r="46" spans="2:19" s="168" customFormat="1" x14ac:dyDescent="0.2">
      <c r="C46" s="305"/>
      <c r="D46" s="305"/>
      <c r="E46" s="305"/>
      <c r="F46" s="305"/>
      <c r="G46" s="305"/>
      <c r="H46" s="305"/>
      <c r="I46" s="305"/>
      <c r="J46" s="207"/>
      <c r="K46" s="305"/>
      <c r="L46" s="207"/>
      <c r="M46" s="305"/>
      <c r="N46" s="305"/>
      <c r="O46" s="305"/>
      <c r="P46" s="305"/>
      <c r="Q46" s="305"/>
    </row>
    <row r="47" spans="2:19" s="168" customFormat="1" x14ac:dyDescent="0.2">
      <c r="C47" s="305"/>
      <c r="D47" s="305"/>
      <c r="E47" s="305"/>
      <c r="F47" s="305"/>
      <c r="G47" s="305"/>
      <c r="H47" s="305"/>
      <c r="I47" s="305"/>
      <c r="J47" s="207"/>
      <c r="K47" s="305"/>
      <c r="L47" s="207"/>
      <c r="M47" s="305"/>
      <c r="N47" s="305"/>
      <c r="O47" s="305"/>
      <c r="P47" s="305"/>
      <c r="Q47" s="305"/>
    </row>
    <row r="48" spans="2:19" s="168" customFormat="1" x14ac:dyDescent="0.2">
      <c r="C48" s="305"/>
      <c r="D48" s="305" t="s">
        <v>160</v>
      </c>
      <c r="E48" s="305"/>
      <c r="F48" s="305"/>
      <c r="G48" s="305"/>
      <c r="H48" s="305"/>
      <c r="I48" s="305"/>
      <c r="J48" s="207"/>
      <c r="K48" s="305"/>
      <c r="L48" s="207"/>
      <c r="M48" s="305"/>
      <c r="N48" s="305"/>
      <c r="O48" s="305"/>
      <c r="P48" s="305"/>
      <c r="Q48" s="305"/>
    </row>
    <row r="49" spans="3:17" s="168" customFormat="1" x14ac:dyDescent="0.2">
      <c r="C49" s="305"/>
      <c r="D49" s="305"/>
      <c r="E49" s="305"/>
      <c r="F49" s="305"/>
      <c r="G49" s="305" t="s">
        <v>161</v>
      </c>
      <c r="H49" s="305"/>
      <c r="I49" s="305"/>
      <c r="J49" s="207"/>
      <c r="K49" s="305"/>
      <c r="L49" s="207"/>
      <c r="M49" s="305"/>
      <c r="N49" s="305"/>
      <c r="O49" s="305"/>
      <c r="P49" s="305"/>
      <c r="Q49" s="305"/>
    </row>
    <row r="50" spans="3:17" s="168" customFormat="1" x14ac:dyDescent="0.2">
      <c r="C50" s="305"/>
      <c r="D50" s="305"/>
      <c r="E50" s="305"/>
      <c r="F50" s="305"/>
      <c r="G50" s="305" t="s">
        <v>162</v>
      </c>
      <c r="H50" s="305"/>
      <c r="I50" s="207"/>
      <c r="J50" s="305"/>
      <c r="K50" s="207"/>
      <c r="L50" s="305"/>
      <c r="M50" s="305"/>
      <c r="O50" s="305"/>
      <c r="P50" s="305"/>
      <c r="Q50" s="305"/>
    </row>
    <row r="51" spans="3:17" s="168" customFormat="1" x14ac:dyDescent="0.2">
      <c r="C51" s="305"/>
      <c r="D51" s="333"/>
      <c r="E51" s="334" t="s">
        <v>163</v>
      </c>
      <c r="F51" s="305" t="s">
        <v>2</v>
      </c>
      <c r="G51" s="335" t="s">
        <v>164</v>
      </c>
      <c r="H51" s="305"/>
      <c r="I51" s="335" t="s">
        <v>165</v>
      </c>
      <c r="K51" s="335" t="s">
        <v>166</v>
      </c>
      <c r="L51" s="305"/>
      <c r="O51" s="305"/>
      <c r="P51" s="305"/>
      <c r="Q51" s="305"/>
    </row>
    <row r="52" spans="3:17" s="168" customFormat="1" x14ac:dyDescent="0.2">
      <c r="C52" s="305" t="s">
        <v>2</v>
      </c>
      <c r="D52" s="305"/>
      <c r="E52" s="305"/>
      <c r="F52" s="305"/>
      <c r="G52" s="305"/>
      <c r="H52" s="305"/>
      <c r="I52" s="207"/>
      <c r="J52" s="305"/>
      <c r="K52" s="207"/>
      <c r="L52" s="305"/>
      <c r="M52" s="305"/>
      <c r="O52" s="305"/>
      <c r="P52" s="305"/>
      <c r="Q52" s="305"/>
    </row>
    <row r="53" spans="3:17" s="168" customFormat="1" x14ac:dyDescent="0.2">
      <c r="C53" s="305"/>
      <c r="D53" s="305"/>
      <c r="E53" s="207"/>
      <c r="F53" s="207"/>
      <c r="G53" s="207"/>
      <c r="H53" s="207"/>
      <c r="I53" s="207"/>
      <c r="J53" s="207"/>
      <c r="K53" s="207"/>
      <c r="L53" s="305"/>
      <c r="M53" s="305"/>
      <c r="O53" s="305"/>
      <c r="P53" s="305"/>
      <c r="Q53" s="305"/>
    </row>
    <row r="54" spans="3:17" s="168" customFormat="1" x14ac:dyDescent="0.2">
      <c r="E54" s="336" t="s">
        <v>172</v>
      </c>
      <c r="F54" s="207"/>
      <c r="G54" s="337">
        <f>L9</f>
        <v>0</v>
      </c>
      <c r="H54" s="207"/>
      <c r="I54" s="337">
        <f>L10</f>
        <v>0</v>
      </c>
      <c r="J54" s="207"/>
      <c r="K54" s="337">
        <f>L11</f>
        <v>0</v>
      </c>
      <c r="L54" s="305"/>
      <c r="M54" s="305"/>
      <c r="O54" s="305"/>
      <c r="P54" s="305"/>
      <c r="Q54" s="305"/>
    </row>
    <row r="55" spans="3:17" s="168" customFormat="1" x14ac:dyDescent="0.2">
      <c r="D55" s="305"/>
      <c r="E55" s="326" t="s">
        <v>173</v>
      </c>
      <c r="F55" s="207"/>
      <c r="G55" s="338" t="s">
        <v>167</v>
      </c>
      <c r="H55" s="207"/>
      <c r="I55" s="339" t="s">
        <v>168</v>
      </c>
      <c r="J55" s="207"/>
      <c r="K55" s="338" t="s">
        <v>168</v>
      </c>
      <c r="O55" s="305"/>
      <c r="P55" s="305"/>
      <c r="Q55" s="305"/>
    </row>
    <row r="56" spans="3:17" s="168" customFormat="1" x14ac:dyDescent="0.2">
      <c r="D56" s="305"/>
      <c r="E56" s="305"/>
      <c r="F56" s="207"/>
      <c r="G56" s="207"/>
      <c r="H56" s="207"/>
      <c r="I56" s="207"/>
      <c r="J56" s="207"/>
      <c r="K56" s="207"/>
      <c r="L56" s="305"/>
      <c r="M56" s="305"/>
      <c r="O56" s="305"/>
      <c r="P56" s="305"/>
      <c r="Q56" s="305"/>
    </row>
    <row r="57" spans="3:17" s="168" customFormat="1" x14ac:dyDescent="0.2">
      <c r="E57" s="305" t="s">
        <v>169</v>
      </c>
      <c r="F57" s="207"/>
      <c r="G57" s="340" t="str">
        <f>IF(G54=0,"",G54*1)</f>
        <v/>
      </c>
      <c r="H57" s="207" t="s">
        <v>8</v>
      </c>
      <c r="I57" s="340" t="str">
        <f>IF(I54=0,"",I54*5)</f>
        <v/>
      </c>
      <c r="J57" s="207" t="s">
        <v>8</v>
      </c>
      <c r="K57" s="340" t="str">
        <f>IF(K54=0,"",K54*5)</f>
        <v/>
      </c>
      <c r="L57" s="341" t="s">
        <v>7</v>
      </c>
      <c r="M57" s="207">
        <f>SUM(G57,I57,K57)</f>
        <v>0</v>
      </c>
      <c r="O57" s="305"/>
      <c r="P57" s="305"/>
      <c r="Q57" s="305"/>
    </row>
    <row r="58" spans="3:17" s="168" customFormat="1" x14ac:dyDescent="0.2">
      <c r="C58" s="305"/>
      <c r="D58" s="305"/>
      <c r="E58" s="305"/>
      <c r="F58" s="305"/>
      <c r="G58" s="305"/>
      <c r="H58" s="305"/>
      <c r="I58" s="305"/>
      <c r="J58" s="207"/>
      <c r="K58" s="305"/>
      <c r="L58" s="207"/>
      <c r="M58" s="305"/>
      <c r="N58" s="305"/>
      <c r="O58" s="305"/>
      <c r="P58" s="305"/>
      <c r="Q58" s="305"/>
    </row>
    <row r="59" spans="3:17" s="168" customFormat="1" x14ac:dyDescent="0.2">
      <c r="C59" s="305"/>
      <c r="D59" s="305"/>
      <c r="E59" s="305"/>
      <c r="F59" s="305"/>
      <c r="G59" s="305"/>
      <c r="H59" s="305"/>
      <c r="I59" s="305"/>
      <c r="J59" s="207"/>
      <c r="K59" s="305"/>
      <c r="L59" s="207"/>
      <c r="M59" s="305"/>
      <c r="N59" s="305"/>
      <c r="O59" s="305"/>
      <c r="P59" s="305"/>
      <c r="Q59" s="305"/>
    </row>
    <row r="60" spans="3:17" s="168" customFormat="1" x14ac:dyDescent="0.2">
      <c r="C60" s="305"/>
      <c r="D60" s="305"/>
      <c r="E60" s="305"/>
      <c r="F60" s="305"/>
      <c r="G60" s="305"/>
      <c r="H60" s="305"/>
      <c r="I60" s="305"/>
      <c r="J60" s="207"/>
      <c r="K60" s="305"/>
      <c r="L60" s="207"/>
      <c r="M60" s="305"/>
      <c r="N60" s="305"/>
      <c r="O60" s="305"/>
      <c r="P60" s="305"/>
      <c r="Q60" s="305"/>
    </row>
    <row r="61" spans="3:17" s="168" customFormat="1" x14ac:dyDescent="0.2">
      <c r="C61" s="305"/>
      <c r="E61" s="305"/>
      <c r="F61" s="305"/>
      <c r="G61" s="305"/>
      <c r="H61" s="305"/>
      <c r="I61" s="305"/>
      <c r="O61" s="305"/>
      <c r="P61" s="305"/>
      <c r="Q61" s="305"/>
    </row>
    <row r="62" spans="3:17" s="168" customFormat="1" x14ac:dyDescent="0.2">
      <c r="C62" s="305"/>
      <c r="D62" s="305"/>
      <c r="E62" s="305"/>
      <c r="F62" s="305"/>
      <c r="G62" s="342"/>
      <c r="H62" s="305"/>
      <c r="I62" s="207"/>
      <c r="J62" s="343" t="s">
        <v>170</v>
      </c>
      <c r="L62" s="344">
        <f>IF(SUM(G57,I57,K57)&gt;25,25,SUM(G57,I57,K57))</f>
        <v>0</v>
      </c>
      <c r="P62" s="305"/>
      <c r="Q62" s="305"/>
    </row>
    <row r="63" spans="3:17" s="168" customFormat="1" x14ac:dyDescent="0.2">
      <c r="C63" s="305" t="s">
        <v>2</v>
      </c>
      <c r="D63" s="305"/>
      <c r="E63" s="305"/>
      <c r="F63" s="305"/>
      <c r="G63" s="207"/>
      <c r="H63" s="345" t="s">
        <v>171</v>
      </c>
      <c r="I63" s="207"/>
      <c r="J63" s="305"/>
      <c r="K63" s="305"/>
      <c r="L63" s="305"/>
      <c r="P63" s="305"/>
      <c r="Q63" s="305"/>
    </row>
    <row r="64" spans="3:17" s="168" customFormat="1" x14ac:dyDescent="0.2"/>
    <row r="65" s="168" customFormat="1" x14ac:dyDescent="0.2"/>
    <row r="66" s="168" customFormat="1" x14ac:dyDescent="0.2"/>
    <row r="67" s="168" customFormat="1" x14ac:dyDescent="0.2"/>
    <row r="68" s="168" customFormat="1" x14ac:dyDescent="0.2"/>
    <row r="69" s="168" customFormat="1" x14ac:dyDescent="0.2"/>
    <row r="70" s="168" customFormat="1" x14ac:dyDescent="0.2"/>
    <row r="71" s="168" customFormat="1" x14ac:dyDescent="0.2"/>
    <row r="72" s="168" customFormat="1" x14ac:dyDescent="0.2"/>
    <row r="73" s="168" customFormat="1" x14ac:dyDescent="0.2"/>
    <row r="74" s="168" customFormat="1" x14ac:dyDescent="0.2"/>
  </sheetData>
  <sheetProtection password="EC65" sheet="1" selectLockedCells="1"/>
  <mergeCells count="4">
    <mergeCell ref="D4:H5"/>
    <mergeCell ref="I7:J7"/>
    <mergeCell ref="J29:L29"/>
    <mergeCell ref="K7:M8"/>
  </mergeCells>
  <conditionalFormatting sqref="B19">
    <cfRule type="expression" dxfId="28" priority="58" stopIfTrue="1">
      <formula>ISERROR(#REF!)</formula>
    </cfRule>
  </conditionalFormatting>
  <pageMargins left="0.7" right="0.7" top="0.75" bottom="0.75" header="0.3" footer="0.3"/>
  <pageSetup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2"/>
  <sheetViews>
    <sheetView showGridLines="0" workbookViewId="0">
      <selection activeCell="M8" sqref="M8"/>
    </sheetView>
  </sheetViews>
  <sheetFormatPr defaultColWidth="0" defaultRowHeight="12.75" customHeight="1" zeroHeight="1" x14ac:dyDescent="0.2"/>
  <cols>
    <col min="1" max="1" width="2.42578125" style="226" customWidth="1"/>
    <col min="2" max="2" width="6.7109375" style="226" customWidth="1"/>
    <col min="3" max="10" width="6.5703125" style="226" customWidth="1"/>
    <col min="11" max="11" width="7" style="226" customWidth="1"/>
    <col min="12" max="12" width="9" style="226" customWidth="1"/>
    <col min="13" max="13" width="8.5703125" style="226" customWidth="1"/>
    <col min="14" max="14" width="6.5703125" style="226" customWidth="1"/>
    <col min="15" max="15" width="9.140625" style="226" customWidth="1"/>
    <col min="16" max="16384" width="0" style="226" hidden="1"/>
  </cols>
  <sheetData>
    <row r="1" spans="2:14" ht="13.5" thickBot="1" x14ac:dyDescent="0.25"/>
    <row r="2" spans="2:14" ht="15.75" customHeight="1" x14ac:dyDescent="0.2">
      <c r="B2" s="405"/>
      <c r="C2" s="406"/>
      <c r="D2" s="407"/>
      <c r="E2" s="500" t="s">
        <v>85</v>
      </c>
      <c r="F2" s="500"/>
      <c r="G2" s="500"/>
      <c r="H2" s="500"/>
      <c r="I2" s="500"/>
      <c r="J2" s="500"/>
      <c r="K2" s="500"/>
      <c r="L2" s="408"/>
      <c r="M2" s="510" t="s">
        <v>274</v>
      </c>
      <c r="N2" s="511"/>
    </row>
    <row r="3" spans="2:14" ht="15.75" customHeight="1" x14ac:dyDescent="0.2">
      <c r="B3" s="238"/>
      <c r="C3" s="409"/>
      <c r="D3" s="409"/>
      <c r="E3" s="501"/>
      <c r="F3" s="501"/>
      <c r="G3" s="501"/>
      <c r="H3" s="501"/>
      <c r="I3" s="501"/>
      <c r="J3" s="501"/>
      <c r="K3" s="501"/>
      <c r="L3" s="240"/>
      <c r="M3" s="512"/>
      <c r="N3" s="513"/>
    </row>
    <row r="4" spans="2:14" x14ac:dyDescent="0.2">
      <c r="B4" s="238"/>
      <c r="C4" s="240"/>
      <c r="D4" s="242"/>
      <c r="E4" s="242"/>
      <c r="F4" s="242"/>
      <c r="G4" s="242"/>
      <c r="H4" s="241"/>
      <c r="I4" s="242"/>
      <c r="J4" s="242"/>
      <c r="K4" s="239"/>
      <c r="L4" s="281"/>
      <c r="M4" s="239"/>
      <c r="N4" s="289"/>
    </row>
    <row r="5" spans="2:14" ht="12" customHeight="1" x14ac:dyDescent="0.2">
      <c r="B5" s="238"/>
      <c r="C5" s="212"/>
      <c r="D5" s="410"/>
      <c r="E5" s="410"/>
      <c r="F5" s="410"/>
      <c r="G5" s="410"/>
      <c r="H5" s="410"/>
      <c r="I5" s="410"/>
      <c r="J5" s="411"/>
      <c r="K5" s="412"/>
      <c r="L5" s="404" t="s">
        <v>196</v>
      </c>
      <c r="M5" s="404" t="s">
        <v>215</v>
      </c>
      <c r="N5" s="289"/>
    </row>
    <row r="6" spans="2:14" ht="12.75" customHeight="1" x14ac:dyDescent="0.2">
      <c r="B6" s="238"/>
      <c r="C6" s="212"/>
      <c r="D6" s="410"/>
      <c r="E6" s="410"/>
      <c r="F6" s="410"/>
      <c r="G6" s="410"/>
      <c r="H6" s="239"/>
      <c r="I6" s="239"/>
      <c r="J6" s="411"/>
      <c r="K6" s="413"/>
      <c r="L6" s="414" t="s">
        <v>195</v>
      </c>
      <c r="M6" s="415" t="s">
        <v>216</v>
      </c>
      <c r="N6" s="289"/>
    </row>
    <row r="7" spans="2:14" x14ac:dyDescent="0.2">
      <c r="B7" s="238"/>
      <c r="C7" s="416" t="s">
        <v>175</v>
      </c>
      <c r="D7" s="416"/>
      <c r="E7" s="416"/>
      <c r="F7" s="416"/>
      <c r="G7" s="416"/>
      <c r="H7" s="416"/>
      <c r="I7" s="416"/>
      <c r="J7" s="417"/>
      <c r="K7" s="413"/>
      <c r="L7" s="418"/>
      <c r="M7" s="419"/>
      <c r="N7" s="289"/>
    </row>
    <row r="8" spans="2:14" x14ac:dyDescent="0.2">
      <c r="B8" s="420"/>
      <c r="C8" s="421" t="s">
        <v>221</v>
      </c>
      <c r="D8" s="414"/>
      <c r="E8" s="422"/>
      <c r="F8" s="257"/>
      <c r="G8" s="257"/>
      <c r="H8" s="414"/>
      <c r="I8" s="414"/>
      <c r="J8" s="423"/>
      <c r="K8" s="424"/>
      <c r="L8" s="425">
        <v>25</v>
      </c>
      <c r="M8" s="426"/>
      <c r="N8" s="289"/>
    </row>
    <row r="9" spans="2:14" x14ac:dyDescent="0.2">
      <c r="B9" s="420"/>
      <c r="C9" s="239" t="s">
        <v>222</v>
      </c>
      <c r="D9" s="414"/>
      <c r="E9" s="427"/>
      <c r="F9" s="415"/>
      <c r="G9" s="257"/>
      <c r="H9" s="428"/>
      <c r="I9" s="415"/>
      <c r="J9" s="423"/>
      <c r="K9" s="424"/>
      <c r="L9" s="425">
        <v>35</v>
      </c>
      <c r="M9" s="426"/>
      <c r="N9" s="289"/>
    </row>
    <row r="10" spans="2:14" x14ac:dyDescent="0.2">
      <c r="B10" s="420"/>
      <c r="C10" s="421" t="s">
        <v>223</v>
      </c>
      <c r="D10" s="414"/>
      <c r="E10" s="422"/>
      <c r="F10" s="415"/>
      <c r="G10" s="257"/>
      <c r="H10" s="429"/>
      <c r="I10" s="430"/>
      <c r="J10" s="423"/>
      <c r="K10" s="424"/>
      <c r="L10" s="425">
        <v>45</v>
      </c>
      <c r="M10" s="426"/>
      <c r="N10" s="289"/>
    </row>
    <row r="11" spans="2:14" x14ac:dyDescent="0.2">
      <c r="B11" s="431"/>
      <c r="C11" s="432"/>
      <c r="D11" s="242"/>
      <c r="E11" s="432"/>
      <c r="F11" s="239"/>
      <c r="G11" s="239"/>
      <c r="H11" s="242"/>
      <c r="I11" s="242"/>
      <c r="J11" s="423"/>
      <c r="K11" s="424"/>
      <c r="L11" s="433" t="s">
        <v>99</v>
      </c>
      <c r="M11" s="412">
        <f>IF(M8&lt;&gt;"",25,IF(M9&lt;&gt;"",35,IF(M10&lt;&gt;"",45,0)))</f>
        <v>0</v>
      </c>
      <c r="N11" s="289"/>
    </row>
    <row r="12" spans="2:14" x14ac:dyDescent="0.2">
      <c r="B12" s="431"/>
      <c r="C12" s="257"/>
      <c r="D12" s="242"/>
      <c r="E12" s="410"/>
      <c r="F12" s="434"/>
      <c r="G12" s="239"/>
      <c r="H12" s="239"/>
      <c r="I12" s="434"/>
      <c r="J12" s="423"/>
      <c r="K12" s="424"/>
      <c r="L12" s="425" t="str">
        <f>IF(J12&lt;&gt;"",1,"")</f>
        <v/>
      </c>
      <c r="M12" s="412" t="str">
        <f>IF(K12&lt;&gt;"",1,"")</f>
        <v/>
      </c>
      <c r="N12" s="289"/>
    </row>
    <row r="13" spans="2:14" x14ac:dyDescent="0.2">
      <c r="B13" s="431"/>
      <c r="C13" s="257" t="s">
        <v>95</v>
      </c>
      <c r="D13" s="242"/>
      <c r="E13" s="410"/>
      <c r="F13" s="434"/>
      <c r="G13" s="239"/>
      <c r="H13" s="239"/>
      <c r="I13" s="434"/>
      <c r="J13" s="423"/>
      <c r="K13" s="424"/>
      <c r="L13" s="425"/>
      <c r="M13" s="412"/>
      <c r="N13" s="289"/>
    </row>
    <row r="14" spans="2:14" x14ac:dyDescent="0.2">
      <c r="B14" s="431"/>
      <c r="C14" s="257"/>
      <c r="D14" s="242"/>
      <c r="E14" s="410"/>
      <c r="F14" s="434"/>
      <c r="G14" s="239"/>
      <c r="H14" s="239"/>
      <c r="I14" s="434"/>
      <c r="J14" s="423"/>
      <c r="K14" s="424"/>
      <c r="L14" s="425"/>
      <c r="M14" s="412"/>
      <c r="N14" s="289"/>
    </row>
    <row r="15" spans="2:14" x14ac:dyDescent="0.2">
      <c r="B15" s="431"/>
      <c r="C15" s="502" t="s">
        <v>176</v>
      </c>
      <c r="D15" s="502"/>
      <c r="E15" s="502"/>
      <c r="F15" s="502"/>
      <c r="G15" s="502"/>
      <c r="H15" s="502"/>
      <c r="I15" s="502"/>
      <c r="J15" s="423"/>
      <c r="K15" s="424"/>
      <c r="L15" s="425"/>
      <c r="M15" s="412"/>
      <c r="N15" s="289"/>
    </row>
    <row r="16" spans="2:14" x14ac:dyDescent="0.2">
      <c r="B16" s="431"/>
      <c r="C16" s="509" t="s">
        <v>269</v>
      </c>
      <c r="D16" s="509"/>
      <c r="E16" s="509"/>
      <c r="F16" s="509"/>
      <c r="G16" s="509"/>
      <c r="H16" s="509"/>
      <c r="I16" s="509"/>
      <c r="J16" s="509"/>
      <c r="K16" s="509"/>
      <c r="L16" s="509"/>
      <c r="M16" s="412"/>
      <c r="N16" s="289"/>
    </row>
    <row r="17" spans="2:14" x14ac:dyDescent="0.2">
      <c r="B17" s="431"/>
      <c r="C17" s="257" t="s">
        <v>224</v>
      </c>
      <c r="D17" s="242"/>
      <c r="E17" s="410"/>
      <c r="F17" s="434"/>
      <c r="G17" s="239"/>
      <c r="H17" s="239"/>
      <c r="I17" s="434"/>
      <c r="J17" s="423"/>
      <c r="K17" s="424"/>
      <c r="L17" s="425">
        <v>2</v>
      </c>
      <c r="M17" s="426"/>
      <c r="N17" s="289"/>
    </row>
    <row r="18" spans="2:14" x14ac:dyDescent="0.2">
      <c r="B18" s="431"/>
      <c r="C18" s="257" t="s">
        <v>225</v>
      </c>
      <c r="D18" s="242"/>
      <c r="E18" s="410"/>
      <c r="F18" s="434"/>
      <c r="G18" s="239"/>
      <c r="H18" s="239"/>
      <c r="I18" s="434"/>
      <c r="J18" s="423"/>
      <c r="K18" s="424"/>
      <c r="L18" s="425">
        <v>4</v>
      </c>
      <c r="M18" s="426"/>
      <c r="N18" s="289"/>
    </row>
    <row r="19" spans="2:14" x14ac:dyDescent="0.2">
      <c r="B19" s="431"/>
      <c r="C19" s="239" t="s">
        <v>226</v>
      </c>
      <c r="D19" s="242"/>
      <c r="E19" s="410"/>
      <c r="F19" s="434"/>
      <c r="G19" s="239"/>
      <c r="H19" s="239"/>
      <c r="I19" s="434"/>
      <c r="J19" s="423"/>
      <c r="K19" s="424"/>
      <c r="L19" s="425">
        <v>6</v>
      </c>
      <c r="M19" s="426"/>
      <c r="N19" s="289"/>
    </row>
    <row r="20" spans="2:14" x14ac:dyDescent="0.2">
      <c r="B20" s="431"/>
      <c r="C20" s="257"/>
      <c r="D20" s="242"/>
      <c r="E20" s="410"/>
      <c r="F20" s="434"/>
      <c r="G20" s="239"/>
      <c r="H20" s="239"/>
      <c r="I20" s="434"/>
      <c r="J20" s="423"/>
      <c r="K20" s="424"/>
      <c r="L20" s="433" t="s">
        <v>99</v>
      </c>
      <c r="M20" s="412">
        <f>IF(M17&lt;&gt;"",2,IF(M18&lt;&gt;"",4,IF(M19&lt;&gt;"",6,0)))</f>
        <v>0</v>
      </c>
      <c r="N20" s="289"/>
    </row>
    <row r="21" spans="2:14" x14ac:dyDescent="0.2">
      <c r="B21" s="431"/>
      <c r="C21" s="239" t="s">
        <v>227</v>
      </c>
      <c r="D21" s="242"/>
      <c r="E21" s="410"/>
      <c r="F21" s="434"/>
      <c r="G21" s="239"/>
      <c r="H21" s="239"/>
      <c r="I21" s="434"/>
      <c r="J21" s="423"/>
      <c r="K21" s="424"/>
      <c r="L21" s="425"/>
      <c r="M21" s="412"/>
      <c r="N21" s="289"/>
    </row>
    <row r="22" spans="2:14" x14ac:dyDescent="0.2">
      <c r="B22" s="431"/>
      <c r="C22" s="435"/>
      <c r="D22" s="242"/>
      <c r="E22" s="410"/>
      <c r="F22" s="434"/>
      <c r="G22" s="239"/>
      <c r="H22" s="239"/>
      <c r="I22" s="434"/>
      <c r="J22" s="423"/>
      <c r="K22" s="424"/>
      <c r="L22" s="425"/>
      <c r="M22" s="412"/>
      <c r="N22" s="289"/>
    </row>
    <row r="23" spans="2:14" x14ac:dyDescent="0.2">
      <c r="B23" s="431"/>
      <c r="C23" s="502" t="s">
        <v>177</v>
      </c>
      <c r="D23" s="502"/>
      <c r="E23" s="502"/>
      <c r="F23" s="502"/>
      <c r="G23" s="502"/>
      <c r="H23" s="502"/>
      <c r="I23" s="502"/>
      <c r="J23" s="502"/>
      <c r="K23" s="424"/>
      <c r="L23" s="425"/>
      <c r="M23" s="412"/>
      <c r="N23" s="289"/>
    </row>
    <row r="24" spans="2:14" x14ac:dyDescent="0.2">
      <c r="B24" s="431"/>
      <c r="C24" s="257" t="s">
        <v>96</v>
      </c>
      <c r="D24" s="242"/>
      <c r="E24" s="410"/>
      <c r="F24" s="434"/>
      <c r="G24" s="239"/>
      <c r="H24" s="239"/>
      <c r="I24" s="434"/>
      <c r="J24" s="423"/>
      <c r="K24" s="424"/>
      <c r="L24" s="425">
        <v>2</v>
      </c>
      <c r="M24" s="426"/>
      <c r="N24" s="289"/>
    </row>
    <row r="25" spans="2:14" x14ac:dyDescent="0.2">
      <c r="B25" s="431"/>
      <c r="C25" s="257" t="s">
        <v>97</v>
      </c>
      <c r="D25" s="242"/>
      <c r="E25" s="410"/>
      <c r="F25" s="434"/>
      <c r="G25" s="239"/>
      <c r="H25" s="239"/>
      <c r="I25" s="434"/>
      <c r="J25" s="423"/>
      <c r="K25" s="424"/>
      <c r="L25" s="425">
        <v>4</v>
      </c>
      <c r="M25" s="426"/>
      <c r="N25" s="289"/>
    </row>
    <row r="26" spans="2:14" x14ac:dyDescent="0.2">
      <c r="B26" s="431"/>
      <c r="C26" s="242"/>
      <c r="D26" s="257"/>
      <c r="E26" s="410"/>
      <c r="F26" s="434"/>
      <c r="G26" s="239"/>
      <c r="H26" s="239"/>
      <c r="I26" s="434"/>
      <c r="J26" s="423"/>
      <c r="K26" s="424"/>
      <c r="L26" s="428" t="s">
        <v>99</v>
      </c>
      <c r="M26" s="412">
        <f>IF(M24&lt;&gt;"",2,IF(M25&lt;&gt;"",4,0))</f>
        <v>0</v>
      </c>
      <c r="N26" s="289"/>
    </row>
    <row r="27" spans="2:14" x14ac:dyDescent="0.2">
      <c r="B27" s="431"/>
      <c r="C27" s="242"/>
      <c r="D27" s="257"/>
      <c r="E27" s="410"/>
      <c r="F27" s="434"/>
      <c r="G27" s="239"/>
      <c r="H27" s="239"/>
      <c r="I27" s="434"/>
      <c r="J27" s="423"/>
      <c r="K27" s="424"/>
      <c r="L27" s="428"/>
      <c r="M27" s="412"/>
      <c r="N27" s="289"/>
    </row>
    <row r="28" spans="2:14" ht="12.75" customHeight="1" x14ac:dyDescent="0.2">
      <c r="B28" s="503" t="s">
        <v>267</v>
      </c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5"/>
    </row>
    <row r="29" spans="2:14" x14ac:dyDescent="0.2">
      <c r="B29" s="503"/>
      <c r="C29" s="504"/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505"/>
    </row>
    <row r="30" spans="2:14" ht="13.5" thickBot="1" x14ac:dyDescent="0.25">
      <c r="B30" s="506" t="s">
        <v>228</v>
      </c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8"/>
    </row>
    <row r="31" spans="2:14" x14ac:dyDescent="0.2"/>
    <row r="32" spans="2:14" x14ac:dyDescent="0.2"/>
    <row r="34" spans="4:7" hidden="1" x14ac:dyDescent="0.2">
      <c r="D34" s="298"/>
      <c r="G34" s="299"/>
    </row>
    <row r="35" spans="4:7" hidden="1" x14ac:dyDescent="0.2">
      <c r="D35" s="298"/>
    </row>
    <row r="36" spans="4:7" hidden="1" x14ac:dyDescent="0.2">
      <c r="D36" s="299"/>
      <c r="E36" s="298"/>
    </row>
    <row r="51" x14ac:dyDescent="0.2"/>
    <row r="52" ht="12.75" customHeight="1" x14ac:dyDescent="0.2"/>
  </sheetData>
  <sheetProtection algorithmName="SHA-512" hashValue="1OKKzm9vQ3HswoJ3lsnCImQD9PX95dAcvkjNkhu1obuMxWMZIB4dI6jfdzSGtnbJNidoufyDiJPjIfrGgXQZRw==" saltValue="0qXvSxQZOxi0lmcPdcifBA==" spinCount="100000" sheet="1" selectLockedCells="1"/>
  <mergeCells count="7">
    <mergeCell ref="E2:K3"/>
    <mergeCell ref="C15:I15"/>
    <mergeCell ref="C23:J23"/>
    <mergeCell ref="B28:N29"/>
    <mergeCell ref="B30:N30"/>
    <mergeCell ref="C16:L16"/>
    <mergeCell ref="M2:N3"/>
  </mergeCells>
  <conditionalFormatting sqref="I17:I22 F17:F22 F24:F27 I24:I27 F12:F14 I12:I14 I10">
    <cfRule type="containsErrors" dxfId="27" priority="1" stopIfTrue="1">
      <formula>ISERROR(F10)</formula>
    </cfRule>
  </conditionalFormatting>
  <conditionalFormatting sqref="E34 G34">
    <cfRule type="expression" dxfId="26" priority="2" stopIfTrue="1">
      <formula>ISERROR($M$3)</formula>
    </cfRule>
  </conditionalFormatting>
  <conditionalFormatting sqref="D36">
    <cfRule type="expression" dxfId="25" priority="3" stopIfTrue="1">
      <formula>ISERROR(#REF!)</formula>
    </cfRule>
  </conditionalFormatting>
  <hyperlinks>
    <hyperlink ref="C16:L16" location="'PASSABILITY EVAL.'!F3" display="  In accordance with WDFW guidelines - see Passability WKSHT*" xr:uid="{00000000-0004-0000-03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workbookViewId="0">
      <selection activeCell="F5" sqref="F5:F7"/>
    </sheetView>
  </sheetViews>
  <sheetFormatPr defaultRowHeight="12.75" x14ac:dyDescent="0.2"/>
  <cols>
    <col min="1" max="1" width="3.140625" style="402" customWidth="1"/>
    <col min="2" max="2" width="20" style="402" customWidth="1"/>
    <col min="3" max="3" width="25.28515625" style="402" customWidth="1"/>
    <col min="4" max="4" width="23.5703125" style="402" customWidth="1"/>
    <col min="5" max="5" width="10.7109375" style="402" customWidth="1"/>
    <col min="6" max="6" width="7.28515625" style="402" customWidth="1"/>
    <col min="7" max="7" width="6.28515625" style="402" customWidth="1"/>
    <col min="8" max="16384" width="9.140625" style="402"/>
  </cols>
  <sheetData>
    <row r="1" spans="1:7" ht="15" x14ac:dyDescent="0.25">
      <c r="B1" s="565" t="s">
        <v>229</v>
      </c>
      <c r="C1" s="565"/>
      <c r="D1" s="565"/>
      <c r="E1" s="565"/>
    </row>
    <row r="2" spans="1:7" ht="15" x14ac:dyDescent="0.25">
      <c r="B2" s="565" t="s">
        <v>230</v>
      </c>
      <c r="C2" s="565"/>
      <c r="D2" s="565"/>
      <c r="E2" s="565"/>
      <c r="F2" s="556" t="s">
        <v>273</v>
      </c>
      <c r="G2" s="557"/>
    </row>
    <row r="3" spans="1:7" ht="15" x14ac:dyDescent="0.25">
      <c r="B3" s="437"/>
      <c r="C3" s="437"/>
      <c r="D3" s="437"/>
      <c r="E3" s="437"/>
      <c r="F3" s="558"/>
      <c r="G3" s="558"/>
    </row>
    <row r="4" spans="1:7" ht="51.75" thickBot="1" x14ac:dyDescent="0.25">
      <c r="A4" s="438" t="s">
        <v>231</v>
      </c>
      <c r="B4" s="439" t="s">
        <v>232</v>
      </c>
      <c r="C4" s="458" t="s">
        <v>233</v>
      </c>
      <c r="D4" s="439" t="s">
        <v>234</v>
      </c>
      <c r="E4" s="440" t="s">
        <v>235</v>
      </c>
      <c r="F4" s="441" t="s">
        <v>236</v>
      </c>
      <c r="G4" s="442" t="s">
        <v>237</v>
      </c>
    </row>
    <row r="5" spans="1:7" ht="13.5" thickTop="1" x14ac:dyDescent="0.2">
      <c r="A5" s="515">
        <v>1</v>
      </c>
      <c r="B5" s="559" t="s">
        <v>238</v>
      </c>
      <c r="C5" s="549" t="s">
        <v>239</v>
      </c>
      <c r="D5" s="443" t="s">
        <v>240</v>
      </c>
      <c r="E5" s="444">
        <v>0.67</v>
      </c>
      <c r="F5" s="521"/>
      <c r="G5" s="523"/>
    </row>
    <row r="6" spans="1:7" x14ac:dyDescent="0.2">
      <c r="A6" s="525"/>
      <c r="B6" s="560"/>
      <c r="C6" s="550"/>
      <c r="D6" s="445" t="s">
        <v>241</v>
      </c>
      <c r="E6" s="446">
        <v>0.33</v>
      </c>
      <c r="F6" s="532"/>
      <c r="G6" s="533"/>
    </row>
    <row r="7" spans="1:7" ht="13.5" thickBot="1" x14ac:dyDescent="0.25">
      <c r="A7" s="516"/>
      <c r="B7" s="563"/>
      <c r="C7" s="564"/>
      <c r="D7" s="447" t="s">
        <v>242</v>
      </c>
      <c r="E7" s="448">
        <v>0</v>
      </c>
      <c r="F7" s="522"/>
      <c r="G7" s="524"/>
    </row>
    <row r="8" spans="1:7" ht="13.5" thickTop="1" x14ac:dyDescent="0.2">
      <c r="A8" s="515">
        <v>2</v>
      </c>
      <c r="B8" s="559" t="s">
        <v>272</v>
      </c>
      <c r="C8" s="549" t="s">
        <v>243</v>
      </c>
      <c r="D8" s="443" t="s">
        <v>244</v>
      </c>
      <c r="E8" s="449">
        <v>0.67</v>
      </c>
      <c r="F8" s="521"/>
      <c r="G8" s="523"/>
    </row>
    <row r="9" spans="1:7" x14ac:dyDescent="0.2">
      <c r="A9" s="525"/>
      <c r="B9" s="560"/>
      <c r="C9" s="550"/>
      <c r="D9" s="445" t="s">
        <v>245</v>
      </c>
      <c r="E9" s="450">
        <v>0.33</v>
      </c>
      <c r="F9" s="532"/>
      <c r="G9" s="533"/>
    </row>
    <row r="10" spans="1:7" ht="13.5" thickBot="1" x14ac:dyDescent="0.25">
      <c r="A10" s="525"/>
      <c r="B10" s="561"/>
      <c r="C10" s="562"/>
      <c r="D10" s="451" t="s">
        <v>246</v>
      </c>
      <c r="E10" s="452">
        <v>0</v>
      </c>
      <c r="F10" s="532"/>
      <c r="G10" s="533"/>
    </row>
    <row r="11" spans="1:7" x14ac:dyDescent="0.2">
      <c r="A11" s="525"/>
      <c r="B11" s="560" t="s">
        <v>247</v>
      </c>
      <c r="C11" s="550" t="s">
        <v>243</v>
      </c>
      <c r="D11" s="453" t="s">
        <v>244</v>
      </c>
      <c r="E11" s="454">
        <v>0.33</v>
      </c>
      <c r="F11" s="532"/>
      <c r="G11" s="533"/>
    </row>
    <row r="12" spans="1:7" ht="13.5" thickBot="1" x14ac:dyDescent="0.25">
      <c r="A12" s="516"/>
      <c r="B12" s="563"/>
      <c r="C12" s="564"/>
      <c r="D12" s="447" t="s">
        <v>248</v>
      </c>
      <c r="E12" s="448">
        <v>0</v>
      </c>
      <c r="F12" s="522"/>
      <c r="G12" s="524"/>
    </row>
    <row r="13" spans="1:7" ht="30" customHeight="1" thickTop="1" x14ac:dyDescent="0.2">
      <c r="A13" s="515">
        <v>3</v>
      </c>
      <c r="B13" s="546" t="s">
        <v>249</v>
      </c>
      <c r="C13" s="549" t="s">
        <v>250</v>
      </c>
      <c r="D13" s="552" t="s">
        <v>251</v>
      </c>
      <c r="E13" s="554">
        <v>0.67</v>
      </c>
      <c r="F13" s="534"/>
      <c r="G13" s="536"/>
    </row>
    <row r="14" spans="1:7" x14ac:dyDescent="0.2">
      <c r="A14" s="525"/>
      <c r="B14" s="547"/>
      <c r="C14" s="550"/>
      <c r="D14" s="539"/>
      <c r="E14" s="542"/>
      <c r="F14" s="535"/>
      <c r="G14" s="537"/>
    </row>
    <row r="15" spans="1:7" x14ac:dyDescent="0.2">
      <c r="A15" s="525"/>
      <c r="B15" s="547"/>
      <c r="C15" s="551"/>
      <c r="D15" s="553"/>
      <c r="E15" s="555"/>
      <c r="F15" s="535"/>
      <c r="G15" s="537"/>
    </row>
    <row r="16" spans="1:7" ht="30" customHeight="1" x14ac:dyDescent="0.2">
      <c r="A16" s="525"/>
      <c r="B16" s="547"/>
      <c r="C16" s="459" t="s">
        <v>252</v>
      </c>
      <c r="D16" s="538" t="s">
        <v>253</v>
      </c>
      <c r="E16" s="541">
        <v>0.33</v>
      </c>
      <c r="F16" s="535"/>
      <c r="G16" s="537"/>
    </row>
    <row r="17" spans="1:15" x14ac:dyDescent="0.2">
      <c r="A17" s="525"/>
      <c r="B17" s="547"/>
      <c r="C17" s="460" t="s">
        <v>254</v>
      </c>
      <c r="D17" s="539"/>
      <c r="E17" s="542"/>
      <c r="F17" s="535"/>
      <c r="G17" s="537"/>
    </row>
    <row r="18" spans="1:15" x14ac:dyDescent="0.2">
      <c r="A18" s="525"/>
      <c r="B18" s="547"/>
      <c r="C18" s="460" t="s">
        <v>255</v>
      </c>
      <c r="D18" s="539"/>
      <c r="E18" s="542"/>
      <c r="F18" s="535"/>
      <c r="G18" s="537"/>
    </row>
    <row r="19" spans="1:15" ht="13.5" thickBot="1" x14ac:dyDescent="0.25">
      <c r="A19" s="516"/>
      <c r="B19" s="548"/>
      <c r="C19" s="461" t="s">
        <v>256</v>
      </c>
      <c r="D19" s="540"/>
      <c r="E19" s="543"/>
      <c r="F19" s="544"/>
      <c r="G19" s="545"/>
    </row>
    <row r="20" spans="1:15" ht="15.75" thickTop="1" x14ac:dyDescent="0.25">
      <c r="A20" s="515">
        <v>4</v>
      </c>
      <c r="B20" s="526" t="s">
        <v>257</v>
      </c>
      <c r="C20" s="529" t="s">
        <v>258</v>
      </c>
      <c r="D20" s="455" t="s">
        <v>259</v>
      </c>
      <c r="E20" s="444">
        <v>0.67</v>
      </c>
      <c r="F20" s="521"/>
      <c r="G20" s="523"/>
    </row>
    <row r="21" spans="1:15" x14ac:dyDescent="0.2">
      <c r="A21" s="525"/>
      <c r="B21" s="527"/>
      <c r="C21" s="530"/>
      <c r="D21" s="445" t="s">
        <v>260</v>
      </c>
      <c r="E21" s="446">
        <v>0.33</v>
      </c>
      <c r="F21" s="532"/>
      <c r="G21" s="533"/>
    </row>
    <row r="22" spans="1:15" ht="13.5" thickBot="1" x14ac:dyDescent="0.25">
      <c r="A22" s="516"/>
      <c r="B22" s="528"/>
      <c r="C22" s="531"/>
      <c r="D22" s="447" t="s">
        <v>261</v>
      </c>
      <c r="E22" s="448">
        <v>0</v>
      </c>
      <c r="F22" s="522"/>
      <c r="G22" s="524"/>
    </row>
    <row r="23" spans="1:15" ht="13.5" thickTop="1" x14ac:dyDescent="0.2">
      <c r="A23" s="515">
        <v>5</v>
      </c>
      <c r="B23" s="517" t="s">
        <v>262</v>
      </c>
      <c r="C23" s="519" t="s">
        <v>263</v>
      </c>
      <c r="D23" s="443" t="s">
        <v>264</v>
      </c>
      <c r="E23" s="444">
        <v>0</v>
      </c>
      <c r="F23" s="521"/>
      <c r="G23" s="523"/>
    </row>
    <row r="24" spans="1:15" ht="13.5" thickBot="1" x14ac:dyDescent="0.25">
      <c r="A24" s="516"/>
      <c r="B24" s="518"/>
      <c r="C24" s="520"/>
      <c r="D24" s="447" t="s">
        <v>265</v>
      </c>
      <c r="E24" s="448">
        <v>0.33</v>
      </c>
      <c r="F24" s="522"/>
      <c r="G24" s="524"/>
    </row>
    <row r="25" spans="1:15" ht="13.5" thickTop="1" x14ac:dyDescent="0.2"/>
    <row r="26" spans="1:15" x14ac:dyDescent="0.2">
      <c r="B26" s="402" t="s">
        <v>266</v>
      </c>
      <c r="G26" s="456"/>
    </row>
    <row r="28" spans="1:15" x14ac:dyDescent="0.2">
      <c r="B28" s="457"/>
    </row>
    <row r="29" spans="1:15" ht="12.75" customHeight="1" x14ac:dyDescent="0.2">
      <c r="B29" s="514" t="s">
        <v>268</v>
      </c>
      <c r="C29" s="514"/>
      <c r="D29" s="514"/>
      <c r="E29" s="514"/>
      <c r="F29" s="436"/>
      <c r="G29" s="436"/>
      <c r="H29" s="436"/>
      <c r="I29" s="436"/>
      <c r="J29" s="436"/>
      <c r="K29" s="436"/>
      <c r="L29" s="436"/>
      <c r="M29" s="436"/>
      <c r="N29" s="436"/>
      <c r="O29" s="12"/>
    </row>
    <row r="30" spans="1:15" x14ac:dyDescent="0.2">
      <c r="B30" s="514"/>
      <c r="C30" s="514"/>
      <c r="D30" s="514"/>
      <c r="E30" s="514"/>
      <c r="F30" s="436"/>
      <c r="G30" s="436"/>
      <c r="H30" s="436"/>
      <c r="I30" s="436"/>
      <c r="J30" s="436"/>
      <c r="K30" s="436"/>
      <c r="L30" s="436"/>
      <c r="M30" s="436"/>
      <c r="N30" s="436"/>
      <c r="O30" s="12"/>
    </row>
  </sheetData>
  <sheetProtection password="EC65" sheet="1" objects="1" scenarios="1" selectLockedCells="1"/>
  <mergeCells count="38">
    <mergeCell ref="B1:E1"/>
    <mergeCell ref="B2:E2"/>
    <mergeCell ref="A5:A7"/>
    <mergeCell ref="B5:B7"/>
    <mergeCell ref="C5:C7"/>
    <mergeCell ref="F5:F7"/>
    <mergeCell ref="G5:G7"/>
    <mergeCell ref="F2:G3"/>
    <mergeCell ref="A8:A10"/>
    <mergeCell ref="B8:B10"/>
    <mergeCell ref="C8:C10"/>
    <mergeCell ref="F8:F12"/>
    <mergeCell ref="G8:G12"/>
    <mergeCell ref="A11:A12"/>
    <mergeCell ref="B11:B12"/>
    <mergeCell ref="C11:C12"/>
    <mergeCell ref="A13:A19"/>
    <mergeCell ref="B13:B19"/>
    <mergeCell ref="C13:C15"/>
    <mergeCell ref="D13:D15"/>
    <mergeCell ref="E13:E15"/>
    <mergeCell ref="F13:F15"/>
    <mergeCell ref="G13:G15"/>
    <mergeCell ref="D16:D19"/>
    <mergeCell ref="E16:E19"/>
    <mergeCell ref="F16:F19"/>
    <mergeCell ref="G16:G19"/>
    <mergeCell ref="G23:G24"/>
    <mergeCell ref="A20:A22"/>
    <mergeCell ref="B20:B22"/>
    <mergeCell ref="C20:C22"/>
    <mergeCell ref="F20:F22"/>
    <mergeCell ref="G20:G22"/>
    <mergeCell ref="B29:E30"/>
    <mergeCell ref="A23:A24"/>
    <mergeCell ref="B23:B24"/>
    <mergeCell ref="C23:C24"/>
    <mergeCell ref="F23:F24"/>
  </mergeCells>
  <pageMargins left="0.25" right="0.25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81"/>
  <sheetViews>
    <sheetView showGridLines="0" zoomScaleNormal="100" workbookViewId="0">
      <selection activeCell="C6" sqref="C6"/>
    </sheetView>
  </sheetViews>
  <sheetFormatPr defaultRowHeight="12" customHeight="1" x14ac:dyDescent="0.2"/>
  <cols>
    <col min="1" max="1" width="9.140625" style="168"/>
    <col min="2" max="2" width="5.28515625" style="168" customWidth="1"/>
    <col min="3" max="7" width="6.7109375" style="168" customWidth="1"/>
    <col min="8" max="8" width="6.140625" style="168" customWidth="1"/>
    <col min="9" max="13" width="6.7109375" style="168" customWidth="1"/>
    <col min="14" max="14" width="4.28515625" style="168" customWidth="1"/>
    <col min="15" max="15" width="6.7109375" style="168" customWidth="1"/>
    <col min="16" max="16384" width="9.140625" style="168"/>
  </cols>
  <sheetData>
    <row r="1" spans="2:15" ht="12" customHeight="1" thickBot="1" x14ac:dyDescent="0.25"/>
    <row r="2" spans="2:15" ht="12" customHeight="1" thickTop="1" x14ac:dyDescent="0.2">
      <c r="B2" s="179"/>
      <c r="C2" s="571" t="s">
        <v>44</v>
      </c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180"/>
    </row>
    <row r="3" spans="2:15" ht="12" customHeight="1" x14ac:dyDescent="0.2">
      <c r="B3" s="181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182"/>
    </row>
    <row r="4" spans="2:15" ht="12" customHeight="1" x14ac:dyDescent="0.2">
      <c r="B4" s="181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182"/>
    </row>
    <row r="5" spans="2:15" ht="12" customHeight="1" x14ac:dyDescent="0.2">
      <c r="B5" s="573" t="s">
        <v>62</v>
      </c>
      <c r="C5" s="574"/>
      <c r="D5" s="23" t="s">
        <v>63</v>
      </c>
      <c r="E5" s="31"/>
      <c r="F5" s="29" t="s">
        <v>32</v>
      </c>
      <c r="G5" s="23"/>
      <c r="H5" s="23"/>
      <c r="I5" s="31"/>
      <c r="J5" s="212"/>
      <c r="K5" s="23"/>
      <c r="L5" s="20"/>
      <c r="M5" s="86"/>
      <c r="N5" s="86"/>
      <c r="O5" s="182"/>
    </row>
    <row r="6" spans="2:15" ht="12" customHeight="1" x14ac:dyDescent="0.2">
      <c r="B6" s="181"/>
      <c r="C6" s="90"/>
      <c r="D6" s="87" t="s">
        <v>64</v>
      </c>
      <c r="E6" s="23"/>
      <c r="F6" s="71"/>
      <c r="G6" s="34" t="s">
        <v>30</v>
      </c>
      <c r="H6" s="34"/>
      <c r="I6" s="86"/>
      <c r="J6" s="86"/>
      <c r="K6" s="86"/>
      <c r="L6" s="6" t="s">
        <v>12</v>
      </c>
      <c r="M6" s="86"/>
      <c r="N6" s="31"/>
      <c r="O6" s="182"/>
    </row>
    <row r="7" spans="2:15" ht="12" customHeight="1" x14ac:dyDescent="0.2">
      <c r="B7" s="181"/>
      <c r="C7" s="90"/>
      <c r="D7" s="87" t="s">
        <v>65</v>
      </c>
      <c r="E7" s="23"/>
      <c r="F7" s="71"/>
      <c r="G7" s="34" t="s">
        <v>29</v>
      </c>
      <c r="H7" s="34"/>
      <c r="I7" s="86"/>
      <c r="J7" s="86"/>
      <c r="K7" s="86"/>
      <c r="L7" s="6" t="s">
        <v>67</v>
      </c>
      <c r="M7" s="86"/>
      <c r="N7" s="31"/>
      <c r="O7" s="182"/>
    </row>
    <row r="8" spans="2:15" ht="12" customHeight="1" x14ac:dyDescent="0.2">
      <c r="B8" s="181"/>
      <c r="C8" s="90"/>
      <c r="D8" s="87" t="s">
        <v>66</v>
      </c>
      <c r="E8" s="23"/>
      <c r="F8" s="20" t="str">
        <f>IF(OR(SUMMARY!F8=7,SUMMARY!F8=8),GEOMETRY!C30,GEOMETRY!C44)</f>
        <v/>
      </c>
      <c r="G8" s="87" t="s">
        <v>71</v>
      </c>
      <c r="H8" s="34"/>
      <c r="I8" s="86"/>
      <c r="J8" s="86"/>
      <c r="K8" s="86"/>
      <c r="L8" s="88" t="str">
        <f>GEOMETRY!L41</f>
        <v/>
      </c>
      <c r="M8" s="86"/>
      <c r="N8" s="31"/>
      <c r="O8" s="182"/>
    </row>
    <row r="9" spans="2:15" ht="12" customHeight="1" x14ac:dyDescent="0.2">
      <c r="B9" s="181"/>
      <c r="C9" s="20"/>
      <c r="D9" s="87"/>
      <c r="E9" s="23"/>
      <c r="F9" s="6"/>
      <c r="G9" s="87"/>
      <c r="H9" s="34"/>
      <c r="I9" s="86"/>
      <c r="J9" s="86"/>
      <c r="K9" s="86"/>
      <c r="L9" s="96"/>
      <c r="M9" s="86"/>
      <c r="N9" s="31"/>
      <c r="O9" s="182"/>
    </row>
    <row r="10" spans="2:15" ht="12" customHeight="1" x14ac:dyDescent="0.2">
      <c r="B10" s="181"/>
      <c r="C10" s="20"/>
      <c r="D10" s="111"/>
      <c r="E10" s="30" t="s">
        <v>204</v>
      </c>
      <c r="F10" s="19" t="str">
        <f>""&amp;F7-F6&amp;" ft"</f>
        <v>0 ft</v>
      </c>
      <c r="G10" s="87"/>
      <c r="H10" s="111"/>
      <c r="I10" s="11" t="s">
        <v>45</v>
      </c>
      <c r="J10" s="9" t="s">
        <v>1</v>
      </c>
      <c r="K10" s="86"/>
      <c r="L10" s="96"/>
      <c r="M10" s="86"/>
      <c r="N10" s="31"/>
      <c r="O10" s="182"/>
    </row>
    <row r="11" spans="2:15" ht="12" customHeight="1" x14ac:dyDescent="0.2">
      <c r="B11" s="181"/>
      <c r="C11" s="31"/>
      <c r="D11" s="166"/>
      <c r="E11" s="166"/>
      <c r="F11" s="111"/>
      <c r="G11" s="111"/>
      <c r="H11" s="111"/>
      <c r="I11" s="9" t="s">
        <v>10</v>
      </c>
      <c r="J11" s="9">
        <v>5</v>
      </c>
      <c r="K11" s="166"/>
      <c r="L11" s="166"/>
      <c r="M11" s="86"/>
      <c r="N11" s="31"/>
      <c r="O11" s="182"/>
    </row>
    <row r="12" spans="2:15" ht="12" customHeight="1" x14ac:dyDescent="0.2">
      <c r="B12" s="181"/>
      <c r="C12" s="20"/>
      <c r="D12" s="166"/>
      <c r="E12" s="166"/>
      <c r="F12" s="111"/>
      <c r="G12" s="111"/>
      <c r="H12" s="111"/>
      <c r="I12" s="9" t="s">
        <v>11</v>
      </c>
      <c r="J12" s="9">
        <v>10</v>
      </c>
      <c r="K12" s="166"/>
      <c r="L12" s="166"/>
      <c r="M12" s="86"/>
      <c r="N12" s="96"/>
      <c r="O12" s="182"/>
    </row>
    <row r="13" spans="2:15" ht="12" customHeight="1" thickBot="1" x14ac:dyDescent="0.25">
      <c r="B13" s="183"/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6"/>
      <c r="N13" s="186"/>
      <c r="O13" s="187"/>
    </row>
    <row r="14" spans="2:15" ht="12" customHeight="1" thickTop="1" x14ac:dyDescent="0.2">
      <c r="B14" s="170"/>
      <c r="C14" s="570"/>
      <c r="D14" s="570"/>
      <c r="E14" s="570"/>
      <c r="F14" s="170"/>
      <c r="G14" s="208"/>
      <c r="H14" s="209"/>
      <c r="I14" s="209"/>
      <c r="J14" s="209"/>
      <c r="K14" s="209"/>
      <c r="L14" s="171"/>
      <c r="M14" s="169"/>
      <c r="N14" s="169"/>
      <c r="O14" s="210"/>
    </row>
    <row r="15" spans="2:15" ht="12" customHeight="1" x14ac:dyDescent="0.2">
      <c r="B15" s="170"/>
      <c r="C15" s="303"/>
      <c r="D15" s="303"/>
      <c r="E15" s="303"/>
      <c r="F15" s="170"/>
      <c r="G15" s="208"/>
      <c r="H15" s="209"/>
      <c r="I15" s="209"/>
      <c r="J15" s="209"/>
      <c r="K15" s="209"/>
      <c r="L15" s="171"/>
      <c r="M15" s="169"/>
      <c r="N15" s="169"/>
      <c r="O15" s="169"/>
    </row>
    <row r="16" spans="2:15" ht="12" customHeight="1" x14ac:dyDescent="0.2">
      <c r="B16" s="170"/>
      <c r="C16" s="303"/>
      <c r="D16" s="303"/>
      <c r="E16" s="303"/>
      <c r="F16" s="170"/>
      <c r="G16" s="208"/>
      <c r="H16" s="209"/>
      <c r="I16" s="209"/>
      <c r="J16" s="209"/>
      <c r="K16" s="209"/>
      <c r="L16" s="171"/>
      <c r="M16" s="169"/>
      <c r="N16" s="169"/>
      <c r="O16" s="169"/>
    </row>
    <row r="17" spans="2:34" s="305" customFormat="1" ht="11.25" customHeight="1" x14ac:dyDescent="0.2">
      <c r="B17" s="349"/>
      <c r="H17" s="349"/>
      <c r="J17" s="350"/>
      <c r="K17" s="351"/>
      <c r="M17" s="172"/>
      <c r="N17" s="170"/>
      <c r="O17" s="172"/>
      <c r="P17" s="172"/>
      <c r="Q17" s="172"/>
      <c r="R17" s="172"/>
      <c r="S17" s="172"/>
      <c r="T17" s="172"/>
      <c r="U17" s="172"/>
      <c r="V17" s="170"/>
      <c r="W17" s="170"/>
      <c r="X17" s="352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</row>
    <row r="18" spans="2:34" s="305" customFormat="1" ht="11.25" customHeight="1" x14ac:dyDescent="0.2">
      <c r="B18" s="349"/>
      <c r="D18" s="335"/>
      <c r="E18" s="335"/>
      <c r="F18" s="335"/>
      <c r="G18" s="335"/>
      <c r="M18" s="172"/>
      <c r="N18" s="170"/>
      <c r="O18" s="172"/>
      <c r="P18" s="172"/>
      <c r="Q18" s="172"/>
      <c r="R18" s="172"/>
      <c r="S18" s="172"/>
      <c r="T18" s="172"/>
      <c r="U18" s="172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</row>
    <row r="19" spans="2:34" s="305" customFormat="1" ht="11.25" customHeight="1" x14ac:dyDescent="0.2">
      <c r="B19" s="349"/>
      <c r="D19" s="352"/>
      <c r="E19" s="352"/>
      <c r="F19" s="352"/>
      <c r="G19" s="170"/>
      <c r="H19" s="352"/>
      <c r="I19" s="352"/>
      <c r="J19" s="170"/>
      <c r="K19" s="170"/>
      <c r="L19" s="170"/>
      <c r="M19" s="170"/>
      <c r="N19" s="170"/>
      <c r="O19" s="170"/>
      <c r="P19" s="170"/>
      <c r="Q19" s="170"/>
      <c r="R19" s="172"/>
      <c r="S19" s="172"/>
      <c r="T19" s="172"/>
      <c r="U19" s="170"/>
      <c r="V19" s="170"/>
      <c r="W19" s="170"/>
      <c r="X19" s="352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</row>
    <row r="20" spans="2:34" s="305" customFormat="1" ht="11.25" customHeight="1" x14ac:dyDescent="0.2">
      <c r="B20" s="349"/>
      <c r="C20" s="353" t="s">
        <v>32</v>
      </c>
      <c r="D20" s="170"/>
      <c r="E20" s="172"/>
      <c r="F20" s="172"/>
      <c r="G20" s="172"/>
      <c r="H20" s="172"/>
      <c r="I20" s="172"/>
      <c r="J20" s="172"/>
      <c r="K20" s="170"/>
      <c r="L20" s="170"/>
      <c r="M20" s="170"/>
      <c r="N20" s="170"/>
      <c r="O20" s="170"/>
      <c r="P20" s="170"/>
      <c r="Q20" s="170"/>
      <c r="R20" s="172"/>
      <c r="S20" s="172"/>
      <c r="T20" s="172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</row>
    <row r="21" spans="2:34" s="305" customFormat="1" ht="11.25" customHeight="1" x14ac:dyDescent="0.2">
      <c r="B21" s="349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2"/>
      <c r="N21" s="170"/>
      <c r="O21" s="170"/>
      <c r="P21" s="170"/>
      <c r="Q21" s="204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</row>
    <row r="22" spans="2:34" s="305" customFormat="1" ht="11.25" customHeight="1" x14ac:dyDescent="0.2">
      <c r="B22" s="349"/>
      <c r="C22" s="354">
        <f>GEOMETRY!F6</f>
        <v>0</v>
      </c>
      <c r="D22" s="355" t="s">
        <v>36</v>
      </c>
      <c r="E22" s="356"/>
      <c r="F22" s="356"/>
      <c r="I22" s="307" t="s">
        <v>45</v>
      </c>
      <c r="J22" s="207" t="s">
        <v>1</v>
      </c>
      <c r="K22" s="170"/>
      <c r="L22" s="170"/>
      <c r="M22" s="172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352"/>
      <c r="Z22" s="170"/>
      <c r="AA22" s="170"/>
      <c r="AB22" s="170"/>
      <c r="AC22" s="202"/>
      <c r="AD22" s="203"/>
      <c r="AE22" s="204"/>
      <c r="AF22" s="352"/>
      <c r="AG22" s="334"/>
      <c r="AH22" s="170"/>
    </row>
    <row r="23" spans="2:34" s="305" customFormat="1" ht="11.25" customHeight="1" x14ac:dyDescent="0.2">
      <c r="B23" s="349"/>
      <c r="C23" s="356"/>
      <c r="D23" s="356"/>
      <c r="E23" s="356"/>
      <c r="F23" s="356"/>
      <c r="G23" s="357"/>
      <c r="I23" s="207" t="s">
        <v>10</v>
      </c>
      <c r="J23" s="358">
        <v>5</v>
      </c>
      <c r="K23" s="351"/>
      <c r="L23" s="170"/>
      <c r="M23" s="172"/>
      <c r="N23" s="170"/>
      <c r="O23" s="172"/>
      <c r="P23" s="172"/>
      <c r="Q23" s="172"/>
      <c r="R23" s="172"/>
      <c r="S23" s="172"/>
      <c r="T23" s="172"/>
      <c r="U23" s="172"/>
      <c r="V23" s="172"/>
      <c r="W23" s="170"/>
      <c r="X23" s="170"/>
      <c r="Y23" s="334"/>
      <c r="Z23" s="170"/>
      <c r="AA23" s="170"/>
      <c r="AB23" s="170"/>
      <c r="AC23" s="205"/>
      <c r="AD23" s="203"/>
      <c r="AE23" s="206"/>
      <c r="AF23" s="352"/>
      <c r="AG23" s="334"/>
      <c r="AH23" s="170"/>
    </row>
    <row r="24" spans="2:34" s="305" customFormat="1" ht="11.25" customHeight="1" x14ac:dyDescent="0.2">
      <c r="B24" s="349"/>
      <c r="C24" s="354">
        <f>GEOMETRY!F7</f>
        <v>0</v>
      </c>
      <c r="D24" s="355" t="s">
        <v>37</v>
      </c>
      <c r="E24" s="356"/>
      <c r="F24" s="356"/>
      <c r="G24" s="359"/>
      <c r="I24" s="207" t="s">
        <v>11</v>
      </c>
      <c r="J24" s="358">
        <v>10</v>
      </c>
      <c r="M24" s="172"/>
      <c r="N24" s="170"/>
      <c r="O24" s="172"/>
      <c r="P24" s="172"/>
      <c r="Q24" s="360"/>
      <c r="R24" s="360"/>
      <c r="S24" s="361"/>
      <c r="T24" s="362"/>
      <c r="U24" s="172"/>
      <c r="V24" s="172"/>
      <c r="W24" s="170"/>
      <c r="X24" s="170"/>
      <c r="Y24" s="334"/>
      <c r="Z24" s="334"/>
      <c r="AA24" s="334"/>
      <c r="AB24" s="334"/>
      <c r="AC24" s="205"/>
      <c r="AD24" s="206"/>
      <c r="AE24" s="206"/>
      <c r="AF24" s="352"/>
      <c r="AG24" s="363"/>
      <c r="AH24" s="170"/>
    </row>
    <row r="25" spans="2:34" s="305" customFormat="1" ht="11.25" customHeight="1" x14ac:dyDescent="0.2">
      <c r="B25" s="349"/>
      <c r="C25" s="356"/>
      <c r="D25" s="356"/>
      <c r="E25" s="356"/>
      <c r="F25" s="356"/>
      <c r="G25" s="356"/>
      <c r="I25" s="207"/>
      <c r="J25" s="207"/>
      <c r="M25" s="172"/>
      <c r="N25" s="170"/>
      <c r="O25" s="172"/>
      <c r="P25" s="172"/>
      <c r="Q25" s="360"/>
      <c r="R25" s="360"/>
      <c r="S25" s="360"/>
      <c r="T25" s="360"/>
      <c r="U25" s="172"/>
      <c r="V25" s="172"/>
      <c r="W25" s="170"/>
      <c r="X25" s="170"/>
      <c r="Y25" s="334"/>
      <c r="Z25" s="170"/>
      <c r="AA25" s="170"/>
      <c r="AB25" s="170"/>
      <c r="AC25" s="205"/>
      <c r="AD25" s="206"/>
      <c r="AE25" s="206"/>
      <c r="AF25" s="352"/>
      <c r="AG25" s="334"/>
      <c r="AH25" s="170"/>
    </row>
    <row r="26" spans="2:34" s="305" customFormat="1" ht="11.25" customHeight="1" x14ac:dyDescent="0.2">
      <c r="B26" s="349"/>
      <c r="C26" s="356"/>
      <c r="D26" s="356"/>
      <c r="E26" s="356"/>
      <c r="F26" s="356"/>
      <c r="G26" s="356"/>
      <c r="I26" s="207"/>
      <c r="J26" s="207"/>
      <c r="M26" s="172"/>
      <c r="N26" s="170"/>
      <c r="O26" s="172"/>
      <c r="P26" s="172"/>
      <c r="Q26" s="360"/>
      <c r="R26" s="360"/>
      <c r="S26" s="360"/>
      <c r="T26" s="360"/>
      <c r="U26" s="172"/>
      <c r="V26" s="172"/>
      <c r="W26" s="170"/>
      <c r="X26" s="170"/>
      <c r="Y26" s="334"/>
      <c r="Z26" s="170"/>
      <c r="AA26" s="170"/>
      <c r="AB26" s="170"/>
      <c r="AC26" s="205"/>
      <c r="AD26" s="206"/>
      <c r="AE26" s="206"/>
      <c r="AF26" s="352"/>
      <c r="AG26" s="334"/>
      <c r="AH26" s="170"/>
    </row>
    <row r="27" spans="2:34" s="305" customFormat="1" ht="11.25" customHeight="1" x14ac:dyDescent="0.2">
      <c r="B27" s="349"/>
      <c r="C27" s="356"/>
      <c r="D27" s="356"/>
      <c r="E27" s="356"/>
      <c r="F27" s="356"/>
      <c r="G27" s="356"/>
      <c r="I27" s="207"/>
      <c r="J27" s="207"/>
      <c r="M27" s="172"/>
      <c r="N27" s="170"/>
      <c r="O27" s="172"/>
      <c r="P27" s="172"/>
      <c r="Q27" s="360"/>
      <c r="R27" s="360"/>
      <c r="S27" s="360"/>
      <c r="T27" s="360"/>
      <c r="U27" s="172"/>
      <c r="V27" s="172"/>
      <c r="W27" s="170"/>
      <c r="X27" s="170"/>
      <c r="Y27" s="334"/>
      <c r="Z27" s="170"/>
      <c r="AA27" s="170"/>
      <c r="AB27" s="170"/>
      <c r="AC27" s="205"/>
      <c r="AD27" s="206"/>
      <c r="AE27" s="206"/>
      <c r="AF27" s="352"/>
      <c r="AG27" s="334"/>
      <c r="AH27" s="170"/>
    </row>
    <row r="28" spans="2:34" s="305" customFormat="1" ht="11.25" customHeight="1" x14ac:dyDescent="0.2">
      <c r="B28" s="364" t="s">
        <v>194</v>
      </c>
      <c r="D28" s="356"/>
      <c r="E28" s="356"/>
      <c r="F28" s="356"/>
      <c r="G28" s="356"/>
      <c r="I28" s="207"/>
      <c r="J28" s="207"/>
      <c r="M28" s="172"/>
      <c r="N28" s="170"/>
      <c r="O28" s="172"/>
      <c r="P28" s="172"/>
      <c r="Q28" s="360"/>
      <c r="R28" s="360"/>
      <c r="S28" s="360"/>
      <c r="T28" s="360"/>
      <c r="U28" s="172"/>
      <c r="V28" s="172"/>
      <c r="W28" s="170"/>
      <c r="X28" s="170"/>
      <c r="Y28" s="334"/>
      <c r="Z28" s="170"/>
      <c r="AA28" s="170"/>
      <c r="AB28" s="170"/>
      <c r="AC28" s="205"/>
      <c r="AD28" s="206"/>
      <c r="AE28" s="206"/>
      <c r="AF28" s="352"/>
      <c r="AG28" s="334"/>
      <c r="AH28" s="170"/>
    </row>
    <row r="29" spans="2:34" s="305" customFormat="1" ht="11.25" customHeight="1" x14ac:dyDescent="0.2">
      <c r="B29" s="349"/>
      <c r="C29" s="355"/>
      <c r="D29" s="356"/>
      <c r="E29" s="356"/>
      <c r="F29" s="356"/>
      <c r="G29" s="356"/>
      <c r="H29" s="356"/>
      <c r="I29" s="356"/>
      <c r="J29" s="356"/>
      <c r="M29" s="170"/>
      <c r="N29" s="170"/>
      <c r="O29" s="170"/>
      <c r="P29" s="170"/>
      <c r="Q29" s="360"/>
      <c r="R29" s="365"/>
      <c r="S29" s="365"/>
      <c r="T29" s="365"/>
      <c r="U29" s="170"/>
      <c r="V29" s="170"/>
      <c r="W29" s="170"/>
      <c r="X29" s="170"/>
      <c r="Y29" s="352"/>
      <c r="Z29" s="366"/>
      <c r="AA29" s="367"/>
      <c r="AB29" s="170"/>
      <c r="AC29" s="205"/>
      <c r="AD29" s="206"/>
      <c r="AE29" s="206"/>
      <c r="AF29" s="352"/>
      <c r="AG29" s="334"/>
      <c r="AH29" s="170"/>
    </row>
    <row r="30" spans="2:34" s="305" customFormat="1" ht="11.25" customHeight="1" x14ac:dyDescent="0.2">
      <c r="B30" s="349"/>
      <c r="C30" s="368" t="str">
        <f>IF(AND(I36=0,I37=0,I38=0),"",C35)</f>
        <v/>
      </c>
      <c r="D30" s="170" t="s">
        <v>191</v>
      </c>
      <c r="E30" s="356"/>
      <c r="F30" s="356"/>
      <c r="G30" s="356"/>
      <c r="H30" s="356"/>
      <c r="I30" s="356"/>
      <c r="J30" s="356"/>
      <c r="M30" s="170"/>
      <c r="N30" s="170"/>
      <c r="O30" s="170"/>
      <c r="P30" s="170"/>
      <c r="Q30" s="360"/>
      <c r="R30" s="360"/>
      <c r="S30" s="360"/>
      <c r="T30" s="36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</row>
    <row r="31" spans="2:34" s="305" customFormat="1" ht="11.25" customHeight="1" x14ac:dyDescent="0.2">
      <c r="B31" s="349"/>
      <c r="C31" s="356"/>
      <c r="D31" s="356"/>
      <c r="E31" s="356"/>
      <c r="F31" s="356"/>
      <c r="G31" s="356"/>
      <c r="H31" s="356"/>
      <c r="I31" s="356"/>
      <c r="J31" s="356"/>
      <c r="Q31" s="360"/>
      <c r="R31" s="360"/>
      <c r="S31" s="360"/>
      <c r="T31" s="360"/>
      <c r="U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</row>
    <row r="32" spans="2:34" s="305" customFormat="1" ht="11.25" customHeight="1" x14ac:dyDescent="0.2">
      <c r="B32" s="349"/>
      <c r="C32" s="569" t="s">
        <v>31</v>
      </c>
      <c r="D32" s="569"/>
      <c r="E32" s="569"/>
      <c r="F32" s="569"/>
      <c r="G32" s="170"/>
      <c r="H32" s="211"/>
      <c r="I32" s="211"/>
      <c r="J32" s="369"/>
      <c r="K32" s="356"/>
      <c r="Q32" s="170"/>
      <c r="R32" s="172"/>
      <c r="S32" s="172"/>
      <c r="T32" s="172"/>
      <c r="U32" s="170"/>
      <c r="W32" s="170"/>
      <c r="X32" s="170"/>
      <c r="Y32" s="172"/>
      <c r="Z32" s="172"/>
      <c r="AA32" s="172"/>
      <c r="AB32" s="172"/>
      <c r="AC32" s="172"/>
      <c r="AD32" s="172"/>
      <c r="AE32" s="172"/>
      <c r="AF32" s="170"/>
      <c r="AG32" s="170"/>
      <c r="AH32" s="170"/>
    </row>
    <row r="33" spans="2:34" s="305" customFormat="1" ht="11.25" customHeight="1" x14ac:dyDescent="0.2">
      <c r="B33" s="349"/>
      <c r="C33" s="333"/>
      <c r="D33" s="172"/>
      <c r="E33" s="170"/>
      <c r="F33" s="170"/>
      <c r="G33" s="170"/>
      <c r="H33" s="170"/>
      <c r="I33" s="170"/>
      <c r="J33" s="170"/>
      <c r="K33" s="356"/>
      <c r="R33" s="207"/>
      <c r="S33" s="207"/>
      <c r="T33" s="207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</row>
    <row r="34" spans="2:34" s="305" customFormat="1" ht="11.25" customHeight="1" x14ac:dyDescent="0.2">
      <c r="B34" s="349"/>
      <c r="C34" s="370" t="s">
        <v>33</v>
      </c>
      <c r="D34" s="370" t="s">
        <v>34</v>
      </c>
      <c r="E34" s="370" t="s">
        <v>35</v>
      </c>
      <c r="F34" s="370" t="s">
        <v>9</v>
      </c>
      <c r="G34" s="170"/>
      <c r="M34" s="207"/>
      <c r="N34" s="207"/>
      <c r="O34" s="207"/>
      <c r="R34" s="170"/>
      <c r="S34" s="170"/>
      <c r="T34" s="170"/>
      <c r="U34" s="352"/>
      <c r="V34" s="352"/>
      <c r="W34" s="352"/>
      <c r="X34" s="352"/>
      <c r="Y34" s="352"/>
      <c r="Z34" s="352"/>
      <c r="AA34" s="371"/>
      <c r="AB34" s="372"/>
      <c r="AC34" s="170"/>
    </row>
    <row r="35" spans="2:34" s="305" customFormat="1" ht="11.25" customHeight="1" x14ac:dyDescent="0.2">
      <c r="B35" s="349"/>
      <c r="C35" s="373">
        <f>IF(AND(L41&lt;=50,'TRAFFIC &amp; ACCIDENTS'!D9&lt;400),24,C36)</f>
        <v>26</v>
      </c>
      <c r="D35" s="172">
        <f>IF(AND(L41&lt;=30,'TRAFFIC &amp; ACCIDENTS'!D9&lt;1501),30,D36)</f>
        <v>32</v>
      </c>
      <c r="E35" s="172">
        <f>IF(AND(L41&lt;=50,'TRAFFIC &amp; ACCIDENTS'!D9&lt;2001),34,E36)</f>
        <v>36</v>
      </c>
      <c r="F35" s="172">
        <f>IF('TRAFFIC &amp; ACCIDENTS'!D9&gt;2000,40,0)</f>
        <v>0</v>
      </c>
      <c r="G35" s="170"/>
      <c r="H35" s="170"/>
      <c r="I35" s="305" t="s">
        <v>13</v>
      </c>
      <c r="K35" s="566" t="s">
        <v>193</v>
      </c>
      <c r="L35" s="567"/>
      <c r="M35" s="567"/>
      <c r="N35" s="567"/>
      <c r="O35" s="567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</row>
    <row r="36" spans="2:34" s="305" customFormat="1" ht="11.25" customHeight="1" x14ac:dyDescent="0.2">
      <c r="B36" s="349"/>
      <c r="C36" s="172">
        <f>IF(AND(L41&gt;50,'TRAFFIC &amp; ACCIDENTS'!D9&lt;400),26,D35)</f>
        <v>26</v>
      </c>
      <c r="D36" s="172">
        <f>IF(AND(L41&gt;=35,'TRAFFIC &amp; ACCIDENTS'!D9&lt;1501),32,E35)</f>
        <v>32</v>
      </c>
      <c r="E36" s="172">
        <f>IF(AND(L41&gt;=55,'TRAFFIC &amp; ACCIDENTS'!D9&lt;2001),36,F35)</f>
        <v>36</v>
      </c>
      <c r="F36" s="333"/>
      <c r="G36" s="170"/>
      <c r="H36" s="170"/>
      <c r="I36" s="374">
        <f>GEOMETRY!C6</f>
        <v>0</v>
      </c>
      <c r="J36" s="305" t="s">
        <v>14</v>
      </c>
      <c r="L36" s="170">
        <f>IF(I36&lt;&gt;0,M36,L37)</f>
        <v>20</v>
      </c>
      <c r="M36" s="170">
        <f>IF('TRAFFIC &amp; ACCIDENTS'!D9&lt;400,20,N36)</f>
        <v>20</v>
      </c>
      <c r="N36" s="170">
        <f>IF('TRAFFIC &amp; ACCIDENTS'!D9&lt;2001,30,40)</f>
        <v>30</v>
      </c>
      <c r="O36" s="207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</row>
    <row r="37" spans="2:34" s="305" customFormat="1" ht="11.25" customHeight="1" x14ac:dyDescent="0.2">
      <c r="B37" s="349"/>
      <c r="C37" s="172"/>
      <c r="D37" s="172"/>
      <c r="E37" s="172"/>
      <c r="F37" s="333"/>
      <c r="G37" s="170"/>
      <c r="H37" s="170"/>
      <c r="I37" s="374">
        <f>GEOMETRY!C7</f>
        <v>0</v>
      </c>
      <c r="J37" s="305" t="s">
        <v>15</v>
      </c>
      <c r="L37" s="170">
        <f>IF(I37&lt;&gt;0,M37,L38)</f>
        <v>20</v>
      </c>
      <c r="M37" s="170">
        <f>IF('TRAFFIC &amp; ACCIDENTS'!D9&lt;400,20,N37)</f>
        <v>20</v>
      </c>
      <c r="N37" s="170">
        <f>IF('TRAFFIC &amp; ACCIDENTS'!D9&lt;2001,30,40)</f>
        <v>30</v>
      </c>
      <c r="O37" s="207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</row>
    <row r="38" spans="2:34" s="305" customFormat="1" ht="11.25" customHeight="1" x14ac:dyDescent="0.2">
      <c r="H38" s="170"/>
      <c r="I38" s="374">
        <f>GEOMETRY!C8</f>
        <v>0</v>
      </c>
      <c r="J38" s="305" t="s">
        <v>16</v>
      </c>
      <c r="L38" s="170">
        <f>M38</f>
        <v>20</v>
      </c>
      <c r="M38" s="170">
        <f>IF('TRAFFIC &amp; ACCIDENTS'!D9&lt;400,20,N38)</f>
        <v>20</v>
      </c>
      <c r="N38" s="170">
        <f>IF('TRAFFIC &amp; ACCIDENTS'!D9&lt;2001,30,40)</f>
        <v>30</v>
      </c>
      <c r="O38" s="207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</row>
    <row r="39" spans="2:34" s="305" customFormat="1" ht="11.25" customHeight="1" x14ac:dyDescent="0.2">
      <c r="H39" s="170"/>
      <c r="I39" s="367"/>
      <c r="L39" s="170"/>
      <c r="M39" s="170"/>
      <c r="N39" s="170"/>
      <c r="O39" s="207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</row>
    <row r="40" spans="2:34" s="305" customFormat="1" ht="11.25" customHeight="1" x14ac:dyDescent="0.2">
      <c r="B40" s="375" t="s">
        <v>147</v>
      </c>
      <c r="H40" s="170"/>
      <c r="I40" s="367"/>
      <c r="L40" s="170"/>
      <c r="M40" s="170"/>
      <c r="N40" s="170"/>
      <c r="O40" s="207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</row>
    <row r="41" spans="2:34" s="305" customFormat="1" ht="11.25" customHeight="1" x14ac:dyDescent="0.2">
      <c r="H41" s="170"/>
      <c r="I41" s="207"/>
      <c r="K41" s="307" t="s">
        <v>17</v>
      </c>
      <c r="L41" s="311" t="str">
        <f>IF(AND(I36=0,I37=0,I38=0),"",L36)</f>
        <v/>
      </c>
      <c r="M41" s="170"/>
      <c r="N41" s="170"/>
      <c r="O41" s="207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</row>
    <row r="42" spans="2:34" s="305" customFormat="1" ht="11.25" customHeight="1" x14ac:dyDescent="0.2">
      <c r="H42" s="170"/>
      <c r="I42" s="367"/>
      <c r="L42" s="170"/>
      <c r="M42" s="170"/>
      <c r="N42" s="170"/>
      <c r="O42" s="207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</row>
    <row r="43" spans="2:34" s="305" customFormat="1" ht="11.25" customHeight="1" x14ac:dyDescent="0.2">
      <c r="H43" s="170"/>
      <c r="I43" s="367"/>
      <c r="L43" s="170"/>
      <c r="M43" s="170"/>
      <c r="N43" s="170"/>
      <c r="O43" s="207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</row>
    <row r="44" spans="2:34" s="305" customFormat="1" ht="11.25" customHeight="1" x14ac:dyDescent="0.2">
      <c r="C44" s="368" t="str">
        <f>IF(AND(I36=0,I37=0,I38=0),"",C49)</f>
        <v/>
      </c>
      <c r="D44" s="170" t="s">
        <v>192</v>
      </c>
      <c r="E44" s="356"/>
      <c r="F44" s="356"/>
      <c r="G44" s="356"/>
      <c r="H44" s="356"/>
      <c r="I44" s="356"/>
      <c r="O44" s="207"/>
      <c r="P44" s="207"/>
      <c r="Q44" s="207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</row>
    <row r="45" spans="2:34" s="305" customFormat="1" ht="11.25" customHeight="1" x14ac:dyDescent="0.2">
      <c r="H45" s="170"/>
      <c r="O45" s="207"/>
      <c r="P45" s="207"/>
      <c r="Q45" s="207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</row>
    <row r="46" spans="2:34" ht="12" customHeight="1" x14ac:dyDescent="0.2">
      <c r="B46" s="305"/>
      <c r="C46" s="568" t="s">
        <v>184</v>
      </c>
      <c r="D46" s="569"/>
      <c r="E46" s="569"/>
      <c r="F46" s="569"/>
      <c r="G46" s="305"/>
      <c r="H46" s="170"/>
      <c r="I46" s="207"/>
      <c r="J46" s="305"/>
      <c r="K46" s="307"/>
      <c r="L46" s="172"/>
      <c r="M46" s="305"/>
      <c r="N46" s="305"/>
      <c r="O46" s="207"/>
    </row>
    <row r="47" spans="2:34" ht="12" customHeight="1" x14ac:dyDescent="0.2">
      <c r="B47" s="305"/>
      <c r="C47" s="333"/>
      <c r="D47" s="172"/>
      <c r="E47" s="170"/>
      <c r="F47" s="170"/>
      <c r="G47" s="305"/>
      <c r="H47" s="170"/>
      <c r="I47" s="207"/>
      <c r="J47" s="305"/>
      <c r="K47" s="307"/>
      <c r="L47" s="172"/>
      <c r="M47" s="305"/>
      <c r="N47" s="305"/>
      <c r="O47" s="207"/>
    </row>
    <row r="48" spans="2:34" ht="12" customHeight="1" x14ac:dyDescent="0.2">
      <c r="B48" s="305"/>
      <c r="C48" s="370" t="s">
        <v>33</v>
      </c>
      <c r="D48" s="370" t="s">
        <v>34</v>
      </c>
      <c r="E48" s="370" t="s">
        <v>35</v>
      </c>
      <c r="F48" s="370" t="s">
        <v>9</v>
      </c>
      <c r="G48" s="305"/>
      <c r="H48" s="170"/>
      <c r="I48" s="207"/>
      <c r="J48" s="305"/>
      <c r="K48" s="307"/>
      <c r="L48" s="172"/>
      <c r="M48" s="305"/>
      <c r="N48" s="305"/>
      <c r="O48" s="207"/>
    </row>
    <row r="49" spans="2:15" ht="12" customHeight="1" x14ac:dyDescent="0.2">
      <c r="B49" s="305"/>
      <c r="C49" s="373">
        <f>IF(AND(L54&lt;=50,'TRAFFIC &amp; ACCIDENTS'!D9&lt;400),30,C50)</f>
        <v>30</v>
      </c>
      <c r="D49" s="172">
        <f>IF(AND(L54&lt;=30,'TRAFFIC &amp; ACCIDENTS'!D9&lt;1501),34,D50)</f>
        <v>34</v>
      </c>
      <c r="E49" s="172">
        <f>IF(AND(L54&lt;=50,'TRAFFIC &amp; ACCIDENTS'!D9&lt;2001),36,E50)</f>
        <v>36</v>
      </c>
      <c r="F49" s="376">
        <f>IF('TRAFFIC &amp; ACCIDENTS'!D9&gt;2000,40,0)</f>
        <v>0</v>
      </c>
      <c r="G49" s="305"/>
      <c r="H49" s="170"/>
      <c r="I49" s="207"/>
      <c r="J49" s="305"/>
      <c r="K49" s="307"/>
      <c r="L49" s="172"/>
      <c r="M49" s="305"/>
      <c r="N49" s="305"/>
      <c r="O49" s="207"/>
    </row>
    <row r="50" spans="2:15" ht="12" customHeight="1" x14ac:dyDescent="0.2">
      <c r="B50" s="305"/>
      <c r="C50" s="172">
        <f>IF(AND(L54&gt;50,'TRAFFIC &amp; ACCIDENTS'!D9&lt;400),30,D49)</f>
        <v>34</v>
      </c>
      <c r="D50" s="172">
        <f>IF(AND(L54&gt;=35,'TRAFFIC &amp; ACCIDENTS'!D9&lt;1501),34,E49)</f>
        <v>36</v>
      </c>
      <c r="E50" s="172">
        <f>IF(AND(L54&gt;=55,'TRAFFIC &amp; ACCIDENTS'!D9&lt;2001),36,F49)</f>
        <v>0</v>
      </c>
      <c r="F50" s="376">
        <f>IF('TRAFFIC &amp; ACCIDENTS'!D9&gt;2000,40,0)</f>
        <v>0</v>
      </c>
      <c r="G50" s="305"/>
      <c r="H50" s="170"/>
      <c r="I50" s="207"/>
      <c r="J50" s="305"/>
      <c r="K50" s="307"/>
      <c r="L50" s="172"/>
      <c r="M50" s="305"/>
      <c r="N50" s="305"/>
      <c r="O50" s="207"/>
    </row>
    <row r="51" spans="2:15" ht="12" customHeight="1" x14ac:dyDescent="0.2">
      <c r="B51" s="305"/>
      <c r="C51" s="172"/>
      <c r="D51" s="172"/>
      <c r="E51" s="172"/>
      <c r="F51" s="333"/>
      <c r="G51" s="305"/>
      <c r="H51" s="170"/>
      <c r="I51" s="207"/>
      <c r="J51" s="305"/>
      <c r="K51" s="307"/>
      <c r="L51" s="172"/>
      <c r="M51" s="305"/>
      <c r="N51" s="305"/>
      <c r="O51" s="207"/>
    </row>
    <row r="52" spans="2:15" ht="12" customHeight="1" x14ac:dyDescent="0.2"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207"/>
      <c r="N52" s="207"/>
      <c r="O52" s="207"/>
    </row>
    <row r="69" spans="2:18" ht="12" customHeight="1" x14ac:dyDescent="0.2">
      <c r="B69" s="305"/>
      <c r="C69" s="207"/>
      <c r="D69" s="377" t="s">
        <v>184</v>
      </c>
      <c r="E69" s="207"/>
      <c r="F69" s="207"/>
      <c r="G69" s="305"/>
      <c r="H69" s="305"/>
      <c r="I69" s="207"/>
      <c r="J69" s="377" t="s">
        <v>184</v>
      </c>
      <c r="K69" s="207"/>
      <c r="L69" s="207"/>
      <c r="N69" s="305"/>
      <c r="O69" s="207"/>
      <c r="P69" s="377" t="s">
        <v>184</v>
      </c>
      <c r="Q69" s="207"/>
      <c r="R69" s="207"/>
    </row>
    <row r="70" spans="2:18" ht="12" customHeight="1" x14ac:dyDescent="0.2"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N70" s="305"/>
      <c r="O70" s="305"/>
      <c r="P70" s="305"/>
      <c r="Q70" s="305"/>
      <c r="R70" s="305"/>
    </row>
    <row r="71" spans="2:18" ht="12" customHeight="1" x14ac:dyDescent="0.2">
      <c r="B71" s="307" t="s">
        <v>185</v>
      </c>
      <c r="C71" s="305"/>
      <c r="D71" s="336" t="s">
        <v>186</v>
      </c>
      <c r="E71" s="349"/>
      <c r="F71" s="349"/>
      <c r="G71" s="305"/>
      <c r="H71" s="307" t="s">
        <v>185</v>
      </c>
      <c r="I71" s="305"/>
      <c r="J71" s="207" t="s">
        <v>187</v>
      </c>
      <c r="K71" s="349"/>
      <c r="L71" s="349"/>
      <c r="N71" s="378" t="s">
        <v>185</v>
      </c>
      <c r="O71" s="326" t="s">
        <v>190</v>
      </c>
      <c r="Q71" s="349"/>
      <c r="R71" s="349"/>
    </row>
    <row r="72" spans="2:18" ht="12" customHeight="1" x14ac:dyDescent="0.2">
      <c r="B72" s="307" t="s">
        <v>188</v>
      </c>
      <c r="C72" s="370" t="s">
        <v>33</v>
      </c>
      <c r="D72" s="370" t="s">
        <v>34</v>
      </c>
      <c r="E72" s="370" t="s">
        <v>35</v>
      </c>
      <c r="F72" s="370" t="s">
        <v>9</v>
      </c>
      <c r="G72" s="305"/>
      <c r="H72" s="307" t="s">
        <v>188</v>
      </c>
      <c r="I72" s="370" t="s">
        <v>33</v>
      </c>
      <c r="J72" s="370" t="s">
        <v>34</v>
      </c>
      <c r="K72" s="370" t="s">
        <v>35</v>
      </c>
      <c r="L72" s="370" t="s">
        <v>9</v>
      </c>
      <c r="N72" s="378" t="s">
        <v>188</v>
      </c>
      <c r="O72" s="370" t="s">
        <v>33</v>
      </c>
      <c r="P72" s="370" t="s">
        <v>34</v>
      </c>
      <c r="Q72" s="370" t="s">
        <v>35</v>
      </c>
      <c r="R72" s="370" t="s">
        <v>9</v>
      </c>
    </row>
    <row r="73" spans="2:18" ht="12" customHeight="1" x14ac:dyDescent="0.2">
      <c r="B73" s="305"/>
      <c r="C73" s="305"/>
      <c r="D73" s="305"/>
      <c r="E73" s="305"/>
      <c r="F73" s="305"/>
      <c r="G73" s="305"/>
      <c r="H73" s="305"/>
      <c r="I73" s="305"/>
      <c r="J73" s="305"/>
      <c r="K73" s="305"/>
      <c r="L73" s="305"/>
    </row>
    <row r="74" spans="2:18" ht="12" customHeight="1" x14ac:dyDescent="0.2">
      <c r="B74" s="207">
        <v>40</v>
      </c>
      <c r="C74" s="207">
        <v>22</v>
      </c>
      <c r="D74" s="207">
        <v>22</v>
      </c>
      <c r="E74" s="207">
        <v>22</v>
      </c>
      <c r="F74" s="207">
        <v>24</v>
      </c>
      <c r="G74" s="305"/>
      <c r="H74" s="307" t="s">
        <v>189</v>
      </c>
      <c r="I74" s="207">
        <v>4</v>
      </c>
      <c r="J74" s="207">
        <v>6</v>
      </c>
      <c r="K74" s="207">
        <v>6</v>
      </c>
      <c r="L74" s="207">
        <v>8</v>
      </c>
      <c r="N74" s="207">
        <v>40</v>
      </c>
      <c r="O74" s="207">
        <f>C74+($I$74*2)</f>
        <v>30</v>
      </c>
      <c r="P74" s="207">
        <f>D74+($J$74*2)</f>
        <v>34</v>
      </c>
      <c r="Q74" s="207">
        <f>E74+($K$74*2)</f>
        <v>34</v>
      </c>
      <c r="R74" s="207">
        <f>F74+($L$74*2)</f>
        <v>40</v>
      </c>
    </row>
    <row r="75" spans="2:18" ht="12" customHeight="1" x14ac:dyDescent="0.2">
      <c r="B75" s="207">
        <v>45</v>
      </c>
      <c r="C75" s="207">
        <v>22</v>
      </c>
      <c r="D75" s="207">
        <v>22</v>
      </c>
      <c r="E75" s="207">
        <v>22</v>
      </c>
      <c r="F75" s="207">
        <v>24</v>
      </c>
      <c r="G75" s="305"/>
      <c r="H75" s="207"/>
      <c r="I75" s="207"/>
      <c r="J75" s="207"/>
      <c r="K75" s="207"/>
      <c r="L75" s="207"/>
      <c r="N75" s="207">
        <v>45</v>
      </c>
      <c r="O75" s="207">
        <f t="shared" ref="O75:O81" si="0">C75+($I$74*2)</f>
        <v>30</v>
      </c>
      <c r="P75" s="207">
        <f t="shared" ref="P75:P81" si="1">D75+($J$74*2)</f>
        <v>34</v>
      </c>
      <c r="Q75" s="207">
        <f t="shared" ref="Q75:Q81" si="2">E75+($K$74*2)</f>
        <v>34</v>
      </c>
      <c r="R75" s="207">
        <f t="shared" ref="R75:R81" si="3">F75+($L$74*2)</f>
        <v>40</v>
      </c>
    </row>
    <row r="76" spans="2:18" ht="12" customHeight="1" x14ac:dyDescent="0.2">
      <c r="B76" s="207">
        <v>50</v>
      </c>
      <c r="C76" s="207">
        <v>22</v>
      </c>
      <c r="D76" s="207">
        <v>22</v>
      </c>
      <c r="E76" s="207">
        <v>24</v>
      </c>
      <c r="F76" s="207">
        <v>24</v>
      </c>
      <c r="G76" s="305"/>
      <c r="H76" s="207"/>
      <c r="I76" s="207"/>
      <c r="J76" s="207"/>
      <c r="K76" s="207"/>
      <c r="L76" s="207"/>
      <c r="N76" s="207">
        <v>50</v>
      </c>
      <c r="O76" s="207">
        <f t="shared" si="0"/>
        <v>30</v>
      </c>
      <c r="P76" s="207">
        <f t="shared" si="1"/>
        <v>34</v>
      </c>
      <c r="Q76" s="207">
        <f t="shared" si="2"/>
        <v>36</v>
      </c>
      <c r="R76" s="207">
        <f t="shared" si="3"/>
        <v>40</v>
      </c>
    </row>
    <row r="77" spans="2:18" ht="12" customHeight="1" x14ac:dyDescent="0.2">
      <c r="B77" s="207">
        <v>55</v>
      </c>
      <c r="C77" s="207">
        <v>22</v>
      </c>
      <c r="D77" s="207">
        <v>22</v>
      </c>
      <c r="E77" s="207">
        <v>24</v>
      </c>
      <c r="F77" s="207">
        <v>24</v>
      </c>
      <c r="G77" s="305"/>
      <c r="H77" s="207"/>
      <c r="I77" s="207"/>
      <c r="J77" s="207"/>
      <c r="K77" s="207"/>
      <c r="L77" s="207"/>
      <c r="N77" s="207">
        <v>55</v>
      </c>
      <c r="O77" s="207">
        <f t="shared" si="0"/>
        <v>30</v>
      </c>
      <c r="P77" s="207">
        <f t="shared" si="1"/>
        <v>34</v>
      </c>
      <c r="Q77" s="207">
        <f t="shared" si="2"/>
        <v>36</v>
      </c>
      <c r="R77" s="207">
        <f t="shared" si="3"/>
        <v>40</v>
      </c>
    </row>
    <row r="78" spans="2:18" ht="12" customHeight="1" x14ac:dyDescent="0.2">
      <c r="B78" s="207">
        <v>60</v>
      </c>
      <c r="C78" s="207">
        <v>24</v>
      </c>
      <c r="D78" s="207">
        <v>24</v>
      </c>
      <c r="E78" s="207">
        <v>24</v>
      </c>
      <c r="F78" s="207">
        <v>24</v>
      </c>
      <c r="G78" s="305"/>
      <c r="H78" s="207"/>
      <c r="I78" s="207"/>
      <c r="J78" s="207"/>
      <c r="K78" s="207"/>
      <c r="L78" s="207"/>
      <c r="N78" s="207">
        <v>60</v>
      </c>
      <c r="O78" s="207">
        <f t="shared" si="0"/>
        <v>32</v>
      </c>
      <c r="P78" s="207">
        <f t="shared" si="1"/>
        <v>36</v>
      </c>
      <c r="Q78" s="207">
        <f t="shared" si="2"/>
        <v>36</v>
      </c>
      <c r="R78" s="207">
        <f t="shared" si="3"/>
        <v>40</v>
      </c>
    </row>
    <row r="79" spans="2:18" ht="12" customHeight="1" x14ac:dyDescent="0.2">
      <c r="B79" s="207">
        <v>65</v>
      </c>
      <c r="C79" s="207">
        <v>24</v>
      </c>
      <c r="D79" s="207">
        <v>24</v>
      </c>
      <c r="E79" s="207">
        <v>24</v>
      </c>
      <c r="F79" s="207">
        <v>24</v>
      </c>
      <c r="G79" s="305"/>
      <c r="H79" s="207"/>
      <c r="I79" s="207"/>
      <c r="J79" s="207"/>
      <c r="K79" s="207"/>
      <c r="L79" s="207"/>
      <c r="N79" s="207">
        <v>65</v>
      </c>
      <c r="O79" s="207">
        <f t="shared" si="0"/>
        <v>32</v>
      </c>
      <c r="P79" s="207">
        <f t="shared" si="1"/>
        <v>36</v>
      </c>
      <c r="Q79" s="207">
        <f t="shared" si="2"/>
        <v>36</v>
      </c>
      <c r="R79" s="207">
        <f t="shared" si="3"/>
        <v>40</v>
      </c>
    </row>
    <row r="80" spans="2:18" ht="12" customHeight="1" x14ac:dyDescent="0.2">
      <c r="B80" s="207">
        <v>70</v>
      </c>
      <c r="C80" s="207">
        <v>24</v>
      </c>
      <c r="D80" s="207">
        <v>24</v>
      </c>
      <c r="E80" s="207">
        <v>24</v>
      </c>
      <c r="F80" s="207">
        <v>24</v>
      </c>
      <c r="G80" s="305"/>
      <c r="H80" s="207"/>
      <c r="I80" s="207"/>
      <c r="J80" s="207"/>
      <c r="K80" s="207"/>
      <c r="L80" s="207"/>
      <c r="N80" s="207">
        <v>70</v>
      </c>
      <c r="O80" s="207">
        <f t="shared" si="0"/>
        <v>32</v>
      </c>
      <c r="P80" s="207">
        <f t="shared" si="1"/>
        <v>36</v>
      </c>
      <c r="Q80" s="207">
        <f t="shared" si="2"/>
        <v>36</v>
      </c>
      <c r="R80" s="207">
        <f t="shared" si="3"/>
        <v>40</v>
      </c>
    </row>
    <row r="81" spans="2:18" ht="12" customHeight="1" x14ac:dyDescent="0.2">
      <c r="B81" s="207">
        <v>75</v>
      </c>
      <c r="C81" s="207">
        <v>24</v>
      </c>
      <c r="D81" s="207">
        <v>24</v>
      </c>
      <c r="E81" s="207">
        <v>24</v>
      </c>
      <c r="F81" s="207">
        <v>24</v>
      </c>
      <c r="G81" s="305"/>
      <c r="H81" s="207"/>
      <c r="I81" s="207"/>
      <c r="J81" s="207"/>
      <c r="K81" s="207"/>
      <c r="L81" s="207"/>
      <c r="N81" s="207">
        <v>75</v>
      </c>
      <c r="O81" s="207">
        <f t="shared" si="0"/>
        <v>32</v>
      </c>
      <c r="P81" s="207">
        <f t="shared" si="1"/>
        <v>36</v>
      </c>
      <c r="Q81" s="207">
        <f t="shared" si="2"/>
        <v>36</v>
      </c>
      <c r="R81" s="207">
        <f t="shared" si="3"/>
        <v>40</v>
      </c>
    </row>
  </sheetData>
  <sheetProtection password="EC65" sheet="1" selectLockedCells="1"/>
  <mergeCells count="6">
    <mergeCell ref="K35:O35"/>
    <mergeCell ref="C46:F46"/>
    <mergeCell ref="C14:E14"/>
    <mergeCell ref="C2:N4"/>
    <mergeCell ref="B5:C5"/>
    <mergeCell ref="C32:F32"/>
  </mergeCells>
  <conditionalFormatting sqref="H33 D33">
    <cfRule type="expression" dxfId="24" priority="13" stopIfTrue="1">
      <formula>ISERROR($C$80)</formula>
    </cfRule>
  </conditionalFormatting>
  <conditionalFormatting sqref="I33">
    <cfRule type="expression" dxfId="23" priority="11" stopIfTrue="1">
      <formula>ISERROR($N$81)</formula>
    </cfRule>
  </conditionalFormatting>
  <conditionalFormatting sqref="D34">
    <cfRule type="expression" dxfId="22" priority="10" stopIfTrue="1">
      <formula>ISERROR($K$82)</formula>
    </cfRule>
  </conditionalFormatting>
  <conditionalFormatting sqref="J33">
    <cfRule type="expression" dxfId="21" priority="6" stopIfTrue="1">
      <formula>ISERROR($E$127)</formula>
    </cfRule>
  </conditionalFormatting>
  <conditionalFormatting sqref="Q19">
    <cfRule type="expression" dxfId="20" priority="5" stopIfTrue="1">
      <formula>ISERROR($M$6)</formula>
    </cfRule>
  </conditionalFormatting>
  <conditionalFormatting sqref="Q21">
    <cfRule type="expression" dxfId="19" priority="4" stopIfTrue="1">
      <formula>ISERROR($M$8)</formula>
    </cfRule>
  </conditionalFormatting>
  <conditionalFormatting sqref="D47">
    <cfRule type="expression" dxfId="18" priority="2" stopIfTrue="1">
      <formula>ISERROR($C$80)</formula>
    </cfRule>
  </conditionalFormatting>
  <conditionalFormatting sqref="D48">
    <cfRule type="expression" dxfId="17" priority="1" stopIfTrue="1">
      <formula>ISERROR($K$82)</formula>
    </cfRule>
  </conditionalFormatting>
  <conditionalFormatting sqref="K17:K32">
    <cfRule type="expression" dxfId="16" priority="55" stopIfTrue="1">
      <formula>ISERROR($N$68)</formula>
    </cfRule>
  </conditionalFormatting>
  <conditionalFormatting sqref="J17:J32">
    <cfRule type="expression" dxfId="15" priority="57" stopIfTrue="1">
      <formula>ISERROR($K$72)</formula>
    </cfRule>
  </conditionalFormatting>
  <pageMargins left="0.7" right="0.7" top="0.75" bottom="0.75" header="0.3" footer="0.3"/>
  <pageSetup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Z42"/>
  <sheetViews>
    <sheetView showGridLines="0" topLeftCell="A2" zoomScale="75" zoomScaleNormal="75" workbookViewId="0">
      <selection activeCell="C10" sqref="C10"/>
    </sheetView>
  </sheetViews>
  <sheetFormatPr defaultRowHeight="12.75" x14ac:dyDescent="0.2"/>
  <cols>
    <col min="1" max="1" width="7.28515625" style="226" customWidth="1"/>
    <col min="2" max="2" width="5.85546875" style="226" customWidth="1"/>
    <col min="3" max="12" width="9.140625" style="226"/>
    <col min="13" max="13" width="1.28515625" style="226" customWidth="1"/>
    <col min="14" max="16384" width="9.140625" style="226"/>
  </cols>
  <sheetData>
    <row r="2" spans="2:26" ht="13.5" thickBot="1" x14ac:dyDescent="0.25"/>
    <row r="3" spans="2:26" ht="12.75" customHeight="1" x14ac:dyDescent="0.2">
      <c r="B3" s="575" t="s">
        <v>68</v>
      </c>
      <c r="C3" s="576"/>
      <c r="D3" s="576"/>
      <c r="E3" s="576"/>
      <c r="F3" s="576"/>
      <c r="G3" s="576"/>
      <c r="H3" s="576"/>
      <c r="I3" s="576"/>
      <c r="J3" s="576"/>
      <c r="K3" s="576"/>
      <c r="L3" s="577"/>
      <c r="O3" s="227"/>
      <c r="P3" s="228"/>
      <c r="Q3" s="229"/>
      <c r="R3" s="228"/>
      <c r="S3" s="228"/>
      <c r="T3" s="228"/>
      <c r="U3" s="228"/>
      <c r="V3" s="230"/>
      <c r="W3" s="230"/>
      <c r="X3" s="230"/>
      <c r="Y3" s="228"/>
      <c r="Z3" s="231"/>
    </row>
    <row r="4" spans="2:26" ht="12.75" customHeight="1" x14ac:dyDescent="0.2">
      <c r="B4" s="578"/>
      <c r="C4" s="501"/>
      <c r="D4" s="501"/>
      <c r="E4" s="501"/>
      <c r="F4" s="501"/>
      <c r="G4" s="501"/>
      <c r="H4" s="501"/>
      <c r="I4" s="501"/>
      <c r="J4" s="501"/>
      <c r="K4" s="501"/>
      <c r="L4" s="579"/>
      <c r="O4" s="232"/>
      <c r="P4" s="233"/>
      <c r="Q4" s="233"/>
      <c r="R4" s="234" t="s">
        <v>200</v>
      </c>
      <c r="S4" s="235"/>
      <c r="T4" s="233"/>
      <c r="U4" s="233"/>
      <c r="V4" s="233"/>
      <c r="W4" s="233"/>
      <c r="X4" s="233"/>
      <c r="Y4" s="233"/>
      <c r="Z4" s="236"/>
    </row>
    <row r="5" spans="2:26" x14ac:dyDescent="0.2">
      <c r="B5" s="578"/>
      <c r="C5" s="501"/>
      <c r="D5" s="501"/>
      <c r="E5" s="501"/>
      <c r="F5" s="501"/>
      <c r="G5" s="501"/>
      <c r="H5" s="501"/>
      <c r="I5" s="501"/>
      <c r="J5" s="501"/>
      <c r="K5" s="501"/>
      <c r="L5" s="579"/>
      <c r="O5" s="232"/>
      <c r="P5" s="233"/>
      <c r="Q5" s="233"/>
      <c r="R5" s="233"/>
      <c r="S5" s="233"/>
      <c r="T5" s="233"/>
      <c r="U5" s="233"/>
      <c r="V5" s="233"/>
      <c r="W5" s="233"/>
      <c r="X5" s="235"/>
      <c r="Y5" s="237" t="s">
        <v>47</v>
      </c>
      <c r="Z5" s="236"/>
    </row>
    <row r="6" spans="2:26" x14ac:dyDescent="0.2">
      <c r="B6" s="238"/>
      <c r="C6" s="239"/>
      <c r="D6" s="239"/>
      <c r="E6" s="239"/>
      <c r="F6" s="240"/>
      <c r="G6" s="239"/>
      <c r="H6" s="239"/>
      <c r="I6" s="241"/>
      <c r="J6" s="242"/>
      <c r="K6" s="242"/>
      <c r="L6" s="243"/>
      <c r="O6" s="232"/>
      <c r="P6" s="233"/>
      <c r="Q6" s="244" t="s">
        <v>69</v>
      </c>
      <c r="R6" s="233"/>
      <c r="S6" s="233"/>
      <c r="T6" s="233"/>
      <c r="U6" s="233"/>
      <c r="V6" s="233"/>
      <c r="W6" s="245"/>
      <c r="X6" s="235"/>
      <c r="Y6" s="246" t="str">
        <f>GEOMETRY!L8</f>
        <v/>
      </c>
      <c r="Z6" s="247"/>
    </row>
    <row r="7" spans="2:26" x14ac:dyDescent="0.2">
      <c r="B7" s="248" t="s">
        <v>201</v>
      </c>
      <c r="C7" s="239"/>
      <c r="D7" s="239"/>
      <c r="E7" s="239"/>
      <c r="F7" s="239"/>
      <c r="G7" s="249"/>
      <c r="H7" s="249"/>
      <c r="I7" s="239"/>
      <c r="J7" s="239"/>
      <c r="K7" s="242"/>
      <c r="L7" s="243"/>
      <c r="O7" s="232"/>
      <c r="P7" s="233"/>
      <c r="Q7" s="250" t="s">
        <v>48</v>
      </c>
      <c r="R7" s="233"/>
      <c r="S7" s="233"/>
      <c r="T7" s="233"/>
      <c r="U7" s="233"/>
      <c r="V7" s="233"/>
      <c r="W7" s="245"/>
      <c r="X7" s="233"/>
      <c r="Y7" s="233"/>
      <c r="Z7" s="247"/>
    </row>
    <row r="8" spans="2:26" x14ac:dyDescent="0.2">
      <c r="B8" s="251">
        <v>1</v>
      </c>
      <c r="C8" s="580" t="s">
        <v>59</v>
      </c>
      <c r="D8" s="580"/>
      <c r="E8" s="580"/>
      <c r="F8" s="239"/>
      <c r="G8" s="239"/>
      <c r="H8" s="239"/>
      <c r="I8" s="239"/>
      <c r="J8" s="239"/>
      <c r="K8" s="241"/>
      <c r="L8" s="243"/>
      <c r="O8" s="232"/>
      <c r="P8" s="253" t="s">
        <v>49</v>
      </c>
      <c r="Q8" s="245"/>
      <c r="R8" s="245"/>
      <c r="S8" s="254" t="s">
        <v>135</v>
      </c>
      <c r="T8" s="245"/>
      <c r="U8" s="245"/>
      <c r="V8" s="245"/>
      <c r="W8" s="245"/>
      <c r="X8" s="233"/>
      <c r="Y8" s="233"/>
      <c r="Z8" s="247"/>
    </row>
    <row r="9" spans="2:26" x14ac:dyDescent="0.2">
      <c r="B9" s="238"/>
      <c r="C9" s="239"/>
      <c r="D9" s="239"/>
      <c r="E9" s="239"/>
      <c r="F9" s="239"/>
      <c r="G9" s="239"/>
      <c r="H9" s="239"/>
      <c r="I9" s="239"/>
      <c r="J9" s="239"/>
      <c r="K9" s="241"/>
      <c r="L9" s="243"/>
      <c r="O9" s="232"/>
      <c r="P9" s="233"/>
      <c r="Q9" s="233"/>
      <c r="R9" s="233"/>
      <c r="S9" s="233"/>
      <c r="T9" s="233"/>
      <c r="U9" s="250"/>
      <c r="V9" s="233"/>
      <c r="W9" s="255" t="s">
        <v>0</v>
      </c>
      <c r="X9" s="233"/>
      <c r="Y9" s="233"/>
      <c r="Z9" s="247"/>
    </row>
    <row r="10" spans="2:26" x14ac:dyDescent="0.2">
      <c r="B10" s="238"/>
      <c r="C10" s="256">
        <v>0.5</v>
      </c>
      <c r="D10" s="257" t="s">
        <v>202</v>
      </c>
      <c r="E10" s="239"/>
      <c r="F10" s="239"/>
      <c r="G10" s="239"/>
      <c r="H10" s="239"/>
      <c r="I10" s="239"/>
      <c r="J10" s="239"/>
      <c r="K10" s="241"/>
      <c r="L10" s="243"/>
      <c r="O10" s="232"/>
      <c r="P10" s="237"/>
      <c r="Q10" s="234" t="s">
        <v>50</v>
      </c>
      <c r="R10" s="233"/>
      <c r="S10" s="233"/>
      <c r="T10" s="233"/>
      <c r="U10" s="234"/>
      <c r="V10" s="233"/>
      <c r="W10" s="258" t="s">
        <v>1</v>
      </c>
      <c r="X10" s="233"/>
      <c r="Y10" s="233"/>
      <c r="Z10" s="247"/>
    </row>
    <row r="11" spans="2:26" x14ac:dyDescent="0.2">
      <c r="B11" s="238"/>
      <c r="C11" s="239"/>
      <c r="D11" s="239"/>
      <c r="E11" s="239"/>
      <c r="F11" s="239"/>
      <c r="G11" s="239"/>
      <c r="H11" s="239"/>
      <c r="I11" s="239"/>
      <c r="J11" s="239"/>
      <c r="K11" s="241"/>
      <c r="L11" s="243"/>
      <c r="O11" s="232"/>
      <c r="P11" s="237"/>
      <c r="Q11" s="233"/>
      <c r="R11" s="233"/>
      <c r="S11" s="233"/>
      <c r="T11" s="233"/>
      <c r="U11" s="246"/>
      <c r="V11" s="233"/>
      <c r="W11" s="255"/>
      <c r="X11" s="233"/>
      <c r="Y11" s="233"/>
      <c r="Z11" s="247"/>
    </row>
    <row r="12" spans="2:26" ht="12.75" customHeight="1" x14ac:dyDescent="0.2">
      <c r="B12" s="238"/>
      <c r="C12" s="259">
        <f>SUMMARY!F7</f>
        <v>0</v>
      </c>
      <c r="D12" s="239" t="s">
        <v>51</v>
      </c>
      <c r="E12" s="239"/>
      <c r="F12" s="239"/>
      <c r="G12" s="581" t="s">
        <v>72</v>
      </c>
      <c r="H12" s="582"/>
      <c r="I12" s="260"/>
      <c r="J12" s="261"/>
      <c r="K12" s="262"/>
      <c r="L12" s="263"/>
      <c r="O12" s="232"/>
      <c r="P12" s="264">
        <v>1</v>
      </c>
      <c r="Q12" s="233" t="s">
        <v>52</v>
      </c>
      <c r="R12" s="233"/>
      <c r="S12" s="233"/>
      <c r="T12" s="233"/>
      <c r="U12" s="233"/>
      <c r="V12" s="233"/>
      <c r="W12" s="255">
        <v>5</v>
      </c>
      <c r="X12" s="233"/>
      <c r="Y12" s="233"/>
      <c r="Z12" s="247"/>
    </row>
    <row r="13" spans="2:26" ht="12.75" customHeight="1" x14ac:dyDescent="0.2">
      <c r="B13" s="238"/>
      <c r="C13" s="239"/>
      <c r="D13" s="239"/>
      <c r="E13" s="239"/>
      <c r="F13" s="239"/>
      <c r="G13" s="582"/>
      <c r="H13" s="582"/>
      <c r="I13" s="583" t="s">
        <v>84</v>
      </c>
      <c r="J13" s="583"/>
      <c r="K13" s="265" t="s">
        <v>89</v>
      </c>
      <c r="L13" s="266"/>
      <c r="O13" s="232"/>
      <c r="P13" s="264"/>
      <c r="Q13" s="233"/>
      <c r="R13" s="233" t="s">
        <v>53</v>
      </c>
      <c r="S13" s="233"/>
      <c r="T13" s="233"/>
      <c r="U13" s="246"/>
      <c r="V13" s="233"/>
      <c r="W13" s="255"/>
      <c r="X13" s="233"/>
      <c r="Y13" s="233"/>
      <c r="Z13" s="247"/>
    </row>
    <row r="14" spans="2:26" x14ac:dyDescent="0.2">
      <c r="B14" s="238"/>
      <c r="C14" s="267">
        <f>IF(C12=0,0,C10/C12)</f>
        <v>0</v>
      </c>
      <c r="D14" s="257" t="s">
        <v>60</v>
      </c>
      <c r="E14" s="268">
        <f>IF(C14*5&gt;5,5,C14*5)</f>
        <v>0</v>
      </c>
      <c r="F14" s="239" t="s">
        <v>54</v>
      </c>
      <c r="G14" s="582"/>
      <c r="H14" s="582"/>
      <c r="I14" s="583"/>
      <c r="J14" s="583"/>
      <c r="K14" s="269"/>
      <c r="L14" s="263"/>
      <c r="O14" s="232"/>
      <c r="P14" s="264"/>
      <c r="Q14" s="233"/>
      <c r="R14" s="233" t="s">
        <v>55</v>
      </c>
      <c r="S14" s="233"/>
      <c r="T14" s="233"/>
      <c r="U14" s="246"/>
      <c r="V14" s="233"/>
      <c r="W14" s="255"/>
      <c r="X14" s="233"/>
      <c r="Y14" s="239"/>
      <c r="Z14" s="270"/>
    </row>
    <row r="15" spans="2:26" x14ac:dyDescent="0.2">
      <c r="B15" s="238"/>
      <c r="C15" s="271"/>
      <c r="D15" s="239"/>
      <c r="E15" s="239"/>
      <c r="F15" s="239"/>
      <c r="G15" s="239"/>
      <c r="H15" s="239"/>
      <c r="I15" s="272"/>
      <c r="J15" s="273"/>
      <c r="K15" s="269"/>
      <c r="L15" s="263"/>
      <c r="O15" s="232"/>
      <c r="P15" s="264"/>
      <c r="Q15" s="254" t="s">
        <v>78</v>
      </c>
      <c r="R15" s="233"/>
      <c r="S15" s="233"/>
      <c r="T15" s="233"/>
      <c r="U15" s="246"/>
      <c r="V15" s="233"/>
      <c r="W15" s="255"/>
      <c r="X15" s="233"/>
      <c r="Y15" s="239"/>
      <c r="Z15" s="274"/>
    </row>
    <row r="16" spans="2:26" ht="12.75" customHeight="1" x14ac:dyDescent="0.2">
      <c r="B16" s="238"/>
      <c r="C16" s="239"/>
      <c r="D16" s="239"/>
      <c r="E16" s="239"/>
      <c r="F16" s="239"/>
      <c r="G16" s="239"/>
      <c r="H16" s="584" t="s">
        <v>74</v>
      </c>
      <c r="I16" s="584"/>
      <c r="J16" s="584"/>
      <c r="K16" s="584"/>
      <c r="L16" s="263"/>
      <c r="O16" s="232"/>
      <c r="P16" s="264"/>
      <c r="Q16" s="233"/>
      <c r="R16" s="233"/>
      <c r="S16" s="233"/>
      <c r="T16" s="233"/>
      <c r="U16" s="246"/>
      <c r="V16" s="233"/>
      <c r="W16" s="255"/>
      <c r="X16" s="233"/>
      <c r="Y16" s="241"/>
      <c r="Z16" s="275"/>
    </row>
    <row r="17" spans="2:26" x14ac:dyDescent="0.2">
      <c r="B17" s="251">
        <v>2</v>
      </c>
      <c r="C17" s="302" t="s">
        <v>203</v>
      </c>
      <c r="D17" s="302"/>
      <c r="E17" s="239" t="s">
        <v>133</v>
      </c>
      <c r="F17" s="239"/>
      <c r="G17" s="239"/>
      <c r="H17" s="584"/>
      <c r="I17" s="584"/>
      <c r="J17" s="584"/>
      <c r="K17" s="584"/>
      <c r="L17" s="263"/>
      <c r="O17" s="232"/>
      <c r="P17" s="264"/>
      <c r="Q17" s="233"/>
      <c r="R17" s="233"/>
      <c r="S17" s="233"/>
      <c r="T17" s="233"/>
      <c r="U17" s="246"/>
      <c r="V17" s="233"/>
      <c r="W17" s="255"/>
      <c r="X17" s="233"/>
      <c r="Y17" s="241"/>
      <c r="Z17" s="275"/>
    </row>
    <row r="18" spans="2:26" x14ac:dyDescent="0.2">
      <c r="B18" s="238"/>
      <c r="C18" s="241"/>
      <c r="D18" s="239"/>
      <c r="E18" s="239"/>
      <c r="F18" s="239"/>
      <c r="G18" s="239"/>
      <c r="H18" s="584"/>
      <c r="I18" s="584"/>
      <c r="J18" s="584"/>
      <c r="K18" s="584"/>
      <c r="L18" s="243"/>
      <c r="O18" s="232"/>
      <c r="P18" s="264">
        <v>2</v>
      </c>
      <c r="Q18" s="254" t="s">
        <v>119</v>
      </c>
      <c r="R18" s="233"/>
      <c r="S18" s="233"/>
      <c r="T18" s="233"/>
      <c r="U18" s="246"/>
      <c r="V18" s="233"/>
      <c r="W18" s="255"/>
      <c r="X18" s="300"/>
      <c r="Y18" s="239"/>
      <c r="Z18" s="276"/>
    </row>
    <row r="19" spans="2:26" x14ac:dyDescent="0.2">
      <c r="B19" s="462"/>
      <c r="C19" s="278"/>
      <c r="D19" s="239" t="s">
        <v>129</v>
      </c>
      <c r="E19" s="239"/>
      <c r="F19" s="239"/>
      <c r="G19" s="239"/>
      <c r="H19" s="239"/>
      <c r="I19" s="239"/>
      <c r="J19" s="239"/>
      <c r="K19" s="239"/>
      <c r="L19" s="243"/>
      <c r="O19" s="232"/>
      <c r="P19" s="264"/>
      <c r="Q19" s="237" t="s">
        <v>56</v>
      </c>
      <c r="R19" s="254" t="s">
        <v>120</v>
      </c>
      <c r="S19" s="233"/>
      <c r="T19" s="233"/>
      <c r="U19" s="233"/>
      <c r="V19" s="233"/>
      <c r="W19" s="233"/>
      <c r="X19" s="300"/>
      <c r="Y19" s="239"/>
      <c r="Z19" s="276"/>
    </row>
    <row r="20" spans="2:26" x14ac:dyDescent="0.2">
      <c r="B20" s="462"/>
      <c r="C20" s="278"/>
      <c r="D20" s="239" t="s">
        <v>128</v>
      </c>
      <c r="E20" s="239"/>
      <c r="F20" s="279"/>
      <c r="G20" s="279"/>
      <c r="H20" s="239"/>
      <c r="I20" s="239"/>
      <c r="J20" s="239"/>
      <c r="K20" s="239"/>
      <c r="L20" s="243"/>
      <c r="O20" s="232"/>
      <c r="P20" s="264"/>
      <c r="Q20" s="233"/>
      <c r="R20" s="280" t="s">
        <v>121</v>
      </c>
      <c r="S20" s="233"/>
      <c r="T20" s="233"/>
      <c r="U20" s="233"/>
      <c r="V20" s="233"/>
      <c r="W20" s="255">
        <v>2</v>
      </c>
      <c r="X20" s="300"/>
      <c r="Y20" s="241"/>
      <c r="Z20" s="277"/>
    </row>
    <row r="21" spans="2:26" x14ac:dyDescent="0.2">
      <c r="B21" s="462"/>
      <c r="C21" s="6">
        <f>IF(C19&lt;&gt;"",2,IF(C20&lt;&gt;"",4,0))</f>
        <v>0</v>
      </c>
      <c r="D21" s="239"/>
      <c r="E21" s="239"/>
      <c r="F21" s="239"/>
      <c r="G21" s="239"/>
      <c r="H21" s="239"/>
      <c r="I21" s="239"/>
      <c r="J21" s="239"/>
      <c r="K21" s="239"/>
      <c r="L21" s="243"/>
      <c r="O21" s="232"/>
      <c r="P21" s="264"/>
      <c r="Q21" s="233"/>
      <c r="R21" s="280" t="s">
        <v>122</v>
      </c>
      <c r="S21" s="233"/>
      <c r="T21" s="233"/>
      <c r="U21" s="233"/>
      <c r="V21" s="233"/>
      <c r="W21" s="255">
        <v>4</v>
      </c>
      <c r="X21" s="301"/>
      <c r="Y21" s="241"/>
      <c r="Z21" s="277"/>
    </row>
    <row r="22" spans="2:26" x14ac:dyDescent="0.2">
      <c r="B22" s="463"/>
      <c r="C22" s="281"/>
      <c r="D22" s="239"/>
      <c r="E22" s="281"/>
      <c r="F22" s="239"/>
      <c r="G22" s="239"/>
      <c r="H22" s="239"/>
      <c r="I22" s="239"/>
      <c r="J22" s="239"/>
      <c r="K22" s="239"/>
      <c r="L22" s="243"/>
      <c r="O22" s="232"/>
      <c r="P22" s="264"/>
      <c r="Q22" s="233"/>
      <c r="R22" s="280"/>
      <c r="S22" s="233"/>
      <c r="T22" s="233"/>
      <c r="U22" s="233"/>
      <c r="V22" s="246"/>
      <c r="W22" s="282"/>
      <c r="X22" s="233"/>
      <c r="Y22" s="233"/>
      <c r="Z22" s="247"/>
    </row>
    <row r="23" spans="2:26" x14ac:dyDescent="0.2">
      <c r="B23" s="464"/>
      <c r="C23" s="283"/>
      <c r="D23" s="257" t="s">
        <v>130</v>
      </c>
      <c r="E23" s="284"/>
      <c r="F23" s="285"/>
      <c r="G23" s="286"/>
      <c r="H23" s="239"/>
      <c r="I23" s="239"/>
      <c r="J23" s="239"/>
      <c r="K23" s="239"/>
      <c r="L23" s="243"/>
      <c r="O23" s="232"/>
      <c r="P23" s="264"/>
      <c r="Q23" s="287" t="s">
        <v>123</v>
      </c>
      <c r="R23" s="254" t="s">
        <v>124</v>
      </c>
      <c r="S23" s="233"/>
      <c r="T23" s="233"/>
      <c r="U23" s="233"/>
      <c r="V23" s="246"/>
      <c r="W23" s="239"/>
      <c r="X23" s="233"/>
      <c r="Y23" s="233"/>
      <c r="Z23" s="247"/>
    </row>
    <row r="24" spans="2:26" x14ac:dyDescent="0.2">
      <c r="B24" s="464"/>
      <c r="C24" s="283"/>
      <c r="D24" s="257" t="s">
        <v>132</v>
      </c>
      <c r="E24" s="239"/>
      <c r="F24" s="239"/>
      <c r="G24" s="239"/>
      <c r="H24" s="239"/>
      <c r="I24" s="239"/>
      <c r="J24" s="239"/>
      <c r="K24" s="239"/>
      <c r="L24" s="243"/>
      <c r="O24" s="232"/>
      <c r="P24" s="264"/>
      <c r="Q24" s="233"/>
      <c r="R24" s="254" t="s">
        <v>125</v>
      </c>
      <c r="S24" s="233"/>
      <c r="T24" s="233"/>
      <c r="U24" s="233"/>
      <c r="V24" s="233"/>
      <c r="W24" s="255">
        <v>2</v>
      </c>
      <c r="X24" s="233"/>
      <c r="Y24" s="233"/>
      <c r="Z24" s="247"/>
    </row>
    <row r="25" spans="2:26" x14ac:dyDescent="0.2">
      <c r="B25" s="464"/>
      <c r="C25" s="283"/>
      <c r="D25" s="257" t="s">
        <v>131</v>
      </c>
      <c r="E25" s="239"/>
      <c r="F25" s="239"/>
      <c r="G25" s="239"/>
      <c r="H25" s="239"/>
      <c r="I25" s="239"/>
      <c r="J25" s="239"/>
      <c r="K25" s="239"/>
      <c r="L25" s="243"/>
      <c r="O25" s="232"/>
      <c r="P25" s="264"/>
      <c r="Q25" s="233"/>
      <c r="R25" s="288" t="s">
        <v>126</v>
      </c>
      <c r="S25" s="246"/>
      <c r="T25" s="233"/>
      <c r="U25" s="246"/>
      <c r="V25" s="233"/>
      <c r="W25" s="255">
        <v>4</v>
      </c>
      <c r="X25" s="233"/>
      <c r="Y25" s="233"/>
      <c r="Z25" s="247"/>
    </row>
    <row r="26" spans="2:26" x14ac:dyDescent="0.2">
      <c r="B26" s="251"/>
      <c r="C26" s="6">
        <f>IF(C23&lt;&gt;"",2,IF(C24&lt;&gt;"",4,IF(C25&lt;&gt;"",6,0)))</f>
        <v>0</v>
      </c>
      <c r="D26" s="239"/>
      <c r="E26" s="241"/>
      <c r="F26" s="285"/>
      <c r="G26" s="286"/>
      <c r="H26" s="239"/>
      <c r="I26" s="241"/>
      <c r="J26" s="239"/>
      <c r="K26" s="239"/>
      <c r="L26" s="243"/>
      <c r="O26" s="232"/>
      <c r="P26" s="237"/>
      <c r="Q26" s="233"/>
      <c r="R26" s="254" t="s">
        <v>127</v>
      </c>
      <c r="S26" s="246"/>
      <c r="T26" s="233"/>
      <c r="U26" s="246"/>
      <c r="V26" s="233"/>
      <c r="W26" s="255">
        <v>6</v>
      </c>
      <c r="X26" s="233"/>
      <c r="Y26" s="233"/>
      <c r="Z26" s="247"/>
    </row>
    <row r="27" spans="2:26" x14ac:dyDescent="0.2">
      <c r="B27" s="238"/>
      <c r="C27" s="241"/>
      <c r="D27" s="241"/>
      <c r="E27" s="241"/>
      <c r="F27" s="241"/>
      <c r="G27" s="241"/>
      <c r="H27" s="239"/>
      <c r="I27" s="241"/>
      <c r="J27" s="241"/>
      <c r="K27" s="239"/>
      <c r="L27" s="243"/>
      <c r="O27" s="232"/>
      <c r="P27" s="233"/>
      <c r="Q27" s="233"/>
      <c r="R27" s="233"/>
      <c r="S27" s="233"/>
      <c r="T27" s="233"/>
      <c r="U27" s="233"/>
      <c r="V27" s="233"/>
      <c r="W27" s="233"/>
      <c r="X27" s="241"/>
      <c r="Y27" s="239"/>
      <c r="Z27" s="276"/>
    </row>
    <row r="28" spans="2:26" x14ac:dyDescent="0.2">
      <c r="B28" s="238"/>
      <c r="C28" s="241"/>
      <c r="D28" s="241"/>
      <c r="E28" s="241"/>
      <c r="F28" s="241"/>
      <c r="G28" s="241"/>
      <c r="H28" s="239"/>
      <c r="I28" s="241"/>
      <c r="J28" s="241"/>
      <c r="K28" s="239"/>
      <c r="L28" s="243"/>
      <c r="O28" s="232"/>
      <c r="P28" s="233"/>
      <c r="Q28" s="233"/>
      <c r="R28" s="233"/>
      <c r="S28" s="233"/>
      <c r="T28" s="233"/>
      <c r="U28" s="233"/>
      <c r="V28" s="233"/>
      <c r="W28" s="233"/>
      <c r="X28" s="241"/>
      <c r="Y28" s="239"/>
      <c r="Z28" s="276"/>
    </row>
    <row r="29" spans="2:26" x14ac:dyDescent="0.2">
      <c r="B29" s="238"/>
      <c r="C29" s="241"/>
      <c r="D29" s="241"/>
      <c r="E29" s="241"/>
      <c r="F29" s="241"/>
      <c r="G29" s="241"/>
      <c r="H29" s="241"/>
      <c r="I29" s="241"/>
      <c r="J29" s="241"/>
      <c r="K29" s="239"/>
      <c r="L29" s="243"/>
      <c r="O29" s="232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47"/>
    </row>
    <row r="30" spans="2:26" x14ac:dyDescent="0.2">
      <c r="B30" s="238"/>
      <c r="C30" s="241"/>
      <c r="D30" s="241"/>
      <c r="E30" s="241"/>
      <c r="F30" s="241"/>
      <c r="G30" s="241"/>
      <c r="H30" s="241"/>
      <c r="I30" s="241"/>
      <c r="J30" s="241"/>
      <c r="K30" s="239"/>
      <c r="L30" s="243"/>
      <c r="O30" s="232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47"/>
    </row>
    <row r="31" spans="2:26" x14ac:dyDescent="0.2">
      <c r="B31" s="238"/>
      <c r="C31" s="241"/>
      <c r="D31" s="241"/>
      <c r="E31" s="241"/>
      <c r="F31" s="241"/>
      <c r="G31" s="241"/>
      <c r="H31" s="241"/>
      <c r="I31" s="241"/>
      <c r="J31" s="241"/>
      <c r="K31" s="239"/>
      <c r="L31" s="289"/>
      <c r="O31" s="232"/>
      <c r="P31" s="233"/>
      <c r="Q31" s="233"/>
      <c r="R31" s="233"/>
      <c r="S31" s="233"/>
      <c r="T31" s="233"/>
      <c r="U31" s="233"/>
      <c r="V31" s="233"/>
      <c r="W31" s="233"/>
      <c r="X31" s="233"/>
      <c r="Y31" s="239"/>
      <c r="Z31" s="276"/>
    </row>
    <row r="32" spans="2:26" x14ac:dyDescent="0.2">
      <c r="B32" s="238"/>
      <c r="C32" s="239"/>
      <c r="D32" s="239"/>
      <c r="E32" s="239"/>
      <c r="F32" s="239"/>
      <c r="G32" s="241"/>
      <c r="H32" s="241"/>
      <c r="I32" s="241"/>
      <c r="J32" s="239"/>
      <c r="K32" s="241"/>
      <c r="L32" s="290"/>
      <c r="O32" s="232"/>
      <c r="P32" s="237"/>
      <c r="Q32" s="233"/>
      <c r="R32" s="233"/>
      <c r="S32" s="246"/>
      <c r="T32" s="233"/>
      <c r="U32" s="246"/>
      <c r="V32" s="233"/>
      <c r="W32" s="233"/>
      <c r="X32" s="233"/>
      <c r="Y32" s="239"/>
      <c r="Z32" s="276"/>
    </row>
    <row r="33" spans="2:26" x14ac:dyDescent="0.2">
      <c r="B33" s="251"/>
      <c r="C33" s="252"/>
      <c r="D33" s="239"/>
      <c r="E33" s="239"/>
      <c r="F33" s="239"/>
      <c r="G33" s="241"/>
      <c r="H33" s="241"/>
      <c r="I33" s="241"/>
      <c r="J33" s="239"/>
      <c r="K33" s="241"/>
      <c r="L33" s="290"/>
      <c r="O33" s="232"/>
      <c r="P33" s="233"/>
      <c r="Q33" s="245"/>
      <c r="R33" s="233"/>
      <c r="S33" s="245"/>
      <c r="T33" s="245"/>
      <c r="U33" s="245"/>
      <c r="V33" s="245"/>
      <c r="W33" s="245"/>
      <c r="X33" s="233"/>
      <c r="Y33" s="239"/>
      <c r="Z33" s="276"/>
    </row>
    <row r="34" spans="2:26" x14ac:dyDescent="0.2">
      <c r="B34" s="251"/>
      <c r="C34" s="252"/>
      <c r="D34" s="239"/>
      <c r="E34" s="239"/>
      <c r="F34" s="239"/>
      <c r="G34" s="241"/>
      <c r="H34" s="241"/>
      <c r="I34" s="241"/>
      <c r="J34" s="239"/>
      <c r="K34" s="241"/>
      <c r="L34" s="290"/>
      <c r="O34" s="232"/>
      <c r="P34" s="233"/>
      <c r="Q34" s="245"/>
      <c r="R34" s="245"/>
      <c r="S34" s="245"/>
      <c r="T34" s="245"/>
      <c r="U34" s="245"/>
      <c r="V34" s="245"/>
      <c r="W34" s="255"/>
      <c r="X34" s="233"/>
      <c r="Y34" s="233"/>
      <c r="Z34" s="247"/>
    </row>
    <row r="35" spans="2:26" x14ac:dyDescent="0.2">
      <c r="B35" s="238"/>
      <c r="C35" s="239"/>
      <c r="D35" s="239"/>
      <c r="E35" s="239"/>
      <c r="F35" s="239"/>
      <c r="G35" s="241"/>
      <c r="H35" s="241"/>
      <c r="I35" s="241"/>
      <c r="J35" s="239"/>
      <c r="K35" s="241"/>
      <c r="L35" s="290"/>
      <c r="O35" s="232"/>
      <c r="P35" s="237"/>
      <c r="Q35" s="233"/>
      <c r="R35" s="233"/>
      <c r="S35" s="233"/>
      <c r="T35" s="233"/>
      <c r="U35" s="246"/>
      <c r="V35" s="233"/>
      <c r="W35" s="255"/>
      <c r="X35" s="233"/>
      <c r="Y35" s="233"/>
      <c r="Z35" s="247"/>
    </row>
    <row r="36" spans="2:26" ht="13.5" thickBot="1" x14ac:dyDescent="0.25">
      <c r="B36" s="291"/>
      <c r="C36" s="292"/>
      <c r="D36" s="293"/>
      <c r="E36" s="293"/>
      <c r="F36" s="293"/>
      <c r="G36" s="292"/>
      <c r="H36" s="292"/>
      <c r="I36" s="292"/>
      <c r="J36" s="293"/>
      <c r="K36" s="292"/>
      <c r="L36" s="294"/>
      <c r="O36" s="295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40" spans="2:26" x14ac:dyDescent="0.2">
      <c r="C40" s="298"/>
    </row>
    <row r="41" spans="2:26" x14ac:dyDescent="0.2">
      <c r="C41" s="298"/>
    </row>
    <row r="42" spans="2:26" x14ac:dyDescent="0.2">
      <c r="C42" s="299"/>
      <c r="D42" s="298"/>
    </row>
  </sheetData>
  <sheetProtection password="EC65" sheet="1" selectLockedCells="1"/>
  <mergeCells count="5">
    <mergeCell ref="B3:L5"/>
    <mergeCell ref="C8:E8"/>
    <mergeCell ref="G12:H14"/>
    <mergeCell ref="I13:J14"/>
    <mergeCell ref="H16:K18"/>
  </mergeCells>
  <conditionalFormatting sqref="C23">
    <cfRule type="expression" dxfId="14" priority="13" stopIfTrue="1">
      <formula>ISERROR(C20)</formula>
    </cfRule>
  </conditionalFormatting>
  <conditionalFormatting sqref="C24">
    <cfRule type="expression" dxfId="13" priority="12" stopIfTrue="1">
      <formula>ISERROR(C20)</formula>
    </cfRule>
  </conditionalFormatting>
  <conditionalFormatting sqref="E23">
    <cfRule type="expression" dxfId="12" priority="11" stopIfTrue="1">
      <formula>ISERROR(C20)</formula>
    </cfRule>
  </conditionalFormatting>
  <conditionalFormatting sqref="E26">
    <cfRule type="expression" dxfId="11" priority="10" stopIfTrue="1">
      <formula>ISERROR(C20)</formula>
    </cfRule>
  </conditionalFormatting>
  <conditionalFormatting sqref="C14 E14">
    <cfRule type="expression" dxfId="10" priority="9" stopIfTrue="1">
      <formula>ISERROR($C$66)</formula>
    </cfRule>
  </conditionalFormatting>
  <conditionalFormatting sqref="C19:C20">
    <cfRule type="expression" dxfId="9" priority="8" stopIfTrue="1">
      <formula>ISERROR(C19)</formula>
    </cfRule>
  </conditionalFormatting>
  <conditionalFormatting sqref="C23">
    <cfRule type="expression" dxfId="8" priority="7" stopIfTrue="1">
      <formula>ISERROR(C20)</formula>
    </cfRule>
  </conditionalFormatting>
  <conditionalFormatting sqref="C24">
    <cfRule type="expression" dxfId="7" priority="6" stopIfTrue="1">
      <formula>ISERROR(C20)</formula>
    </cfRule>
  </conditionalFormatting>
  <conditionalFormatting sqref="D40">
    <cfRule type="expression" dxfId="6" priority="5" stopIfTrue="1">
      <formula>ISERROR($K$5)</formula>
    </cfRule>
  </conditionalFormatting>
  <conditionalFormatting sqref="C42">
    <cfRule type="expression" dxfId="5" priority="4" stopIfTrue="1">
      <formula>ISERROR($K$7)</formula>
    </cfRule>
  </conditionalFormatting>
  <conditionalFormatting sqref="C25">
    <cfRule type="expression" dxfId="4" priority="3" stopIfTrue="1">
      <formula>ISERROR(C21)</formula>
    </cfRule>
  </conditionalFormatting>
  <conditionalFormatting sqref="C25">
    <cfRule type="expression" dxfId="3" priority="2" stopIfTrue="1">
      <formula>ISERROR(C21)</formula>
    </cfRule>
  </conditionalFormatting>
  <pageMargins left="0.31" right="0.36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U53"/>
  <sheetViews>
    <sheetView showGridLines="0" workbookViewId="0">
      <selection activeCell="C31" sqref="C31"/>
    </sheetView>
  </sheetViews>
  <sheetFormatPr defaultRowHeight="12.75" x14ac:dyDescent="0.2"/>
  <cols>
    <col min="1" max="1" width="2.42578125" style="105" customWidth="1"/>
    <col min="2" max="2" width="4.85546875" style="105" customWidth="1"/>
    <col min="3" max="10" width="6.5703125" style="105" customWidth="1"/>
    <col min="11" max="11" width="5.85546875" style="105" customWidth="1"/>
    <col min="12" max="12" width="9" style="105" customWidth="1"/>
    <col min="13" max="13" width="8.5703125" style="105" customWidth="1"/>
    <col min="14" max="14" width="10.85546875" style="105" customWidth="1"/>
    <col min="15" max="16384" width="9.140625" style="105"/>
  </cols>
  <sheetData>
    <row r="3" spans="2:21" ht="13.5" thickBot="1" x14ac:dyDescent="0.25"/>
    <row r="4" spans="2:21" ht="15.75" customHeight="1" x14ac:dyDescent="0.2">
      <c r="B4" s="72"/>
      <c r="C4" s="109"/>
      <c r="D4" s="108"/>
      <c r="E4" s="585" t="s">
        <v>100</v>
      </c>
      <c r="F4" s="585"/>
      <c r="G4" s="585"/>
      <c r="H4" s="585"/>
      <c r="I4" s="585"/>
      <c r="J4" s="585"/>
      <c r="K4" s="585"/>
      <c r="L4" s="73"/>
      <c r="M4" s="73"/>
      <c r="N4" s="74"/>
    </row>
    <row r="5" spans="2:21" ht="15.75" customHeight="1" x14ac:dyDescent="0.2">
      <c r="B5" s="75"/>
      <c r="C5" s="104"/>
      <c r="D5" s="104"/>
      <c r="E5" s="572"/>
      <c r="F5" s="572"/>
      <c r="G5" s="572"/>
      <c r="H5" s="572"/>
      <c r="I5" s="572"/>
      <c r="J5" s="572"/>
      <c r="K5" s="572"/>
      <c r="L5" s="56"/>
      <c r="M5" s="23"/>
      <c r="N5" s="81"/>
    </row>
    <row r="6" spans="2:21" x14ac:dyDescent="0.2">
      <c r="B6" s="75"/>
      <c r="C6" s="56"/>
      <c r="D6" s="31"/>
      <c r="E6" s="31"/>
      <c r="F6" s="31"/>
      <c r="G6" s="31"/>
      <c r="H6" s="6"/>
      <c r="I6" s="31"/>
      <c r="J6" s="31"/>
      <c r="K6" s="23"/>
      <c r="L6" s="24"/>
      <c r="M6" s="23"/>
      <c r="N6" s="81"/>
    </row>
    <row r="7" spans="2:21" x14ac:dyDescent="0.2">
      <c r="B7" s="75"/>
      <c r="C7" s="19"/>
      <c r="D7" s="152"/>
      <c r="E7" s="152"/>
      <c r="F7" s="152"/>
      <c r="G7" s="152"/>
      <c r="H7" s="152"/>
      <c r="I7" s="152"/>
      <c r="J7" s="160"/>
      <c r="K7" s="110"/>
      <c r="L7" s="110"/>
      <c r="M7" s="83"/>
      <c r="N7" s="81"/>
    </row>
    <row r="8" spans="2:21" x14ac:dyDescent="0.2">
      <c r="B8" s="75"/>
      <c r="C8" s="212"/>
      <c r="D8" s="19"/>
      <c r="E8" s="19"/>
      <c r="F8" s="19"/>
      <c r="G8" s="19"/>
      <c r="H8" s="19"/>
      <c r="I8" s="19"/>
      <c r="J8" s="82"/>
      <c r="K8" s="55"/>
      <c r="L8" s="158"/>
      <c r="M8" s="111"/>
      <c r="N8" s="81"/>
    </row>
    <row r="9" spans="2:21" x14ac:dyDescent="0.2">
      <c r="B9" s="75"/>
      <c r="C9" s="212"/>
      <c r="D9" s="19"/>
      <c r="E9" s="19"/>
      <c r="F9" s="19"/>
      <c r="G9" s="19"/>
      <c r="H9" s="19"/>
      <c r="I9" s="19"/>
      <c r="J9" s="82"/>
      <c r="K9" s="55"/>
      <c r="L9" s="158"/>
      <c r="M9" s="158"/>
      <c r="N9" s="81"/>
    </row>
    <row r="10" spans="2:21" ht="12.75" customHeight="1" x14ac:dyDescent="0.2">
      <c r="B10" s="75"/>
      <c r="C10" s="589" t="s">
        <v>115</v>
      </c>
      <c r="D10" s="589"/>
      <c r="E10" s="589"/>
      <c r="F10" s="589"/>
      <c r="G10" s="589"/>
      <c r="H10" s="589"/>
      <c r="I10" s="589"/>
      <c r="J10" s="589"/>
      <c r="K10" s="589"/>
      <c r="L10" s="589"/>
      <c r="M10" s="111"/>
      <c r="N10" s="81"/>
      <c r="P10" s="106"/>
      <c r="Q10" s="106"/>
      <c r="R10" s="106"/>
      <c r="S10" s="106"/>
      <c r="T10" s="106"/>
      <c r="U10" s="106"/>
    </row>
    <row r="11" spans="2:21" ht="12.75" customHeight="1" x14ac:dyDescent="0.2">
      <c r="B11" s="75"/>
      <c r="C11" s="5"/>
      <c r="D11" s="19"/>
      <c r="E11" s="19"/>
      <c r="F11" s="19"/>
      <c r="G11" s="111"/>
      <c r="H11" s="586" t="s">
        <v>183</v>
      </c>
      <c r="I11" s="586"/>
      <c r="J11" s="82"/>
      <c r="K11" s="145"/>
      <c r="L11" s="31"/>
      <c r="M11" s="586" t="s">
        <v>98</v>
      </c>
      <c r="N11" s="81"/>
      <c r="P11" s="106"/>
      <c r="Q11" s="106"/>
      <c r="R11" s="106"/>
      <c r="S11" s="106"/>
      <c r="T11" s="106"/>
      <c r="U11" s="106"/>
    </row>
    <row r="12" spans="2:21" x14ac:dyDescent="0.2">
      <c r="B12" s="75"/>
      <c r="C12" s="199" t="s">
        <v>182</v>
      </c>
      <c r="D12" s="31"/>
      <c r="E12" s="55"/>
      <c r="F12" s="55"/>
      <c r="G12" s="192"/>
      <c r="H12" s="586"/>
      <c r="I12" s="586"/>
      <c r="J12" s="112"/>
      <c r="K12" s="145"/>
      <c r="L12" s="190"/>
      <c r="M12" s="587"/>
      <c r="N12" s="81"/>
      <c r="P12" s="106"/>
      <c r="Q12" s="106"/>
      <c r="R12" s="106"/>
      <c r="S12" s="106"/>
      <c r="T12" s="106"/>
      <c r="U12" s="106"/>
    </row>
    <row r="13" spans="2:21" x14ac:dyDescent="0.2">
      <c r="B13" s="154"/>
      <c r="C13" s="193"/>
      <c r="D13" s="83" t="s">
        <v>101</v>
      </c>
      <c r="E13" s="31"/>
      <c r="F13" s="127"/>
      <c r="G13" s="6"/>
      <c r="H13" s="56">
        <v>1</v>
      </c>
      <c r="I13" s="111"/>
      <c r="J13" s="111"/>
      <c r="K13" s="213"/>
      <c r="L13" s="167"/>
      <c r="M13" s="194" t="str">
        <f>IF(C13&lt;&gt;0,1,"")</f>
        <v/>
      </c>
      <c r="N13" s="189" t="str">
        <f>IF(M13="","",1)</f>
        <v/>
      </c>
      <c r="P13" s="106"/>
      <c r="Q13" s="195"/>
      <c r="R13" s="195"/>
      <c r="S13" s="195"/>
      <c r="T13" s="106"/>
      <c r="U13" s="106"/>
    </row>
    <row r="14" spans="2:21" x14ac:dyDescent="0.2">
      <c r="B14" s="154"/>
      <c r="C14" s="193"/>
      <c r="D14" s="159" t="s">
        <v>103</v>
      </c>
      <c r="E14" s="31"/>
      <c r="F14" s="159"/>
      <c r="G14" s="6"/>
      <c r="H14" s="56">
        <v>2</v>
      </c>
      <c r="I14" s="111"/>
      <c r="J14" s="111"/>
      <c r="K14" s="213"/>
      <c r="L14" s="167"/>
      <c r="M14" s="194" t="str">
        <f>IF(C14&lt;&gt;0,2,"")</f>
        <v/>
      </c>
      <c r="N14" s="189" t="str">
        <f>IF(M14="","",1)</f>
        <v/>
      </c>
      <c r="P14" s="106"/>
      <c r="Q14" s="196"/>
      <c r="R14" s="214"/>
      <c r="S14" s="178"/>
      <c r="T14" s="197"/>
      <c r="U14" s="106"/>
    </row>
    <row r="15" spans="2:21" x14ac:dyDescent="0.2">
      <c r="B15" s="154"/>
      <c r="C15" s="193"/>
      <c r="D15" s="159" t="s">
        <v>102</v>
      </c>
      <c r="E15" s="31"/>
      <c r="F15" s="159"/>
      <c r="G15" s="23"/>
      <c r="H15" s="56">
        <v>3</v>
      </c>
      <c r="I15" s="111"/>
      <c r="J15" s="111"/>
      <c r="K15" s="213"/>
      <c r="L15" s="167"/>
      <c r="M15" s="194" t="str">
        <f>IF(C15&lt;&gt;0,3,"")</f>
        <v/>
      </c>
      <c r="N15" s="189" t="str">
        <f>IF(M15="","",1)</f>
        <v/>
      </c>
      <c r="P15" s="106"/>
      <c r="Q15" s="196"/>
      <c r="R15" s="214"/>
      <c r="S15" s="178"/>
      <c r="T15" s="197"/>
      <c r="U15" s="106"/>
    </row>
    <row r="16" spans="2:21" x14ac:dyDescent="0.2">
      <c r="B16" s="154"/>
      <c r="C16" s="193"/>
      <c r="D16" s="159" t="s">
        <v>104</v>
      </c>
      <c r="E16" s="31"/>
      <c r="F16" s="157"/>
      <c r="G16" s="23"/>
      <c r="H16" s="56">
        <v>4</v>
      </c>
      <c r="I16" s="111"/>
      <c r="J16" s="111"/>
      <c r="K16" s="213"/>
      <c r="L16" s="167"/>
      <c r="M16" s="194" t="str">
        <f>IF(C16&lt;&gt;0,4,"")</f>
        <v/>
      </c>
      <c r="N16" s="189" t="str">
        <f>IF(M16="","",1)</f>
        <v/>
      </c>
      <c r="P16" s="106"/>
      <c r="Q16" s="196"/>
      <c r="R16" s="214"/>
      <c r="S16" s="178"/>
      <c r="T16" s="197"/>
      <c r="U16" s="106"/>
    </row>
    <row r="17" spans="2:21" x14ac:dyDescent="0.2">
      <c r="B17" s="154"/>
      <c r="C17" s="193"/>
      <c r="D17" s="159" t="s">
        <v>181</v>
      </c>
      <c r="E17" s="31"/>
      <c r="F17" s="19"/>
      <c r="G17" s="18"/>
      <c r="H17" s="56">
        <v>5</v>
      </c>
      <c r="I17" s="31"/>
      <c r="J17" s="111"/>
      <c r="K17" s="213"/>
      <c r="L17" s="167"/>
      <c r="M17" s="194" t="str">
        <f>IF(C17&lt;&gt;0,5,"")</f>
        <v/>
      </c>
      <c r="N17" s="189" t="str">
        <f>IF(M17="","",1)</f>
        <v/>
      </c>
      <c r="P17" s="106"/>
      <c r="Q17" s="196"/>
      <c r="R17" s="214"/>
      <c r="S17" s="178"/>
      <c r="T17" s="197"/>
      <c r="U17" s="106"/>
    </row>
    <row r="18" spans="2:21" x14ac:dyDescent="0.2">
      <c r="B18" s="154"/>
      <c r="C18" s="83"/>
      <c r="D18" s="31"/>
      <c r="E18" s="19"/>
      <c r="F18" s="18"/>
      <c r="G18" s="23"/>
      <c r="H18" s="167"/>
      <c r="I18" s="12"/>
      <c r="J18" s="89"/>
      <c r="K18" s="213"/>
      <c r="L18" s="163" t="s">
        <v>99</v>
      </c>
      <c r="M18" s="222">
        <f>IF(N18&gt;1,0,SUM(M13:M17))</f>
        <v>0</v>
      </c>
      <c r="N18" s="189">
        <f>SUM(N13:N17)</f>
        <v>0</v>
      </c>
      <c r="P18" s="106"/>
      <c r="Q18" s="196"/>
      <c r="R18" s="214"/>
      <c r="S18" s="178"/>
      <c r="T18" s="197"/>
      <c r="U18" s="106"/>
    </row>
    <row r="19" spans="2:21" x14ac:dyDescent="0.2">
      <c r="B19" s="154"/>
      <c r="C19" s="83"/>
      <c r="D19" s="31"/>
      <c r="E19" s="19"/>
      <c r="F19" s="18"/>
      <c r="G19" s="23"/>
      <c r="H19" s="23"/>
      <c r="I19" s="18"/>
      <c r="J19" s="89"/>
      <c r="K19" s="213"/>
      <c r="L19" s="191"/>
      <c r="M19" s="55"/>
      <c r="N19" s="81"/>
      <c r="P19" s="106"/>
      <c r="Q19" s="106"/>
      <c r="R19" s="106"/>
      <c r="S19" s="198"/>
      <c r="T19" s="197"/>
      <c r="U19" s="106"/>
    </row>
    <row r="20" spans="2:21" x14ac:dyDescent="0.2">
      <c r="B20" s="154"/>
      <c r="C20" s="83"/>
      <c r="D20" s="31"/>
      <c r="E20" s="19"/>
      <c r="F20" s="18"/>
      <c r="G20" s="23"/>
      <c r="H20" s="23"/>
      <c r="I20" s="18"/>
      <c r="J20" s="89"/>
      <c r="K20" s="213"/>
      <c r="L20" s="162"/>
      <c r="M20" s="55"/>
      <c r="N20" s="81"/>
      <c r="P20" s="106"/>
      <c r="Q20" s="106"/>
      <c r="R20" s="106"/>
      <c r="S20" s="106"/>
      <c r="T20" s="106"/>
      <c r="U20" s="106"/>
    </row>
    <row r="21" spans="2:21" x14ac:dyDescent="0.2">
      <c r="B21" s="154"/>
      <c r="C21" s="588" t="s">
        <v>114</v>
      </c>
      <c r="D21" s="588"/>
      <c r="E21" s="588"/>
      <c r="F21" s="588"/>
      <c r="G21" s="588"/>
      <c r="H21" s="588"/>
      <c r="I21" s="588"/>
      <c r="J21" s="89"/>
      <c r="K21" s="213"/>
      <c r="L21" s="162"/>
      <c r="M21" s="55"/>
      <c r="N21" s="81"/>
      <c r="P21" s="106"/>
      <c r="Q21" s="106"/>
      <c r="R21" s="106"/>
      <c r="S21" s="106"/>
      <c r="T21" s="106"/>
      <c r="U21" s="106"/>
    </row>
    <row r="22" spans="2:21" x14ac:dyDescent="0.2">
      <c r="B22" s="154"/>
      <c r="C22" s="216" t="s">
        <v>197</v>
      </c>
      <c r="D22" s="31"/>
      <c r="E22" s="19"/>
      <c r="F22" s="18"/>
      <c r="G22" s="23"/>
      <c r="H22" s="23"/>
      <c r="I22" s="18"/>
      <c r="J22" s="89"/>
      <c r="K22" s="213"/>
      <c r="L22" s="162"/>
      <c r="M22" s="55"/>
      <c r="N22" s="81"/>
    </row>
    <row r="23" spans="2:21" x14ac:dyDescent="0.2">
      <c r="B23" s="154"/>
      <c r="C23" s="224"/>
      <c r="D23" s="83" t="s">
        <v>113</v>
      </c>
      <c r="E23" s="31"/>
      <c r="F23" s="19"/>
      <c r="G23" s="18"/>
      <c r="H23" s="23"/>
      <c r="I23" s="23"/>
      <c r="J23" s="18"/>
      <c r="K23" s="89"/>
      <c r="L23" s="162">
        <v>2</v>
      </c>
      <c r="M23" s="223" t="str">
        <f>IF(C23&gt;0,2,"")</f>
        <v/>
      </c>
      <c r="N23" s="81"/>
      <c r="O23" s="106"/>
      <c r="P23" s="106"/>
    </row>
    <row r="24" spans="2:21" x14ac:dyDescent="0.2">
      <c r="B24" s="154"/>
      <c r="C24" s="31"/>
      <c r="D24" s="83" t="s">
        <v>198</v>
      </c>
      <c r="E24" s="31"/>
      <c r="F24" s="19"/>
      <c r="G24" s="18"/>
      <c r="H24" s="23"/>
      <c r="I24" s="23"/>
      <c r="J24" s="18"/>
      <c r="K24" s="89"/>
      <c r="L24" s="162"/>
      <c r="M24" s="55"/>
      <c r="N24" s="81"/>
    </row>
    <row r="25" spans="2:21" x14ac:dyDescent="0.2">
      <c r="B25" s="154"/>
      <c r="C25" s="31"/>
      <c r="D25" s="83" t="s">
        <v>105</v>
      </c>
      <c r="E25" s="31"/>
      <c r="F25" s="19"/>
      <c r="G25" s="18"/>
      <c r="H25" s="23"/>
      <c r="I25" s="23"/>
      <c r="J25" s="18"/>
      <c r="K25" s="89"/>
      <c r="L25" s="162"/>
      <c r="M25" s="55"/>
      <c r="N25" s="81"/>
    </row>
    <row r="26" spans="2:21" x14ac:dyDescent="0.2">
      <c r="B26" s="154"/>
      <c r="C26" s="31"/>
      <c r="D26" s="83"/>
      <c r="E26" s="31"/>
      <c r="F26" s="19"/>
      <c r="G26" s="18"/>
      <c r="H26" s="23"/>
      <c r="I26" s="23"/>
      <c r="J26" s="18"/>
      <c r="K26" s="89"/>
      <c r="L26" s="162"/>
      <c r="M26" s="55"/>
      <c r="N26" s="81"/>
    </row>
    <row r="27" spans="2:21" x14ac:dyDescent="0.2">
      <c r="B27" s="154"/>
      <c r="C27" s="193"/>
      <c r="D27" s="83" t="s">
        <v>112</v>
      </c>
      <c r="E27" s="31"/>
      <c r="F27" s="19"/>
      <c r="G27" s="18"/>
      <c r="H27" s="23"/>
      <c r="I27" s="23"/>
      <c r="J27" s="18"/>
      <c r="K27" s="89"/>
      <c r="L27" s="162">
        <v>2</v>
      </c>
      <c r="M27" s="223" t="str">
        <f>IF(C27&gt;0,2,"")</f>
        <v/>
      </c>
      <c r="N27" s="81"/>
      <c r="O27" s="106"/>
      <c r="P27" s="106"/>
    </row>
    <row r="28" spans="2:21" x14ac:dyDescent="0.2">
      <c r="B28" s="154"/>
      <c r="C28" s="31"/>
      <c r="D28" s="83" t="s">
        <v>106</v>
      </c>
      <c r="E28" s="31"/>
      <c r="F28" s="19"/>
      <c r="G28" s="18"/>
      <c r="H28" s="23"/>
      <c r="I28" s="23"/>
      <c r="J28" s="18"/>
      <c r="K28" s="89"/>
      <c r="L28" s="162"/>
      <c r="M28" s="55"/>
      <c r="N28" s="81"/>
    </row>
    <row r="29" spans="2:21" x14ac:dyDescent="0.2">
      <c r="B29" s="154"/>
      <c r="C29" s="31"/>
      <c r="D29" s="83" t="s">
        <v>107</v>
      </c>
      <c r="E29" s="31"/>
      <c r="F29" s="19"/>
      <c r="G29" s="18"/>
      <c r="H29" s="23"/>
      <c r="I29" s="23"/>
      <c r="J29" s="18"/>
      <c r="K29" s="89"/>
      <c r="L29" s="55"/>
      <c r="M29" s="55"/>
      <c r="N29" s="81"/>
    </row>
    <row r="30" spans="2:21" x14ac:dyDescent="0.2">
      <c r="B30" s="154"/>
      <c r="C30" s="31"/>
      <c r="D30" s="83"/>
      <c r="E30" s="31"/>
      <c r="F30" s="19"/>
      <c r="G30" s="18"/>
      <c r="H30" s="23"/>
      <c r="I30" s="23"/>
      <c r="J30" s="18"/>
      <c r="K30" s="89"/>
      <c r="L30" s="55"/>
      <c r="M30" s="55"/>
      <c r="N30" s="81"/>
    </row>
    <row r="31" spans="2:21" x14ac:dyDescent="0.2">
      <c r="B31" s="154"/>
      <c r="C31" s="193"/>
      <c r="D31" s="83" t="s">
        <v>111</v>
      </c>
      <c r="E31" s="31"/>
      <c r="F31" s="19"/>
      <c r="G31" s="18"/>
      <c r="H31" s="23"/>
      <c r="I31" s="23"/>
      <c r="J31" s="18"/>
      <c r="K31" s="89"/>
      <c r="L31" s="162">
        <v>1</v>
      </c>
      <c r="M31" s="223" t="str">
        <f>IF(C31&gt;0,1,"")</f>
        <v/>
      </c>
      <c r="N31" s="81"/>
      <c r="O31" s="106"/>
      <c r="P31" s="106"/>
    </row>
    <row r="32" spans="2:21" x14ac:dyDescent="0.2">
      <c r="B32" s="154"/>
      <c r="C32" s="31"/>
      <c r="D32" s="83" t="s">
        <v>108</v>
      </c>
      <c r="E32" s="31"/>
      <c r="F32" s="19"/>
      <c r="G32" s="18"/>
      <c r="H32" s="23"/>
      <c r="I32" s="23"/>
      <c r="J32" s="18"/>
      <c r="K32" s="89"/>
      <c r="L32" s="162"/>
      <c r="M32" s="55"/>
      <c r="N32" s="81"/>
    </row>
    <row r="33" spans="2:16" x14ac:dyDescent="0.2">
      <c r="B33" s="154"/>
      <c r="C33" s="31"/>
      <c r="D33" s="83"/>
      <c r="E33" s="31"/>
      <c r="F33" s="19"/>
      <c r="G33" s="18"/>
      <c r="H33" s="23"/>
      <c r="I33" s="23"/>
      <c r="J33" s="18"/>
      <c r="K33" s="89"/>
      <c r="L33" s="162"/>
      <c r="M33" s="55"/>
      <c r="N33" s="81"/>
    </row>
    <row r="34" spans="2:16" x14ac:dyDescent="0.2">
      <c r="B34" s="154"/>
      <c r="C34" s="193"/>
      <c r="D34" s="83" t="s">
        <v>110</v>
      </c>
      <c r="E34" s="83"/>
      <c r="F34" s="19"/>
      <c r="G34" s="18"/>
      <c r="H34" s="23"/>
      <c r="I34" s="23"/>
      <c r="J34" s="18"/>
      <c r="K34" s="89"/>
      <c r="L34" s="162">
        <v>1</v>
      </c>
      <c r="M34" s="223" t="str">
        <f>IF(C34&gt;0,1,"")</f>
        <v/>
      </c>
      <c r="N34" s="81"/>
      <c r="O34" s="106"/>
      <c r="P34" s="106"/>
    </row>
    <row r="35" spans="2:16" x14ac:dyDescent="0.2">
      <c r="B35" s="154"/>
      <c r="C35" s="31"/>
      <c r="D35" s="83" t="s">
        <v>109</v>
      </c>
      <c r="E35" s="83"/>
      <c r="F35" s="19"/>
      <c r="G35" s="18"/>
      <c r="H35" s="23"/>
      <c r="I35" s="23"/>
      <c r="J35" s="18"/>
      <c r="K35" s="89"/>
      <c r="L35" s="162"/>
      <c r="M35" s="164"/>
      <c r="N35" s="81"/>
    </row>
    <row r="36" spans="2:16" x14ac:dyDescent="0.2">
      <c r="B36" s="154"/>
      <c r="C36" s="31"/>
      <c r="D36" s="83"/>
      <c r="E36" s="19"/>
      <c r="F36" s="18"/>
      <c r="G36" s="23"/>
      <c r="H36" s="23"/>
      <c r="I36" s="18"/>
      <c r="J36" s="89"/>
      <c r="K36" s="213"/>
      <c r="L36" s="163" t="s">
        <v>99</v>
      </c>
      <c r="M36" s="6">
        <f>IF(SUM(M23:M34)&gt;5,5,SUM(M23:M34))</f>
        <v>0</v>
      </c>
      <c r="N36" s="81"/>
    </row>
    <row r="37" spans="2:16" x14ac:dyDescent="0.2">
      <c r="B37" s="154"/>
      <c r="C37" s="31"/>
      <c r="D37" s="83"/>
      <c r="E37" s="19"/>
      <c r="F37" s="18"/>
      <c r="G37" s="23"/>
      <c r="H37" s="23"/>
      <c r="I37" s="18"/>
      <c r="J37" s="89"/>
      <c r="K37" s="213"/>
      <c r="L37" s="18"/>
      <c r="M37" s="153">
        <f>IF(SUM(M23:M34)&gt;5,5,SUM(M23:M34))</f>
        <v>0</v>
      </c>
      <c r="N37" s="81"/>
    </row>
    <row r="38" spans="2:16" x14ac:dyDescent="0.2">
      <c r="B38" s="154"/>
      <c r="C38" s="225" t="s">
        <v>199</v>
      </c>
      <c r="D38" s="83"/>
      <c r="E38" s="19"/>
      <c r="F38" s="18"/>
      <c r="G38" s="23"/>
      <c r="H38" s="23"/>
      <c r="I38" s="18"/>
      <c r="J38" s="89"/>
      <c r="K38" s="213"/>
      <c r="L38" s="18"/>
      <c r="M38" s="215"/>
      <c r="N38" s="81"/>
    </row>
    <row r="39" spans="2:16" x14ac:dyDescent="0.2">
      <c r="B39" s="154"/>
      <c r="C39" s="31"/>
      <c r="D39" s="83"/>
      <c r="E39" s="19"/>
      <c r="F39" s="18"/>
      <c r="G39" s="23"/>
      <c r="H39" s="23"/>
      <c r="I39" s="18"/>
      <c r="J39" s="89"/>
      <c r="K39" s="213"/>
      <c r="L39" s="18"/>
      <c r="M39" s="153"/>
      <c r="N39" s="81"/>
    </row>
    <row r="40" spans="2:16" x14ac:dyDescent="0.2">
      <c r="B40" s="154"/>
      <c r="C40" s="31"/>
      <c r="D40" s="83"/>
      <c r="E40" s="19"/>
      <c r="F40" s="18"/>
      <c r="G40" s="23"/>
      <c r="H40" s="23"/>
      <c r="I40" s="18"/>
      <c r="J40" s="89"/>
      <c r="K40" s="213"/>
      <c r="L40" s="18"/>
      <c r="M40" s="153"/>
      <c r="N40" s="81"/>
    </row>
    <row r="41" spans="2:16" x14ac:dyDescent="0.2">
      <c r="B41" s="154"/>
      <c r="C41" s="31"/>
      <c r="D41" s="83"/>
      <c r="E41" s="19"/>
      <c r="F41" s="18"/>
      <c r="G41" s="23"/>
      <c r="H41" s="23"/>
      <c r="I41" s="18"/>
      <c r="J41" s="89"/>
      <c r="K41" s="213"/>
      <c r="L41" s="18"/>
      <c r="M41" s="153"/>
      <c r="N41" s="81"/>
    </row>
    <row r="42" spans="2:16" x14ac:dyDescent="0.2">
      <c r="B42" s="154"/>
      <c r="C42" s="31"/>
      <c r="D42" s="83"/>
      <c r="E42" s="19"/>
      <c r="F42" s="18"/>
      <c r="G42" s="23"/>
      <c r="H42" s="23"/>
      <c r="I42" s="18"/>
      <c r="J42" s="89"/>
      <c r="K42" s="213"/>
      <c r="L42" s="18"/>
      <c r="M42" s="153"/>
      <c r="N42" s="81"/>
    </row>
    <row r="43" spans="2:16" x14ac:dyDescent="0.2">
      <c r="B43" s="154"/>
      <c r="C43" s="31"/>
      <c r="D43" s="83"/>
      <c r="E43" s="19"/>
      <c r="F43" s="18"/>
      <c r="G43" s="23"/>
      <c r="H43" s="23"/>
      <c r="I43" s="18"/>
      <c r="J43" s="89"/>
      <c r="K43" s="213"/>
      <c r="L43" s="18"/>
      <c r="M43" s="153"/>
      <c r="N43" s="81"/>
    </row>
    <row r="44" spans="2:16" x14ac:dyDescent="0.2">
      <c r="B44" s="154"/>
      <c r="C44" s="31"/>
      <c r="D44" s="83"/>
      <c r="E44" s="19"/>
      <c r="F44" s="18"/>
      <c r="G44" s="23"/>
      <c r="H44" s="23"/>
      <c r="I44" s="18"/>
      <c r="J44" s="89"/>
      <c r="K44" s="213"/>
      <c r="L44" s="18"/>
      <c r="M44" s="153"/>
      <c r="N44" s="81"/>
    </row>
    <row r="45" spans="2:16" x14ac:dyDescent="0.2">
      <c r="B45" s="154"/>
      <c r="C45" s="31"/>
      <c r="D45" s="83"/>
      <c r="E45" s="19"/>
      <c r="F45" s="18"/>
      <c r="G45" s="23"/>
      <c r="H45" s="23"/>
      <c r="I45" s="18"/>
      <c r="J45" s="89"/>
      <c r="K45" s="213"/>
      <c r="L45" s="18"/>
      <c r="M45" s="153"/>
      <c r="N45" s="81"/>
    </row>
    <row r="46" spans="2:16" x14ac:dyDescent="0.2">
      <c r="B46" s="75"/>
      <c r="C46" s="32"/>
      <c r="D46" s="33"/>
      <c r="E46" s="7"/>
      <c r="F46" s="7"/>
      <c r="G46" s="7"/>
      <c r="H46" s="34"/>
      <c r="I46" s="34"/>
      <c r="J46" s="31"/>
      <c r="K46" s="31"/>
      <c r="L46" s="33"/>
      <c r="M46" s="23"/>
      <c r="N46" s="81"/>
    </row>
    <row r="47" spans="2:16" ht="13.5" thickBot="1" x14ac:dyDescent="0.25">
      <c r="B47" s="84"/>
      <c r="C47" s="35"/>
      <c r="D47" s="36"/>
      <c r="E47" s="28"/>
      <c r="F47" s="28"/>
      <c r="G47" s="28"/>
      <c r="H47" s="37"/>
      <c r="I47" s="38"/>
      <c r="J47" s="38"/>
      <c r="K47" s="38"/>
      <c r="L47" s="38"/>
      <c r="M47" s="38"/>
      <c r="N47" s="85"/>
    </row>
    <row r="51" spans="4:7" x14ac:dyDescent="0.2">
      <c r="D51" s="106"/>
      <c r="G51" s="107"/>
    </row>
    <row r="52" spans="4:7" x14ac:dyDescent="0.2">
      <c r="D52" s="106"/>
    </row>
    <row r="53" spans="4:7" x14ac:dyDescent="0.2">
      <c r="D53" s="107"/>
      <c r="E53" s="106"/>
    </row>
  </sheetData>
  <sheetProtection password="EC65" sheet="1" selectLockedCells="1"/>
  <mergeCells count="5">
    <mergeCell ref="E4:K5"/>
    <mergeCell ref="M11:M12"/>
    <mergeCell ref="H11:I12"/>
    <mergeCell ref="C21:I21"/>
    <mergeCell ref="C10:L10"/>
  </mergeCells>
  <conditionalFormatting sqref="I19:I20 F18:F20 G17 F36:F45 G23:G35 F22 I36:I45 J23:J35 I22">
    <cfRule type="containsErrors" dxfId="2" priority="3" stopIfTrue="1">
      <formula>ISERROR(F17)</formula>
    </cfRule>
  </conditionalFormatting>
  <conditionalFormatting sqref="E51 G51">
    <cfRule type="expression" dxfId="1" priority="2" stopIfTrue="1">
      <formula>ISERROR($M$5)</formula>
    </cfRule>
  </conditionalFormatting>
  <conditionalFormatting sqref="D53">
    <cfRule type="expression" dxfId="0" priority="1" stopIfTrue="1">
      <formula>ISERROR($L$7)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Results</vt:lpstr>
      <vt:lpstr>SUMMARY</vt:lpstr>
      <vt:lpstr>TRAFFIC &amp; ACCIDENTS</vt:lpstr>
      <vt:lpstr>STRUCTURE</vt:lpstr>
      <vt:lpstr>PASSABILITY EVAL.</vt:lpstr>
      <vt:lpstr>GEOMETRY</vt:lpstr>
      <vt:lpstr>ROADSIDE SAFETY</vt:lpstr>
      <vt:lpstr>SIGNIFICANCE</vt:lpstr>
      <vt:lpstr>GEOMETRY!Print_Area</vt:lpstr>
      <vt:lpstr>'PASSABILITY EVAL.'!Print_Area</vt:lpstr>
      <vt:lpstr>'ROADSIDE SAFETY'!Print_Area</vt:lpstr>
      <vt:lpstr>SIGNIFICANCE!Print_Area</vt:lpstr>
      <vt:lpstr>STRUCTURE!Print_Area</vt:lpstr>
      <vt:lpstr>SUMMARY!Print_Area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2020-02-20T21:36:17Z</cp:lastPrinted>
  <dcterms:created xsi:type="dcterms:W3CDTF">2001-08-02T21:00:18Z</dcterms:created>
  <dcterms:modified xsi:type="dcterms:W3CDTF">2022-06-21T21:06:58Z</dcterms:modified>
</cp:coreProperties>
</file>