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stateofwa-my.sharepoint.com/personal/steve_johnson_crab_wa_gov/Documents/Documents/Worksheets 23-25/PS/"/>
    </mc:Choice>
  </mc:AlternateContent>
  <xr:revisionPtr revIDLastSave="41" documentId="11_0E2E98FFD57712F7C01C05240659B1AC65B229C9" xr6:coauthVersionLast="47" xr6:coauthVersionMax="47" xr10:uidLastSave="{A8471816-5F88-4778-ACE5-08D8F2D515C9}"/>
  <bookViews>
    <workbookView xWindow="-120" yWindow="-120" windowWidth="29040" windowHeight="15840" xr2:uid="{00000000-000D-0000-FFFF-FFFF00000000}"/>
  </bookViews>
  <sheets>
    <sheet name="BR Summary" sheetId="6" r:id="rId1"/>
    <sheet name="Traffic &amp; Accidents" sheetId="12" r:id="rId2"/>
    <sheet name="Structure" sheetId="13" r:id="rId3"/>
    <sheet name="Geometry" sheetId="14" r:id="rId4"/>
    <sheet name="BR Rehab." sheetId="7" r:id="rId5"/>
    <sheet name="Engineer's 3R letter" sheetId="9" r:id="rId6"/>
  </sheets>
  <definedNames>
    <definedName name="_xlnm.Print_Area" localSheetId="4">'BR Rehab.'!$A$1:$K$58</definedName>
    <definedName name="_xlnm.Print_Area" localSheetId="0">'BR Summary'!$B$3:$N$59</definedName>
    <definedName name="_xlnm.Print_Area" localSheetId="3">Geometry!$B$3:$L$36</definedName>
    <definedName name="_xlnm.Print_Area" localSheetId="2">Structure!$B$3:$M$10</definedName>
    <definedName name="_xlnm.Print_Area" localSheetId="1">'Traffic &amp; Accidents'!$B$3:$L$38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4" l="1"/>
  <c r="BC27" i="14" l="1"/>
  <c r="BB27" i="14" s="1"/>
  <c r="BA27" i="14" s="1"/>
  <c r="AX27" i="14"/>
  <c r="AW27" i="14" s="1"/>
  <c r="AV27" i="14" s="1"/>
  <c r="AU27" i="14" s="1"/>
  <c r="BC17" i="14"/>
  <c r="AX17" i="14"/>
  <c r="H22" i="13" l="1"/>
  <c r="F9" i="13" s="1"/>
  <c r="AI20" i="14" l="1"/>
  <c r="AO26" i="14" s="1"/>
  <c r="AI19" i="14"/>
  <c r="AP20" i="14" s="1"/>
  <c r="AV9" i="14"/>
  <c r="V86" i="14"/>
  <c r="U86" i="14" s="1"/>
  <c r="T86" i="14" s="1"/>
  <c r="S86" i="14" s="1"/>
  <c r="R86" i="14" s="1"/>
  <c r="Q86" i="14" s="1"/>
  <c r="V85" i="14"/>
  <c r="U85" i="14" s="1"/>
  <c r="T85" i="14" s="1"/>
  <c r="S85" i="14" s="1"/>
  <c r="R85" i="14" s="1"/>
  <c r="Q85" i="14" s="1"/>
  <c r="V84" i="14"/>
  <c r="U84" i="14" s="1"/>
  <c r="T84" i="14" s="1"/>
  <c r="S84" i="14" s="1"/>
  <c r="R84" i="14" s="1"/>
  <c r="Q84" i="14" s="1"/>
  <c r="V83" i="14"/>
  <c r="U83" i="14"/>
  <c r="T83" i="14" s="1"/>
  <c r="S83" i="14" s="1"/>
  <c r="R83" i="14" s="1"/>
  <c r="Q83" i="14" s="1"/>
  <c r="Q64" i="14"/>
  <c r="Q63" i="14"/>
  <c r="Q62" i="14"/>
  <c r="Q61" i="14"/>
  <c r="Q60" i="14"/>
  <c r="Q59" i="14"/>
  <c r="V77" i="14" s="1"/>
  <c r="U77" i="14" s="1"/>
  <c r="Q58" i="14"/>
  <c r="Q57" i="14"/>
  <c r="V79" i="14" s="1"/>
  <c r="Q56" i="14"/>
  <c r="Q55" i="14"/>
  <c r="P49" i="14"/>
  <c r="P48" i="14"/>
  <c r="P47" i="14"/>
  <c r="P44" i="14"/>
  <c r="U47" i="14" s="1"/>
  <c r="T47" i="14" s="1"/>
  <c r="S47" i="14" s="1"/>
  <c r="R121" i="14"/>
  <c r="Q121" i="14"/>
  <c r="R120" i="14"/>
  <c r="Q120" i="14"/>
  <c r="R119" i="14"/>
  <c r="Q119" i="14"/>
  <c r="R118" i="14"/>
  <c r="Q118" i="14"/>
  <c r="R117" i="14"/>
  <c r="Q117" i="14"/>
  <c r="R116" i="14"/>
  <c r="Q116" i="14"/>
  <c r="R115" i="14"/>
  <c r="Q115" i="14"/>
  <c r="R114" i="14"/>
  <c r="Q114" i="14"/>
  <c r="R113" i="14"/>
  <c r="Q113" i="14"/>
  <c r="R112" i="14"/>
  <c r="Q112" i="14"/>
  <c r="AN27" i="14" l="1"/>
  <c r="AO20" i="14"/>
  <c r="AP26" i="14"/>
  <c r="AO27" i="14"/>
  <c r="AP25" i="14"/>
  <c r="AO25" i="14" s="1"/>
  <c r="AP27" i="14"/>
  <c r="AO19" i="14"/>
  <c r="AN20" i="14" s="1"/>
  <c r="AN21" i="14"/>
  <c r="AM21" i="14" s="1"/>
  <c r="AP19" i="14"/>
  <c r="AO21" i="14"/>
  <c r="AP21" i="14"/>
  <c r="AM27" i="14"/>
  <c r="R98" i="14"/>
  <c r="Q98" i="14" s="1"/>
  <c r="AZ22" i="14"/>
  <c r="R105" i="14"/>
  <c r="Q105" i="14" s="1"/>
  <c r="R103" i="14"/>
  <c r="Q103" i="14" s="1"/>
  <c r="R97" i="14"/>
  <c r="Q97" i="14" s="1"/>
  <c r="R99" i="14"/>
  <c r="Q99" i="14" s="1"/>
  <c r="T77" i="14"/>
  <c r="S77" i="14" s="1"/>
  <c r="R77" i="14" s="1"/>
  <c r="Q77" i="14" s="1"/>
  <c r="R59" i="14" s="1"/>
  <c r="U45" i="14"/>
  <c r="T45" i="14" s="1"/>
  <c r="R104" i="14"/>
  <c r="Q104" i="14" s="1"/>
  <c r="U46" i="14"/>
  <c r="T46" i="14" s="1"/>
  <c r="V73" i="14"/>
  <c r="U73" i="14" s="1"/>
  <c r="T73" i="14" s="1"/>
  <c r="S73" i="14" s="1"/>
  <c r="R73" i="14" s="1"/>
  <c r="Q73" i="14" s="1"/>
  <c r="R55" i="14" s="1"/>
  <c r="V81" i="14"/>
  <c r="U81" i="14" s="1"/>
  <c r="T81" i="14" s="1"/>
  <c r="S81" i="14" s="1"/>
  <c r="R81" i="14" s="1"/>
  <c r="Q81" i="14" s="1"/>
  <c r="R63" i="14" s="1"/>
  <c r="S46" i="14"/>
  <c r="V78" i="14"/>
  <c r="U78" i="14" s="1"/>
  <c r="T78" i="14" s="1"/>
  <c r="S78" i="14" s="1"/>
  <c r="R78" i="14" s="1"/>
  <c r="Q78" i="14" s="1"/>
  <c r="R60" i="14" s="1"/>
  <c r="V76" i="14"/>
  <c r="U76" i="14" s="1"/>
  <c r="T76" i="14" s="1"/>
  <c r="S76" i="14" s="1"/>
  <c r="R76" i="14" s="1"/>
  <c r="Q76" i="14" s="1"/>
  <c r="R58" i="14" s="1"/>
  <c r="V80" i="14"/>
  <c r="U80" i="14" s="1"/>
  <c r="T80" i="14" s="1"/>
  <c r="S80" i="14" s="1"/>
  <c r="R80" i="14" s="1"/>
  <c r="Q80" i="14" s="1"/>
  <c r="R62" i="14" s="1"/>
  <c r="V74" i="14"/>
  <c r="U74" i="14" s="1"/>
  <c r="T74" i="14" s="1"/>
  <c r="S74" i="14" s="1"/>
  <c r="R74" i="14" s="1"/>
  <c r="Q74" i="14" s="1"/>
  <c r="R56" i="14" s="1"/>
  <c r="U79" i="14"/>
  <c r="T79" i="14" s="1"/>
  <c r="S79" i="14" s="1"/>
  <c r="R79" i="14" s="1"/>
  <c r="V82" i="14"/>
  <c r="U82" i="14" s="1"/>
  <c r="T82" i="14" s="1"/>
  <c r="S82" i="14" s="1"/>
  <c r="R82" i="14" s="1"/>
  <c r="Q82" i="14" s="1"/>
  <c r="R64" i="14" s="1"/>
  <c r="V75" i="14"/>
  <c r="U75" i="14" s="1"/>
  <c r="T75" i="14" s="1"/>
  <c r="S75" i="14" s="1"/>
  <c r="R75" i="14" s="1"/>
  <c r="Q75" i="14" s="1"/>
  <c r="R57" i="14" s="1"/>
  <c r="K32" i="12"/>
  <c r="K31" i="12"/>
  <c r="K30" i="12"/>
  <c r="K29" i="12"/>
  <c r="K28" i="12"/>
  <c r="K23" i="12"/>
  <c r="K22" i="12"/>
  <c r="K21" i="12"/>
  <c r="K20" i="12"/>
  <c r="K19" i="12"/>
  <c r="AM20" i="14" l="1"/>
  <c r="AM19" i="14" s="1"/>
  <c r="AN15" i="14" s="1"/>
  <c r="S45" i="14"/>
  <c r="T50" i="14" s="1"/>
  <c r="Q79" i="14"/>
  <c r="R61" i="14" s="1"/>
  <c r="AN19" i="14"/>
  <c r="AN25" i="14"/>
  <c r="AN26" i="14"/>
  <c r="AM26" i="14" s="1"/>
  <c r="AM25" i="14" s="1"/>
  <c r="J32" i="12"/>
  <c r="J31" i="12"/>
  <c r="J30" i="12"/>
  <c r="J29" i="12"/>
  <c r="J28" i="12"/>
  <c r="J20" i="12"/>
  <c r="J22" i="12"/>
  <c r="S56" i="14" l="1"/>
  <c r="T56" i="14" s="1"/>
  <c r="S64" i="14"/>
  <c r="T64" i="14" s="1"/>
  <c r="S63" i="14"/>
  <c r="T63" i="14" s="1"/>
  <c r="S61" i="14"/>
  <c r="T61" i="14" s="1"/>
  <c r="BB18" i="14"/>
  <c r="BB17" i="14" s="1"/>
  <c r="BA18" i="14" s="1"/>
  <c r="S55" i="14"/>
  <c r="T55" i="14" s="1"/>
  <c r="S59" i="14"/>
  <c r="T59" i="14" s="1"/>
  <c r="BA17" i="14"/>
  <c r="AZ12" i="14" s="1"/>
  <c r="W50" i="14"/>
  <c r="W49" i="14" s="1"/>
  <c r="W48" i="14" s="1"/>
  <c r="W47" i="14" s="1"/>
  <c r="W46" i="14" s="1"/>
  <c r="S60" i="14"/>
  <c r="T60" i="14" s="1"/>
  <c r="AW18" i="14"/>
  <c r="AW17" i="14" s="1"/>
  <c r="AV18" i="14" s="1"/>
  <c r="AV17" i="14" s="1"/>
  <c r="AU18" i="14" s="1"/>
  <c r="AU17" i="14" s="1"/>
  <c r="S58" i="14"/>
  <c r="T58" i="14" s="1"/>
  <c r="S62" i="14"/>
  <c r="T62" i="14" s="1"/>
  <c r="S57" i="14"/>
  <c r="T57" i="14" s="1"/>
  <c r="J33" i="12"/>
  <c r="F46" i="12"/>
  <c r="L56" i="12" s="1"/>
  <c r="J46" i="12"/>
  <c r="F48" i="12"/>
  <c r="J48" i="12"/>
  <c r="C87" i="12"/>
  <c r="C85" i="12" s="1"/>
  <c r="F89" i="12"/>
  <c r="F92" i="12" s="1"/>
  <c r="H89" i="12"/>
  <c r="H92" i="12" s="1"/>
  <c r="J89" i="12"/>
  <c r="J92" i="12" s="1"/>
  <c r="T65" i="14" l="1"/>
  <c r="K96" i="12"/>
  <c r="L57" i="12"/>
  <c r="M56" i="12"/>
  <c r="M55" i="12"/>
  <c r="M54" i="12" s="1"/>
  <c r="M53" i="12" s="1"/>
  <c r="M52" i="12" s="1"/>
  <c r="L55" i="12"/>
  <c r="L54" i="12" s="1"/>
  <c r="L53" i="12" s="1"/>
  <c r="L52" i="12" s="1"/>
  <c r="M57" i="12"/>
  <c r="C86" i="12"/>
  <c r="J54" i="14" l="1"/>
  <c r="I54" i="14" s="1"/>
  <c r="J55" i="14"/>
  <c r="I55" i="14" s="1"/>
  <c r="J56" i="14"/>
  <c r="I56" i="14" s="1"/>
  <c r="H56" i="14" s="1"/>
  <c r="H55" i="14" s="1"/>
  <c r="G35" i="14"/>
  <c r="E35" i="14"/>
  <c r="H54" i="14" l="1"/>
  <c r="H12" i="12" s="1"/>
  <c r="H29" i="14"/>
  <c r="H29" i="6"/>
  <c r="H42" i="6"/>
  <c r="Y33" i="14"/>
  <c r="D10" i="7"/>
  <c r="E10" i="7" s="1"/>
  <c r="D11" i="7"/>
  <c r="E11" i="7" s="1"/>
  <c r="E19" i="7"/>
  <c r="F19" i="7"/>
  <c r="E20" i="7"/>
  <c r="F20" i="7" s="1"/>
  <c r="E21" i="7"/>
  <c r="F21" i="7" s="1"/>
  <c r="E22" i="7"/>
  <c r="F22" i="7" s="1"/>
  <c r="E23" i="7"/>
  <c r="F23" i="7" s="1"/>
  <c r="I9" i="7"/>
  <c r="J9" i="7" s="1"/>
  <c r="I10" i="7"/>
  <c r="J10" i="7" s="1"/>
  <c r="I11" i="7"/>
  <c r="J11" i="7" s="1"/>
  <c r="I12" i="7"/>
  <c r="J12" i="7" s="1"/>
  <c r="D9" i="7"/>
  <c r="E9" i="7" s="1"/>
  <c r="H38" i="7"/>
  <c r="I38" i="7" s="1"/>
  <c r="H34" i="7"/>
  <c r="I34" i="7" s="1"/>
  <c r="J51" i="7"/>
  <c r="K51" i="7" s="1"/>
  <c r="E51" i="7"/>
  <c r="F51" i="7" s="1"/>
  <c r="H32" i="7"/>
  <c r="I32" i="7" s="1"/>
  <c r="H33" i="7"/>
  <c r="I33" i="7" s="1"/>
  <c r="H35" i="7"/>
  <c r="I35" i="7"/>
  <c r="H36" i="7"/>
  <c r="I36" i="7" s="1"/>
  <c r="H37" i="7"/>
  <c r="I37" i="7" s="1"/>
  <c r="E47" i="7"/>
  <c r="F47" i="7" s="1"/>
  <c r="J47" i="7"/>
  <c r="K47" i="7"/>
  <c r="E48" i="7"/>
  <c r="F48" i="7" s="1"/>
  <c r="J48" i="7"/>
  <c r="K48" i="7" s="1"/>
  <c r="E49" i="7"/>
  <c r="F49" i="7" s="1"/>
  <c r="J49" i="7"/>
  <c r="K49" i="7" s="1"/>
  <c r="E50" i="7"/>
  <c r="F50" i="7" s="1"/>
  <c r="J50" i="7"/>
  <c r="K50" i="7" s="1"/>
  <c r="F52" i="7" l="1"/>
  <c r="D53" i="7" s="1"/>
  <c r="K52" i="7"/>
  <c r="I55" i="7" s="1"/>
  <c r="J13" i="7"/>
  <c r="H13" i="7" s="1"/>
  <c r="I39" i="7"/>
  <c r="G40" i="7" s="1"/>
  <c r="E12" i="7"/>
  <c r="D13" i="7" s="1"/>
  <c r="F24" i="7"/>
  <c r="E25" i="7" s="1"/>
  <c r="H49" i="6"/>
  <c r="Y35" i="14"/>
  <c r="P105" i="14"/>
  <c r="P104" i="14" s="1"/>
  <c r="P99" i="14"/>
  <c r="P98" i="14" s="1"/>
  <c r="P103" i="14"/>
  <c r="P93" i="14" s="1"/>
  <c r="P97" i="14"/>
  <c r="J23" i="12"/>
  <c r="J21" i="12"/>
  <c r="J19" i="12"/>
  <c r="H34" i="14"/>
  <c r="I34" i="14" s="1"/>
  <c r="K27" i="6"/>
  <c r="J58" i="7" l="1"/>
  <c r="J9" i="13" s="1"/>
  <c r="K34" i="6" s="1"/>
  <c r="S112" i="14"/>
  <c r="T112" i="14" s="1"/>
  <c r="S114" i="14"/>
  <c r="T114" i="14" s="1"/>
  <c r="S121" i="14"/>
  <c r="T121" i="14" s="1"/>
  <c r="S119" i="14"/>
  <c r="T119" i="14" s="1"/>
  <c r="S117" i="14"/>
  <c r="T117" i="14" s="1"/>
  <c r="S115" i="14"/>
  <c r="T115" i="14" s="1"/>
  <c r="S113" i="14"/>
  <c r="T113" i="14" s="1"/>
  <c r="S116" i="14"/>
  <c r="T116" i="14" s="1"/>
  <c r="S120" i="14"/>
  <c r="T120" i="14" s="1"/>
  <c r="S118" i="14"/>
  <c r="T118" i="14" s="1"/>
  <c r="H12" i="14"/>
  <c r="AB33" i="14"/>
  <c r="J24" i="12"/>
  <c r="J36" i="12" s="1"/>
  <c r="K45" i="6" s="1"/>
  <c r="J14" i="14"/>
  <c r="K67" i="12"/>
  <c r="K26" i="6" s="1"/>
  <c r="P31" i="6"/>
  <c r="O31" i="6" s="1"/>
  <c r="AB35" i="14" l="1"/>
  <c r="AE38" i="14" s="1"/>
  <c r="K20" i="14"/>
  <c r="J21" i="14"/>
  <c r="K21" i="14"/>
  <c r="J24" i="14"/>
  <c r="K22" i="14"/>
  <c r="J26" i="14"/>
  <c r="K25" i="14"/>
  <c r="K27" i="14"/>
  <c r="J25" i="14"/>
  <c r="K26" i="14"/>
  <c r="K19" i="14"/>
  <c r="J19" i="14" s="1"/>
  <c r="K28" i="14"/>
  <c r="J22" i="14"/>
  <c r="J27" i="14"/>
  <c r="K23" i="14"/>
  <c r="J23" i="14"/>
  <c r="K24" i="14"/>
  <c r="J28" i="14"/>
  <c r="J20" i="14"/>
  <c r="T122" i="14"/>
  <c r="N119" i="14" s="1"/>
  <c r="C12" i="14"/>
  <c r="F19" i="14" s="1"/>
  <c r="K29" i="6"/>
  <c r="H33" i="14"/>
  <c r="I33" i="14" s="1"/>
  <c r="P32" i="14" l="1"/>
  <c r="O32" i="14" s="1"/>
  <c r="P31" i="14"/>
  <c r="O31" i="14" s="1"/>
  <c r="J29" i="14"/>
  <c r="I15" i="14" s="1"/>
  <c r="K38" i="6" s="1"/>
  <c r="E19" i="14"/>
  <c r="F27" i="14"/>
  <c r="F20" i="14"/>
  <c r="E20" i="14" s="1"/>
  <c r="E23" i="14"/>
  <c r="E21" i="14"/>
  <c r="F21" i="14"/>
  <c r="E26" i="14"/>
  <c r="F22" i="14"/>
  <c r="E25" i="14"/>
  <c r="E27" i="14"/>
  <c r="F28" i="14"/>
  <c r="F25" i="14"/>
  <c r="F26" i="14"/>
  <c r="E28" i="14"/>
  <c r="F23" i="14"/>
  <c r="E22" i="14"/>
  <c r="F24" i="14"/>
  <c r="E24" i="14"/>
  <c r="H35" i="14"/>
  <c r="I35" i="14" s="1"/>
  <c r="K31" i="14" l="1"/>
  <c r="K39" i="6" s="1"/>
  <c r="N85" i="14"/>
  <c r="E29" i="14"/>
  <c r="P30" i="6"/>
  <c r="O30" i="6" s="1"/>
  <c r="D15" i="14" l="1"/>
  <c r="K37" i="6" s="1"/>
  <c r="K42" i="6" l="1"/>
  <c r="M10" i="6" s="1"/>
  <c r="K4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randy</author>
  </authors>
  <commentList>
    <comment ref="C8" authorId="0" shapeId="0" xr:uid="{00000000-0006-0000-0100-000001000000}">
      <text>
        <r>
          <rPr>
            <sz val="8"/>
            <color indexed="81"/>
            <rFont val="Tahoma"/>
            <family val="2"/>
          </rPr>
          <t>This is not the design year volume (12, 20) you will use for design.  Rather, use the current 30th highest volume of the year, or estimate for a seasonal volume.</t>
        </r>
        <r>
          <rPr>
            <b/>
            <sz val="8"/>
            <color indexed="81"/>
            <rFont val="Tahoma"/>
            <family val="2"/>
          </rPr>
          <t xml:space="preserve">
</t>
        </r>
      </text>
    </comment>
    <comment ref="D19" authorId="0" shapeId="0" xr:uid="{00000000-0006-0000-0100-000002000000}">
      <text>
        <r>
          <rPr>
            <sz val="8"/>
            <color indexed="81"/>
            <rFont val="Tahoma"/>
            <family val="2"/>
          </rPr>
          <t>Must be an actual base, not office, training, or recruiting center.</t>
        </r>
      </text>
    </comment>
    <comment ref="D20" authorId="0" shapeId="0" xr:uid="{00000000-0006-0000-0100-000003000000}">
      <text>
        <r>
          <rPr>
            <sz val="8"/>
            <color indexed="81"/>
            <rFont val="Tahoma"/>
            <family val="2"/>
          </rPr>
          <t>A section adjacent to or within some distance (miles) of the project, or on the same main travel route, has been improved to equal or greater scope within the last 10 years.</t>
        </r>
      </text>
    </comment>
    <comment ref="D21" authorId="0" shapeId="0" xr:uid="{00000000-0006-0000-0100-000004000000}">
      <text>
        <r>
          <rPr>
            <sz val="8"/>
            <color indexed="81"/>
            <rFont val="Tahoma"/>
            <family val="2"/>
          </rPr>
          <t>School, church, grange, fire station, hospital, museum</t>
        </r>
      </text>
    </comment>
    <comment ref="D22" authorId="0" shapeId="0" xr:uid="{00000000-0006-0000-0100-000005000000}">
      <text>
        <r>
          <rPr>
            <sz val="8"/>
            <color indexed="81"/>
            <rFont val="Tahoma"/>
            <family val="2"/>
          </rPr>
          <t xml:space="preserve">YMCA, Park, Amusement Park
</t>
        </r>
      </text>
    </comment>
    <comment ref="D23" authorId="0" shapeId="0" xr:uid="{00000000-0006-0000-0100-000006000000}">
      <text>
        <r>
          <rPr>
            <sz val="8"/>
            <color indexed="81"/>
            <rFont val="Tahoma"/>
            <family val="2"/>
          </rPr>
          <t xml:space="preserve">Serves as or directly connects to a detour for a state or interstate hwy. (miles from route that is detoured)
</t>
        </r>
      </text>
    </comment>
    <comment ref="D28" authorId="0" shapeId="0" xr:uid="{00000000-0006-0000-0100-000007000000}">
      <text>
        <r>
          <rPr>
            <sz val="8"/>
            <color indexed="81"/>
            <rFont val="Tahoma"/>
            <family val="2"/>
          </rPr>
          <t xml:space="preserve">Include commercial food processing, not retail.
</t>
        </r>
      </text>
    </comment>
    <comment ref="D29" authorId="0" shapeId="0" xr:uid="{00000000-0006-0000-0100-000008000000}">
      <text>
        <r>
          <rPr>
            <sz val="8"/>
            <color indexed="81"/>
            <rFont val="Tahoma"/>
            <family val="2"/>
          </rPr>
          <t>i.e. parcel service, collection point. Not corporate office, or government post office.</t>
        </r>
        <r>
          <rPr>
            <sz val="8"/>
            <color indexed="81"/>
            <rFont val="Tahoma"/>
            <family val="2"/>
          </rPr>
          <t xml:space="preserve">
</t>
        </r>
      </text>
    </comment>
    <comment ref="D32" authorId="0" shapeId="0" xr:uid="{00000000-0006-0000-0100-000009000000}">
      <text>
        <r>
          <rPr>
            <sz val="8"/>
            <color indexed="81"/>
            <rFont val="Tahoma"/>
            <family val="2"/>
          </rPr>
          <t>Includes parcel service corporate office, post office, military recruiting, union hall.</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randy</author>
  </authors>
  <commentList>
    <comment ref="H7" authorId="0" shapeId="0" xr:uid="{00000000-0006-0000-0300-000001000000}">
      <text>
        <r>
          <rPr>
            <sz val="8"/>
            <color indexed="81"/>
            <rFont val="Tahoma"/>
            <family val="2"/>
          </rPr>
          <t xml:space="preserve">AASHTO 2001, page 235
</t>
        </r>
      </text>
    </comment>
    <comment ref="D34" authorId="0" shapeId="0" xr:uid="{00000000-0006-0000-0300-000002000000}">
      <text>
        <r>
          <rPr>
            <sz val="8"/>
            <color indexed="81"/>
            <rFont val="Tahoma"/>
            <family val="2"/>
          </rPr>
          <t>Shoulders can be paved or gravel or both.</t>
        </r>
      </text>
    </comment>
  </commentList>
</comments>
</file>

<file path=xl/sharedStrings.xml><?xml version="1.0" encoding="utf-8"?>
<sst xmlns="http://schemas.openxmlformats.org/spreadsheetml/2006/main" count="487" uniqueCount="359">
  <si>
    <t>County:</t>
  </si>
  <si>
    <t>Project Name:</t>
  </si>
  <si>
    <t>Possible</t>
  </si>
  <si>
    <t xml:space="preserve"> Points:</t>
  </si>
  <si>
    <t>Points:</t>
  </si>
  <si>
    <t>SERVICE RATING</t>
  </si>
  <si>
    <t>Traffic Volume</t>
  </si>
  <si>
    <t>Accident History</t>
  </si>
  <si>
    <t>Subtotal</t>
  </si>
  <si>
    <t>CONDITION RATING</t>
  </si>
  <si>
    <t>(possible)</t>
  </si>
  <si>
    <t>Rating points may be assigned only to the extent that the deficient condition will be improved.</t>
  </si>
  <si>
    <t xml:space="preserve"> </t>
  </si>
  <si>
    <t>Traffic Volume (20 Points Max.)</t>
  </si>
  <si>
    <t>Existing ADT</t>
  </si>
  <si>
    <t xml:space="preserve">ADT Year </t>
  </si>
  <si>
    <t>or</t>
  </si>
  <si>
    <t>Existing Truck ADT</t>
  </si>
  <si>
    <t>Truck ADT Yr</t>
  </si>
  <si>
    <t>Determine traffic volume rating using table below</t>
  </si>
  <si>
    <t>ADT = Average Weekday Traffic Volumes</t>
  </si>
  <si>
    <t>TRAFFIC VOLUME RATING TABLE</t>
  </si>
  <si>
    <t>Average</t>
  </si>
  <si>
    <t xml:space="preserve">  </t>
  </si>
  <si>
    <t>ADT</t>
  </si>
  <si>
    <t>Truck ADT</t>
  </si>
  <si>
    <t>Points</t>
  </si>
  <si>
    <t xml:space="preserve">   </t>
  </si>
  <si>
    <t>501 - 1000</t>
  </si>
  <si>
    <t>51 - 100</t>
  </si>
  <si>
    <t>1001 - 2000</t>
  </si>
  <si>
    <t>101 - 200</t>
  </si>
  <si>
    <t>2001 - 5000</t>
  </si>
  <si>
    <t>201 - 500</t>
  </si>
  <si>
    <t>TRAFFIC VOLUME RATING</t>
  </si>
  <si>
    <t>Accident History (25 Points Max.)</t>
  </si>
  <si>
    <t>Accident history for the three most recent consecutive years.</t>
  </si>
  <si>
    <t>Property</t>
  </si>
  <si>
    <t>Damage</t>
  </si>
  <si>
    <t>Year</t>
  </si>
  <si>
    <t>Only</t>
  </si>
  <si>
    <t>Injury</t>
  </si>
  <si>
    <t>Fatal</t>
  </si>
  <si>
    <t xml:space="preserve">SUBTOTALS: </t>
  </si>
  <si>
    <t>x 1</t>
  </si>
  <si>
    <t>x 2</t>
  </si>
  <si>
    <t>x 5</t>
  </si>
  <si>
    <t>TOTAL  =</t>
  </si>
  <si>
    <t>+</t>
  </si>
  <si>
    <t>ACCIDENT HISTORY RATING</t>
  </si>
  <si>
    <t>(from Total above)</t>
  </si>
  <si>
    <t>For Structural Rating of stand alone bridge projects use the following formula:</t>
  </si>
  <si>
    <t>OR</t>
  </si>
  <si>
    <t>Lifeline Route</t>
  </si>
  <si>
    <t>Utility Crossing</t>
  </si>
  <si>
    <t>Approach Horizontal Alignment (5 Points Max.)</t>
  </si>
  <si>
    <t xml:space="preserve">Using the DESIGN STANDARDS table below as a guide, determine the adequacy </t>
  </si>
  <si>
    <t>of the horizontal alignment</t>
  </si>
  <si>
    <t xml:space="preserve">                            </t>
  </si>
  <si>
    <t>Minimum Design Speed For:</t>
  </si>
  <si>
    <t>ADT:</t>
  </si>
  <si>
    <t>TERRAIN:</t>
  </si>
  <si>
    <t>&lt; 400</t>
  </si>
  <si>
    <t>400 - 2000</t>
  </si>
  <si>
    <t>&gt; 2000</t>
  </si>
  <si>
    <t>FLAT</t>
  </si>
  <si>
    <t>ROLLING</t>
  </si>
  <si>
    <t>MOUNTAINOUS</t>
  </si>
  <si>
    <t>Condition</t>
  </si>
  <si>
    <t>Existing horizontal approach alignment meets design standards.</t>
  </si>
  <si>
    <t>Existing horizontal approach alignment deviates from design standards.</t>
  </si>
  <si>
    <t>HORIZONTAL ALIGNMENT POINTS</t>
  </si>
  <si>
    <t>Approach Vertical Alignment (5 Points Max.)</t>
  </si>
  <si>
    <t>of the vertical alignment.</t>
  </si>
  <si>
    <t xml:space="preserve">                         </t>
  </si>
  <si>
    <t>Standard Grades (% max.):</t>
  </si>
  <si>
    <t>Required Stopping Sight Distance:</t>
  </si>
  <si>
    <t>TERRAIN</t>
  </si>
  <si>
    <t>&lt;400</t>
  </si>
  <si>
    <t>&gt;2000</t>
  </si>
  <si>
    <t xml:space="preserve">                                 </t>
  </si>
  <si>
    <t>Design Speed</t>
  </si>
  <si>
    <t xml:space="preserve">Flat </t>
  </si>
  <si>
    <t>Rolling</t>
  </si>
  <si>
    <t>Mountain</t>
  </si>
  <si>
    <t>Condition:</t>
  </si>
  <si>
    <t xml:space="preserve">                                                                        </t>
  </si>
  <si>
    <t>No portion of approach deviates from design standards</t>
  </si>
  <si>
    <t>Sections of the project deviate from design standards</t>
  </si>
  <si>
    <t>VERTICAL ALIGNMENT POINTS</t>
  </si>
  <si>
    <t>Roadway Width (10 Points Max.)</t>
  </si>
  <si>
    <t xml:space="preserve">Using the DESIGN STANDARDS table below, determine the adequacy of the </t>
  </si>
  <si>
    <t>existing bridge lane and shoulder widths</t>
  </si>
  <si>
    <t xml:space="preserve">  Bridge Total Lane Width (ft)</t>
  </si>
  <si>
    <t xml:space="preserve">  Approach Shoulder Width (ft)</t>
  </si>
  <si>
    <t>Good</t>
  </si>
  <si>
    <t>Fair</t>
  </si>
  <si>
    <t>Poor</t>
  </si>
  <si>
    <t xml:space="preserve">                                                                </t>
  </si>
  <si>
    <t>&gt;22</t>
  </si>
  <si>
    <t>20 - 22</t>
  </si>
  <si>
    <t xml:space="preserve"> &lt;20</t>
  </si>
  <si>
    <t>&gt;3</t>
  </si>
  <si>
    <t xml:space="preserve"> 2 - 3</t>
  </si>
  <si>
    <t xml:space="preserve"> &lt;2</t>
  </si>
  <si>
    <t>&gt;6</t>
  </si>
  <si>
    <t xml:space="preserve"> 4 - 6</t>
  </si>
  <si>
    <t xml:space="preserve"> &lt;4</t>
  </si>
  <si>
    <t>&gt;24</t>
  </si>
  <si>
    <t>22 - 24</t>
  </si>
  <si>
    <t xml:space="preserve"> &lt;22</t>
  </si>
  <si>
    <t>&gt;8</t>
  </si>
  <si>
    <t xml:space="preserve"> 6 - 8</t>
  </si>
  <si>
    <t xml:space="preserve"> &lt;6</t>
  </si>
  <si>
    <t xml:space="preserve">     </t>
  </si>
  <si>
    <t>Rating</t>
  </si>
  <si>
    <t xml:space="preserve">Good (0) Fair (3) Poor (6) </t>
  </si>
  <si>
    <t xml:space="preserve">Good (0) Fair (2) Poor (4)  </t>
  </si>
  <si>
    <t>ROADWAY WIDTH POINTS</t>
  </si>
  <si>
    <t>Horizontal Alignment</t>
  </si>
  <si>
    <t>Vertical Alignment</t>
  </si>
  <si>
    <t>Roadway Width</t>
  </si>
  <si>
    <t>Roadway</t>
  </si>
  <si>
    <t>Total Lane Width =</t>
  </si>
  <si>
    <t xml:space="preserve">Shoulder Width   = </t>
  </si>
  <si>
    <t>Traffic Volume:</t>
  </si>
  <si>
    <t>AADT</t>
  </si>
  <si>
    <t>Truck AADT</t>
  </si>
  <si>
    <t>Injury, non fatal</t>
  </si>
  <si>
    <t>Minimum Design Speed Table</t>
  </si>
  <si>
    <t>Existing</t>
  </si>
  <si>
    <t>Speed</t>
  </si>
  <si>
    <t>Curves</t>
  </si>
  <si>
    <t>HORIZONTAL ALIGNMENT CALCULATION:</t>
  </si>
  <si>
    <t>Required Radius:</t>
  </si>
  <si>
    <t>Flat</t>
  </si>
  <si>
    <t>Mountainous</t>
  </si>
  <si>
    <t>Minimum Design Speed:</t>
  </si>
  <si>
    <t>Safe</t>
  </si>
  <si>
    <t>MPH</t>
  </si>
  <si>
    <t xml:space="preserve">Existing </t>
  </si>
  <si>
    <t>below</t>
  </si>
  <si>
    <t>Curve No.</t>
  </si>
  <si>
    <t>Radius</t>
  </si>
  <si>
    <t>standard</t>
  </si>
  <si>
    <t>below std</t>
  </si>
  <si>
    <r>
      <t xml:space="preserve">MIN, </t>
    </r>
    <r>
      <rPr>
        <b/>
        <sz val="10"/>
        <color indexed="14"/>
        <rFont val="Arial"/>
        <family val="2"/>
      </rPr>
      <t>RADIUS</t>
    </r>
  </si>
  <si>
    <t>400-2000</t>
  </si>
  <si>
    <t>FOR 6% SUPER.</t>
  </si>
  <si>
    <t>Safe Speed Calculation Table</t>
  </si>
  <si>
    <t>Collectors</t>
  </si>
  <si>
    <t>Arterials</t>
  </si>
  <si>
    <t>Safe Speed</t>
  </si>
  <si>
    <t>Exist. Sight</t>
  </si>
  <si>
    <t>(Vs)</t>
  </si>
  <si>
    <t>Dist.  (S)</t>
  </si>
  <si>
    <t>~</t>
  </si>
  <si>
    <t>FUNCTIONAL CLASS</t>
  </si>
  <si>
    <t>% GRADE</t>
  </si>
  <si>
    <t>Grade</t>
  </si>
  <si>
    <t>% Grade</t>
  </si>
  <si>
    <t>Length</t>
  </si>
  <si>
    <t>Std</t>
  </si>
  <si>
    <t>Deficient</t>
  </si>
  <si>
    <t>Total</t>
  </si>
  <si>
    <t>Grade Deficiency</t>
  </si>
  <si>
    <t>Substnd</t>
  </si>
  <si>
    <t xml:space="preserve">Curve#  </t>
  </si>
  <si>
    <t>Calculation Table</t>
  </si>
  <si>
    <t>CALC</t>
  </si>
  <si>
    <t>TRUCK AADT</t>
  </si>
  <si>
    <t>POINTS</t>
  </si>
  <si>
    <t>Lane Width Points</t>
  </si>
  <si>
    <t>Lane width table</t>
  </si>
  <si>
    <t>Seismic Retrofit:</t>
  </si>
  <si>
    <t>% of pier</t>
  </si>
  <si>
    <t>Available</t>
  </si>
  <si>
    <t xml:space="preserve">Assigned </t>
  </si>
  <si>
    <t>% of Columns</t>
  </si>
  <si>
    <t>&lt;25%</t>
  </si>
  <si>
    <t>&lt;10%</t>
  </si>
  <si>
    <t>25% - 50%</t>
  </si>
  <si>
    <t>10% - 24%</t>
  </si>
  <si>
    <t>&gt;50%</t>
  </si>
  <si>
    <t>Add / Replace Guardrail:</t>
  </si>
  <si>
    <t>Anchors only</t>
  </si>
  <si>
    <t>Anchors and posts</t>
  </si>
  <si>
    <t>Upgrade terminal ends</t>
  </si>
  <si>
    <t>Rail only</t>
  </si>
  <si>
    <t xml:space="preserve">Replace entire system </t>
  </si>
  <si>
    <t>Guardrail Points:</t>
  </si>
  <si>
    <t>Add Pedestrian / Bike Facilities</t>
  </si>
  <si>
    <t>Provide one bike lane</t>
  </si>
  <si>
    <t>Provide two bike lanes (each side)</t>
  </si>
  <si>
    <t>Provide one bike lane, one sidewalk</t>
  </si>
  <si>
    <t>Provide two bike lanes, sidewalks (each side)</t>
  </si>
  <si>
    <t>Pedestriam undercrossing</t>
  </si>
  <si>
    <t>Bike/Pedestrian separate structure (one side)</t>
  </si>
  <si>
    <t>Bike/Pedestrian separate structure (two sides)</t>
  </si>
  <si>
    <t>Bike / Ped Points</t>
  </si>
  <si>
    <t xml:space="preserve">Miles* to  </t>
  </si>
  <si>
    <t xml:space="preserve">Number  </t>
  </si>
  <si>
    <t>Alternate</t>
  </si>
  <si>
    <t>of Utilities</t>
  </si>
  <si>
    <t>Route</t>
  </si>
  <si>
    <t>&lt;2</t>
  </si>
  <si>
    <t>2 - 4</t>
  </si>
  <si>
    <t>4 - 6</t>
  </si>
  <si>
    <t>6 - 8</t>
  </si>
  <si>
    <t>Utility Points</t>
  </si>
  <si>
    <t>* Round to nearest 0.5 miles</t>
  </si>
  <si>
    <t>Lifeline Points</t>
  </si>
  <si>
    <t>Geometric Rating:</t>
  </si>
  <si>
    <t>Assigned</t>
  </si>
  <si>
    <t>Approach Shoulder width table</t>
  </si>
  <si>
    <t>Existing approach shoulder width</t>
  </si>
  <si>
    <t>Existing total lane width</t>
  </si>
  <si>
    <r>
      <t>&gt;</t>
    </r>
    <r>
      <rPr>
        <sz val="10"/>
        <rFont val="MS Sans Serif"/>
      </rPr>
      <t>5001</t>
    </r>
  </si>
  <si>
    <r>
      <t>&gt;</t>
    </r>
    <r>
      <rPr>
        <sz val="10"/>
        <rFont val="MS Sans Serif"/>
      </rPr>
      <t>501</t>
    </r>
  </si>
  <si>
    <r>
      <t>&lt;</t>
    </r>
    <r>
      <rPr>
        <sz val="10"/>
        <rFont val="MS Sans Serif"/>
      </rPr>
      <t xml:space="preserve"> 50</t>
    </r>
  </si>
  <si>
    <r>
      <t>&lt;</t>
    </r>
    <r>
      <rPr>
        <sz val="10"/>
        <rFont val="MS Sans Serif"/>
      </rPr>
      <t xml:space="preserve"> 500</t>
    </r>
  </si>
  <si>
    <t>Length ft</t>
  </si>
  <si>
    <t>AASHTO 2001</t>
  </si>
  <si>
    <t>(p 145)</t>
  </si>
  <si>
    <t>(AASHTO 2001, p 427)</t>
  </si>
  <si>
    <t>(AASHTO 2001, p 450)</t>
  </si>
  <si>
    <t>Road Log Number</t>
  </si>
  <si>
    <t>Total Rehabilitation Points</t>
  </si>
  <si>
    <t>STATE OF WASHINGTON</t>
  </si>
  <si>
    <t>COUNTY ROAD ADMINISTRATION BOARD</t>
  </si>
  <si>
    <t>VERIFICATION OF 3R SCOPE FOR RAP PROJECT</t>
  </si>
  <si>
    <t>County</t>
  </si>
  <si>
    <t>Project name</t>
  </si>
  <si>
    <t>Project mileposts</t>
  </si>
  <si>
    <t xml:space="preserve">The scope of work for the RATA funding proposal mentioned above, and which was </t>
  </si>
  <si>
    <t xml:space="preserve">submitted to CRAB on </t>
  </si>
  <si>
    <t xml:space="preserve">, is based on 3R design standards as </t>
  </si>
  <si>
    <t xml:space="preserve">referrenced in the Local Agency Guidelines.   </t>
  </si>
  <si>
    <t xml:space="preserve">In keeping with these guidelines, I have considered the following factors as well as others </t>
  </si>
  <si>
    <t>in arriving at the proposed scope of improvements:</t>
  </si>
  <si>
    <t>Roadside conditions</t>
  </si>
  <si>
    <t>Funding constraints</t>
  </si>
  <si>
    <t>Environmental concerns</t>
  </si>
  <si>
    <t>Changing traffic and land use patterns</t>
  </si>
  <si>
    <t>Deterioration rate of surfacing</t>
  </si>
  <si>
    <t>Accidents or accident rates.</t>
  </si>
  <si>
    <t xml:space="preserve">Where justified, the project will include: </t>
  </si>
  <si>
    <t>Guardrail improvements or upgrades</t>
  </si>
  <si>
    <t>Approach and and transition guardrail improvements for bridges</t>
  </si>
  <si>
    <t>Beveled end sections for crossing and parallel culverts located in the clear zone.</t>
  </si>
  <si>
    <t>Relocating, protecting, or providing breakaway features for sign supports and luminaires</t>
  </si>
  <si>
    <t>Protection for exposed bridge piers and abuttments.</t>
  </si>
  <si>
    <t>Removing fixed objects from the clear zone</t>
  </si>
  <si>
    <t>Improvements to roadway geometry.</t>
  </si>
  <si>
    <t xml:space="preserve">With these and other improvements as mentioned in the project prospectus, the project </t>
  </si>
  <si>
    <t xml:space="preserve">will sufficiently extend service life, provide additonal pavement strength, restore or </t>
  </si>
  <si>
    <t>improve the original cross section, and enhance safety.</t>
  </si>
  <si>
    <t>County Engineer</t>
  </si>
  <si>
    <t>Date</t>
  </si>
  <si>
    <t>This letter must be completed prior to commencing construction and retained in the county's project files.</t>
  </si>
  <si>
    <t>(check one)</t>
  </si>
  <si>
    <t>CAP Retrofit Points:</t>
  </si>
  <si>
    <t>COLUMN Retrofit Points:</t>
  </si>
  <si>
    <t>TOTAL RATING</t>
  </si>
  <si>
    <t>LANE WIDTH CALCULATION</t>
  </si>
  <si>
    <t>DESIGN LANE WIDTH</t>
  </si>
  <si>
    <t>COLLECTORS</t>
  </si>
  <si>
    <t>ARTERIALS</t>
  </si>
  <si>
    <t>400 - 1500</t>
  </si>
  <si>
    <t>1500 - 2000</t>
  </si>
  <si>
    <t>&lt; 1501</t>
  </si>
  <si>
    <t>1501 - 2000</t>
  </si>
  <si>
    <t>SHOULDER WIDTH CALCULATION</t>
  </si>
  <si>
    <t>DESIGN SHOULDER WIDTH</t>
  </si>
  <si>
    <t>REFERRENCE TABLES</t>
  </si>
  <si>
    <t>DESIGN</t>
  </si>
  <si>
    <t>LANE WIDTHS PER ADT</t>
  </si>
  <si>
    <t>SHOULDER WIDTHS PER ADT</t>
  </si>
  <si>
    <t>SPEED</t>
  </si>
  <si>
    <t>ALL SPEEDS</t>
  </si>
  <si>
    <t>Shoulder width, 1 side</t>
  </si>
  <si>
    <t>Width Reduction Calcs</t>
  </si>
  <si>
    <t>BRIDGE</t>
  </si>
  <si>
    <t>caps to be rebuilt:</t>
  </si>
  <si>
    <t>to be Retrofitted</t>
  </si>
  <si>
    <t>HORIZONTAL</t>
  </si>
  <si>
    <t>Accidents:</t>
  </si>
  <si>
    <t>Minimum Radius, Ft.</t>
  </si>
  <si>
    <t>Maximum Grade</t>
  </si>
  <si>
    <t>Proposed</t>
  </si>
  <si>
    <t>Impr.</t>
  </si>
  <si>
    <t>Bridge Rehabiltation Rating</t>
  </si>
  <si>
    <t>Avg.</t>
  </si>
  <si>
    <t>Pts Assigned</t>
  </si>
  <si>
    <t>Road Width:</t>
  </si>
  <si>
    <t>Proposed:</t>
  </si>
  <si>
    <t>Existing:</t>
  </si>
  <si>
    <t>LIST ALL DEFICIENT ALIGNMENT</t>
  </si>
  <si>
    <t>Cum.</t>
  </si>
  <si>
    <t>weighted %</t>
  </si>
  <si>
    <t>Geometric Condition:</t>
  </si>
  <si>
    <t>3R ROADWAY</t>
  </si>
  <si>
    <t xml:space="preserve">Military base          </t>
  </si>
  <si>
    <t>Missing Link</t>
  </si>
  <si>
    <t xml:space="preserve">Community           </t>
  </si>
  <si>
    <t>Recreation</t>
  </si>
  <si>
    <t>Detour</t>
  </si>
  <si>
    <t>Manufacturing facility</t>
  </si>
  <si>
    <t>Retail facility</t>
  </si>
  <si>
    <t>Corporate or government office facility</t>
  </si>
  <si>
    <t>Terrain (check one)</t>
  </si>
  <si>
    <t>FED F/C</t>
  </si>
  <si>
    <t>miles</t>
  </si>
  <si>
    <t>AADT Year</t>
  </si>
  <si>
    <t>Truck AADT Year</t>
  </si>
  <si>
    <t>Community facility</t>
  </si>
  <si>
    <t>Commercial facility</t>
  </si>
  <si>
    <t>Construction or industrial materials processing</t>
  </si>
  <si>
    <t>Storage or handling facitity</t>
  </si>
  <si>
    <t>Prop. Damage only</t>
  </si>
  <si>
    <t>Bridge Replacement Structural Condition ( 25 Points Max.)</t>
  </si>
  <si>
    <t>Horizontal Points</t>
  </si>
  <si>
    <t>Miles from project (&gt;0)</t>
  </si>
  <si>
    <r>
      <t xml:space="preserve">% </t>
    </r>
    <r>
      <rPr>
        <b/>
        <sz val="8"/>
        <rFont val="MS Sans Serif"/>
        <family val="2"/>
      </rPr>
      <t>Grade</t>
    </r>
  </si>
  <si>
    <t>=</t>
  </si>
  <si>
    <t>Structural Rating 
For Bridge Rehab.</t>
  </si>
  <si>
    <t xml:space="preserve">(100 - Sufficiency Rating)    </t>
  </si>
  <si>
    <t>Sufficiancy Rating For 
Bridge Replacement:</t>
  </si>
  <si>
    <t>Total lane width, both sides</t>
  </si>
  <si>
    <t>miles in 1 / 100s</t>
  </si>
  <si>
    <t>Project Length</t>
  </si>
  <si>
    <t>Community subtotal</t>
  </si>
  <si>
    <t>Commercial subtotal</t>
  </si>
  <si>
    <t>Total Local SignificancePoints:</t>
  </si>
  <si>
    <t>LOCAL SIGNIFICANCE</t>
  </si>
  <si>
    <t xml:space="preserve">Year  </t>
  </si>
  <si>
    <t>measured</t>
  </si>
  <si>
    <t>PS Region</t>
  </si>
  <si>
    <r>
      <t>BR</t>
    </r>
    <r>
      <rPr>
        <b/>
        <sz val="12"/>
        <rFont val="MS Sans Serif"/>
        <family val="2"/>
      </rPr>
      <t xml:space="preserve"> PROJECT SUBMITTAL</t>
    </r>
  </si>
  <si>
    <t>BRIDGE RATING SUMMARY:</t>
  </si>
  <si>
    <t>(Click on underlined text to input project data)</t>
  </si>
  <si>
    <t>(assigned)</t>
  </si>
  <si>
    <t>BR Replacement Proposals below design standards require WSDOT deviation approval.</t>
  </si>
  <si>
    <t>% Grade for Rating</t>
  </si>
  <si>
    <t>Bridge Replacement</t>
  </si>
  <si>
    <t>Score for Replacement</t>
  </si>
  <si>
    <t>Score for Rehabilitation</t>
  </si>
  <si>
    <t>Fill out the BR Rehab. Worksheet</t>
  </si>
  <si>
    <t>Suff. Rating</t>
  </si>
  <si>
    <t>Width Points</t>
  </si>
  <si>
    <t>Standard:</t>
  </si>
  <si>
    <t>Calc.</t>
  </si>
  <si>
    <t>Not Used For Bridge Proposals</t>
  </si>
  <si>
    <t>Use the last three 
full years' reports</t>
  </si>
  <si>
    <r>
      <rPr>
        <b/>
        <sz val="14"/>
        <color indexed="12"/>
        <rFont val="MS Sans Serif"/>
      </rPr>
      <t xml:space="preserve">&lt;  </t>
    </r>
    <r>
      <rPr>
        <b/>
        <sz val="12"/>
        <color indexed="12"/>
        <rFont val="MS Sans Serif"/>
      </rPr>
      <t xml:space="preserve">     </t>
    </r>
    <r>
      <rPr>
        <b/>
        <sz val="12"/>
        <color rgb="FFFF0000"/>
        <rFont val="MS Sans Serif"/>
      </rPr>
      <t>OR</t>
    </r>
    <r>
      <rPr>
        <b/>
        <sz val="12"/>
        <color indexed="12"/>
        <rFont val="MS Sans Serif"/>
      </rPr>
      <t xml:space="preserve">    </t>
    </r>
    <r>
      <rPr>
        <b/>
        <sz val="14"/>
        <color indexed="12"/>
        <rFont val="MS Sans Serif"/>
      </rPr>
      <t xml:space="preserve">   &gt;</t>
    </r>
  </si>
  <si>
    <t>crabrules</t>
  </si>
  <si>
    <t>(Maximum 25 points)</t>
  </si>
  <si>
    <t>(maximum 25 points)</t>
  </si>
  <si>
    <t>Structural 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</si>
</sst>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
    <numFmt numFmtId="166" formatCode="yyyy"/>
  </numFmts>
  <fonts count="80" x14ac:knownFonts="1">
    <font>
      <sz val="10"/>
      <name val="MS Sans Serif"/>
    </font>
    <font>
      <b/>
      <sz val="10"/>
      <name val="MS Sans Serif"/>
    </font>
    <font>
      <sz val="10"/>
      <name val="MS Sans Serif"/>
      <family val="2"/>
    </font>
    <font>
      <u/>
      <sz val="10"/>
      <name val="MS Sans Serif"/>
      <family val="2"/>
    </font>
    <font>
      <u/>
      <sz val="10"/>
      <name val="Arial"/>
      <family val="2"/>
    </font>
    <font>
      <sz val="10"/>
      <name val="Arial"/>
      <family val="2"/>
    </font>
    <font>
      <b/>
      <u/>
      <sz val="10"/>
      <name val="MS Sans Serif"/>
      <family val="2"/>
    </font>
    <font>
      <u/>
      <sz val="10"/>
      <name val="MS Sans Serif"/>
      <family val="2"/>
    </font>
    <font>
      <b/>
      <sz val="10"/>
      <name val="MS Sans Serif"/>
      <family val="2"/>
    </font>
    <font>
      <sz val="10"/>
      <name val="MS Sans Serif"/>
      <family val="2"/>
    </font>
    <font>
      <b/>
      <sz val="18"/>
      <name val="MS Sans Serif"/>
      <family val="2"/>
    </font>
    <font>
      <b/>
      <sz val="10"/>
      <name val="Arial"/>
      <family val="2"/>
    </font>
    <font>
      <b/>
      <sz val="10"/>
      <color indexed="61"/>
      <name val="MS Sans Serif"/>
      <family val="2"/>
    </font>
    <font>
      <sz val="10"/>
      <color indexed="61"/>
      <name val="MS Sans Serif"/>
      <family val="2"/>
    </font>
    <font>
      <sz val="10"/>
      <name val="Arial"/>
      <family val="2"/>
    </font>
    <font>
      <sz val="12"/>
      <name val="MS Sans Serif"/>
      <family val="2"/>
    </font>
    <font>
      <sz val="8"/>
      <color indexed="81"/>
      <name val="Tahoma"/>
      <family val="2"/>
    </font>
    <font>
      <sz val="10"/>
      <color indexed="10"/>
      <name val="MS Sans Serif"/>
      <family val="2"/>
    </font>
    <font>
      <sz val="10"/>
      <name val="MS Sans Serif"/>
      <family val="2"/>
    </font>
    <font>
      <b/>
      <sz val="8"/>
      <name val="MS Sans Serif"/>
      <family val="2"/>
    </font>
    <font>
      <sz val="8"/>
      <name val="MS Sans Serif"/>
      <family val="2"/>
    </font>
    <font>
      <b/>
      <u/>
      <sz val="8"/>
      <name val="MS Sans Serif"/>
      <family val="2"/>
    </font>
    <font>
      <b/>
      <sz val="10"/>
      <color indexed="10"/>
      <name val="MS Sans Serif"/>
      <family val="2"/>
    </font>
    <font>
      <b/>
      <sz val="10"/>
      <color indexed="14"/>
      <name val="MS Sans Serif"/>
      <family val="2"/>
    </font>
    <font>
      <b/>
      <u/>
      <sz val="10"/>
      <color indexed="14"/>
      <name val="Arial"/>
      <family val="2"/>
    </font>
    <font>
      <sz val="8"/>
      <name val="Arial"/>
      <family val="2"/>
    </font>
    <font>
      <u/>
      <sz val="8"/>
      <name val="Arial"/>
      <family val="2"/>
    </font>
    <font>
      <b/>
      <sz val="10"/>
      <color indexed="14"/>
      <name val="Arial"/>
      <family val="2"/>
    </font>
    <font>
      <b/>
      <sz val="8"/>
      <name val="Arial"/>
      <family val="2"/>
    </font>
    <font>
      <sz val="10"/>
      <color indexed="14"/>
      <name val="MS Sans Serif"/>
      <family val="2"/>
    </font>
    <font>
      <sz val="8"/>
      <name val="MS Sans Serif"/>
      <family val="2"/>
    </font>
    <font>
      <u/>
      <sz val="8"/>
      <name val="MS Sans Serif"/>
      <family val="2"/>
    </font>
    <font>
      <sz val="8.5"/>
      <name val="MS Sans Serif"/>
      <family val="2"/>
    </font>
    <font>
      <b/>
      <sz val="8"/>
      <color indexed="14"/>
      <name val="MS Sans Serif"/>
      <family val="2"/>
    </font>
    <font>
      <b/>
      <sz val="10"/>
      <color indexed="10"/>
      <name val="MS Sans Serif"/>
      <family val="2"/>
    </font>
    <font>
      <u/>
      <sz val="7.5"/>
      <color indexed="12"/>
      <name val="MS Sans Serif"/>
      <family val="2"/>
    </font>
    <font>
      <b/>
      <sz val="10"/>
      <color indexed="11"/>
      <name val="MS Sans Serif"/>
      <family val="2"/>
    </font>
    <font>
      <sz val="14"/>
      <name val="Courier New"/>
      <family val="3"/>
    </font>
    <font>
      <sz val="12"/>
      <name val="Arial"/>
      <family val="2"/>
    </font>
    <font>
      <b/>
      <sz val="12"/>
      <name val="Arial"/>
      <family val="2"/>
    </font>
    <font>
      <i/>
      <sz val="12"/>
      <name val="Arial"/>
      <family val="2"/>
    </font>
    <font>
      <sz val="10"/>
      <color indexed="9"/>
      <name val="Arial"/>
      <family val="2"/>
    </font>
    <font>
      <u/>
      <sz val="10"/>
      <name val="Arial"/>
      <family val="2"/>
    </font>
    <font>
      <sz val="10"/>
      <color indexed="9"/>
      <name val="MS Sans Serif"/>
      <family val="2"/>
    </font>
    <font>
      <b/>
      <sz val="8"/>
      <color indexed="10"/>
      <name val="MS Sans Serif"/>
      <family val="2"/>
    </font>
    <font>
      <b/>
      <u/>
      <sz val="10"/>
      <color indexed="12"/>
      <name val="MS Sans Serif"/>
      <family val="2"/>
    </font>
    <font>
      <b/>
      <u/>
      <sz val="10"/>
      <color indexed="12"/>
      <name val="MS Sans Serif"/>
      <family val="2"/>
    </font>
    <font>
      <u/>
      <sz val="8"/>
      <name val="MS Sans Serif"/>
      <family val="2"/>
    </font>
    <font>
      <b/>
      <u/>
      <sz val="12"/>
      <color indexed="10"/>
      <name val="MS Sans Serif"/>
      <family val="2"/>
    </font>
    <font>
      <sz val="6"/>
      <name val="MS Sans Serif"/>
      <family val="2"/>
    </font>
    <font>
      <b/>
      <u/>
      <sz val="8"/>
      <name val="Arial"/>
      <family val="2"/>
    </font>
    <font>
      <sz val="10"/>
      <name val="MS Sans Serif"/>
      <family val="2"/>
    </font>
    <font>
      <b/>
      <sz val="14"/>
      <name val="MS Sans Serif"/>
      <family val="2"/>
    </font>
    <font>
      <b/>
      <u/>
      <sz val="8"/>
      <name val="MS Sans Serif"/>
      <family val="2"/>
    </font>
    <font>
      <b/>
      <sz val="8"/>
      <color indexed="81"/>
      <name val="Tahoma"/>
      <family val="2"/>
    </font>
    <font>
      <sz val="6"/>
      <color indexed="14"/>
      <name val="MS Sans Serif"/>
      <family val="2"/>
    </font>
    <font>
      <sz val="10"/>
      <color indexed="47"/>
      <name val="MS Sans Serif"/>
      <family val="2"/>
    </font>
    <font>
      <u/>
      <sz val="10"/>
      <color indexed="47"/>
      <name val="MS Sans Serif"/>
      <family val="2"/>
    </font>
    <font>
      <sz val="9"/>
      <name val="MS Sans Serif"/>
      <family val="2"/>
    </font>
    <font>
      <sz val="10"/>
      <name val="MS Sans Serif"/>
      <family val="2"/>
    </font>
    <font>
      <u/>
      <sz val="10"/>
      <color indexed="12"/>
      <name val="MS Sans Serif"/>
      <family val="2"/>
    </font>
    <font>
      <b/>
      <sz val="12"/>
      <color indexed="10"/>
      <name val="MS Sans Serif"/>
      <family val="2"/>
    </font>
    <font>
      <b/>
      <u/>
      <sz val="10"/>
      <color indexed="12"/>
      <name val="MS Sans Serif"/>
    </font>
    <font>
      <sz val="12"/>
      <color rgb="FFFF0000"/>
      <name val="MS Sans Serif"/>
      <family val="2"/>
    </font>
    <font>
      <sz val="10"/>
      <name val="MS Sans Serif"/>
    </font>
    <font>
      <sz val="10"/>
      <color theme="0"/>
      <name val="MS Sans Serif"/>
      <family val="2"/>
    </font>
    <font>
      <u/>
      <sz val="12"/>
      <name val="MS Sans Serif"/>
      <family val="2"/>
    </font>
    <font>
      <b/>
      <u/>
      <sz val="7.5"/>
      <color indexed="12"/>
      <name val="MS Sans Serif"/>
    </font>
    <font>
      <b/>
      <sz val="12"/>
      <name val="MS Sans Serif"/>
      <family val="2"/>
    </font>
    <font>
      <sz val="10"/>
      <color theme="0" tint="-0.14999847407452621"/>
      <name val="Arial"/>
      <family val="2"/>
    </font>
    <font>
      <b/>
      <sz val="14"/>
      <color indexed="12"/>
      <name val="Arial"/>
      <family val="2"/>
    </font>
    <font>
      <b/>
      <sz val="12"/>
      <color indexed="12"/>
      <name val="MS Sans Serif"/>
    </font>
    <font>
      <sz val="8"/>
      <name val="MS Sans Serif"/>
    </font>
    <font>
      <sz val="12"/>
      <name val="MS Sans Serif"/>
    </font>
    <font>
      <b/>
      <sz val="8"/>
      <color rgb="FFFF0000"/>
      <name val="MS Sans Serif"/>
    </font>
    <font>
      <b/>
      <sz val="14"/>
      <color indexed="12"/>
      <name val="MS Sans Serif"/>
    </font>
    <font>
      <b/>
      <sz val="12"/>
      <color rgb="FFFF0000"/>
      <name val="MS Sans Serif"/>
    </font>
    <font>
      <b/>
      <u/>
      <sz val="8"/>
      <color indexed="12"/>
      <name val="MS Sans Serif"/>
      <family val="2"/>
    </font>
    <font>
      <b/>
      <sz val="10"/>
      <color rgb="FFFF0000"/>
      <name val="MS Sans Serif"/>
    </font>
    <font>
      <b/>
      <sz val="10"/>
      <color rgb="FFFF0000"/>
      <name val="Arial"/>
      <family val="2"/>
    </font>
  </fonts>
  <fills count="9">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26"/>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s>
  <borders count="3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4"/>
      </left>
      <right style="medium">
        <color indexed="14"/>
      </right>
      <top style="medium">
        <color indexed="14"/>
      </top>
      <bottom style="medium">
        <color indexed="14"/>
      </bottom>
      <diagonal/>
    </border>
    <border>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right/>
      <top style="thin">
        <color indexed="64"/>
      </top>
      <bottom style="thin">
        <color indexed="6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ck">
        <color rgb="FF7030A0"/>
      </left>
      <right style="thick">
        <color rgb="FF7030A0"/>
      </right>
      <top style="thick">
        <color rgb="FF7030A0"/>
      </top>
      <bottom style="thick">
        <color rgb="FF7030A0"/>
      </bottom>
      <diagonal/>
    </border>
    <border>
      <left style="thin">
        <color indexed="64"/>
      </left>
      <right style="thin">
        <color indexed="64"/>
      </right>
      <top style="thick">
        <color indexed="64"/>
      </top>
      <bottom style="thin">
        <color indexed="64"/>
      </bottom>
      <diagonal/>
    </border>
    <border>
      <left/>
      <right/>
      <top/>
      <bottom style="double">
        <color auto="1"/>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4">
    <xf numFmtId="0" fontId="0" fillId="0" borderId="0"/>
    <xf numFmtId="0" fontId="35" fillId="0" borderId="0" applyNumberFormat="0" applyFill="0" applyBorder="0" applyAlignment="0" applyProtection="0">
      <alignment vertical="top"/>
      <protection locked="0"/>
    </xf>
    <xf numFmtId="0" fontId="14" fillId="0" borderId="0"/>
    <xf numFmtId="9" fontId="2" fillId="0" borderId="0" applyFont="0" applyFill="0" applyBorder="0" applyAlignment="0" applyProtection="0"/>
  </cellStyleXfs>
  <cellXfs count="543">
    <xf numFmtId="0" fontId="0" fillId="0" borderId="0" xfId="0"/>
    <xf numFmtId="0" fontId="0" fillId="0" borderId="0" xfId="0" applyAlignment="1">
      <alignment horizontal="left"/>
    </xf>
    <xf numFmtId="0" fontId="0" fillId="0" borderId="0" xfId="0" applyAlignment="1">
      <alignment horizontal="right"/>
    </xf>
    <xf numFmtId="0" fontId="38" fillId="0" borderId="0" xfId="0" applyFont="1"/>
    <xf numFmtId="0" fontId="40" fillId="3" borderId="0" xfId="0" applyFont="1" applyFill="1"/>
    <xf numFmtId="0" fontId="38" fillId="3" borderId="0" xfId="0" applyFont="1" applyFill="1"/>
    <xf numFmtId="0" fontId="14" fillId="0" borderId="0" xfId="0" applyFont="1"/>
    <xf numFmtId="0" fontId="14" fillId="0" borderId="12" xfId="2" applyBorder="1" applyAlignment="1">
      <alignment horizontal="center"/>
    </xf>
    <xf numFmtId="0" fontId="14" fillId="0" borderId="4" xfId="2" applyBorder="1" applyAlignment="1">
      <alignment horizontal="center"/>
    </xf>
    <xf numFmtId="0" fontId="14" fillId="4" borderId="13" xfId="2" applyFill="1" applyBorder="1" applyAlignment="1" applyProtection="1">
      <alignment horizontal="center"/>
      <protection locked="0"/>
    </xf>
    <xf numFmtId="0" fontId="14" fillId="4" borderId="13" xfId="2" applyFont="1" applyFill="1" applyBorder="1" applyAlignment="1" applyProtection="1">
      <alignment horizontal="center"/>
      <protection locked="0"/>
    </xf>
    <xf numFmtId="2" fontId="5" fillId="0" borderId="0" xfId="0" applyNumberFormat="1" applyFont="1" applyFill="1" applyBorder="1" applyAlignment="1">
      <alignment horizontal="center"/>
    </xf>
    <xf numFmtId="0" fontId="0" fillId="4" borderId="4" xfId="0" applyFill="1" applyBorder="1" applyAlignment="1" applyProtection="1">
      <alignment horizontal="center"/>
      <protection locked="0"/>
    </xf>
    <xf numFmtId="2" fontId="0" fillId="4" borderId="4" xfId="0" applyNumberFormat="1" applyFill="1" applyBorder="1" applyAlignment="1" applyProtection="1">
      <alignment horizontal="center"/>
      <protection locked="0"/>
    </xf>
    <xf numFmtId="165" fontId="5" fillId="0" borderId="0" xfId="0" applyNumberFormat="1" applyFont="1" applyFill="1" applyBorder="1" applyAlignment="1" applyProtection="1">
      <alignment horizontal="center"/>
    </xf>
    <xf numFmtId="0" fontId="0" fillId="0" borderId="0" xfId="0" applyFill="1" applyProtection="1"/>
    <xf numFmtId="0" fontId="0" fillId="0" borderId="0" xfId="0" applyFill="1" applyAlignment="1" applyProtection="1">
      <alignment horizontal="center"/>
    </xf>
    <xf numFmtId="166" fontId="17" fillId="0" borderId="0" xfId="0" applyNumberFormat="1" applyFont="1" applyFill="1" applyBorder="1" applyAlignment="1" applyProtection="1">
      <alignment horizontal="center"/>
    </xf>
    <xf numFmtId="0" fontId="45" fillId="0" borderId="0" xfId="1" applyFont="1" applyFill="1" applyBorder="1" applyAlignment="1" applyProtection="1">
      <alignment horizontal="left"/>
    </xf>
    <xf numFmtId="0" fontId="30" fillId="0" borderId="0" xfId="0" applyFont="1" applyFill="1" applyBorder="1" applyAlignment="1" applyProtection="1">
      <alignment horizontal="left"/>
    </xf>
    <xf numFmtId="0" fontId="20" fillId="0" borderId="0" xfId="0" applyFont="1" applyFill="1" applyBorder="1" applyAlignment="1" applyProtection="1">
      <alignment horizontal="left"/>
    </xf>
    <xf numFmtId="0" fontId="47" fillId="0" borderId="0" xfId="0" applyFont="1" applyFill="1" applyBorder="1" applyAlignment="1" applyProtection="1">
      <alignment horizontal="left"/>
    </xf>
    <xf numFmtId="0" fontId="25" fillId="0" borderId="0" xfId="0" applyFont="1" applyFill="1" applyBorder="1" applyProtection="1"/>
    <xf numFmtId="9" fontId="0" fillId="0" borderId="0" xfId="3" applyFont="1" applyFill="1" applyBorder="1" applyAlignment="1" applyProtection="1">
      <alignment horizontal="left"/>
    </xf>
    <xf numFmtId="9" fontId="3" fillId="0" borderId="0" xfId="3" applyFont="1" applyFill="1" applyBorder="1" applyAlignment="1" applyProtection="1">
      <alignment horizontal="left"/>
    </xf>
    <xf numFmtId="0" fontId="34" fillId="0" borderId="4" xfId="0" applyFont="1" applyFill="1" applyBorder="1" applyAlignment="1" applyProtection="1">
      <alignment horizontal="center"/>
    </xf>
    <xf numFmtId="0" fontId="34" fillId="0" borderId="0" xfId="0" applyFont="1" applyFill="1" applyBorder="1" applyAlignment="1" applyProtection="1">
      <alignment horizontal="center"/>
    </xf>
    <xf numFmtId="0" fontId="34" fillId="0" borderId="4" xfId="0" quotePrefix="1" applyFont="1" applyFill="1" applyBorder="1" applyAlignment="1" applyProtection="1">
      <alignment horizontal="center"/>
    </xf>
    <xf numFmtId="0" fontId="5" fillId="0" borderId="0" xfId="0" applyFont="1" applyFill="1" applyBorder="1" applyAlignment="1" applyProtection="1">
      <alignment horizontal="left"/>
    </xf>
    <xf numFmtId="0" fontId="18" fillId="0" borderId="0" xfId="0" applyFont="1" applyFill="1" applyAlignment="1">
      <alignment horizontal="left"/>
    </xf>
    <xf numFmtId="0" fontId="0" fillId="0" borderId="0" xfId="0" applyFill="1" applyAlignment="1" applyProtection="1">
      <alignment horizontal="left"/>
    </xf>
    <xf numFmtId="0" fontId="0" fillId="0" borderId="0" xfId="0" applyFill="1" applyBorder="1" applyAlignment="1" applyProtection="1">
      <alignment horizontal="left"/>
    </xf>
    <xf numFmtId="0" fontId="0" fillId="0" borderId="4" xfId="0" applyFill="1" applyBorder="1" applyAlignment="1" applyProtection="1">
      <alignment horizontal="center"/>
    </xf>
    <xf numFmtId="0" fontId="9" fillId="0" borderId="0" xfId="0" applyFont="1" applyFill="1" applyBorder="1" applyAlignment="1" applyProtection="1">
      <alignment horizontal="right"/>
    </xf>
    <xf numFmtId="0" fontId="9" fillId="0" borderId="0" xfId="0" applyFont="1" applyFill="1" applyBorder="1" applyAlignment="1" applyProtection="1">
      <alignment horizontal="center"/>
    </xf>
    <xf numFmtId="0" fontId="0" fillId="0" borderId="0" xfId="0" applyBorder="1" applyProtection="1"/>
    <xf numFmtId="2" fontId="0" fillId="0" borderId="4" xfId="0" applyNumberFormat="1" applyFill="1" applyBorder="1" applyAlignment="1" applyProtection="1">
      <alignment horizontal="center"/>
    </xf>
    <xf numFmtId="0" fontId="30" fillId="0" borderId="0" xfId="0" applyFont="1" applyFill="1" applyBorder="1" applyProtection="1"/>
    <xf numFmtId="0" fontId="30" fillId="0" borderId="0" xfId="0" applyFont="1" applyFill="1" applyBorder="1" applyAlignment="1" applyProtection="1">
      <alignment horizontal="right"/>
    </xf>
    <xf numFmtId="0" fontId="0" fillId="0" borderId="0" xfId="0" applyFill="1" applyBorder="1" applyProtection="1"/>
    <xf numFmtId="49" fontId="0" fillId="0" borderId="0" xfId="0" applyNumberFormat="1" applyFill="1" applyAlignment="1" applyProtection="1">
      <alignment horizontal="center"/>
    </xf>
    <xf numFmtId="49" fontId="0" fillId="0" borderId="0" xfId="0" applyNumberFormat="1" applyFill="1" applyAlignment="1" applyProtection="1">
      <alignment horizontal="left"/>
    </xf>
    <xf numFmtId="49" fontId="0" fillId="0" borderId="0" xfId="0" applyNumberFormat="1" applyFill="1" applyProtection="1"/>
    <xf numFmtId="0" fontId="0" fillId="0" borderId="7" xfId="0" applyFill="1" applyBorder="1" applyAlignment="1" applyProtection="1"/>
    <xf numFmtId="0" fontId="0" fillId="0" borderId="0" xfId="0" applyFill="1" applyBorder="1" applyAlignment="1" applyProtection="1"/>
    <xf numFmtId="0" fontId="0" fillId="0" borderId="7" xfId="0" applyFill="1" applyBorder="1" applyAlignment="1" applyProtection="1">
      <alignment horizontal="left"/>
    </xf>
    <xf numFmtId="0" fontId="46" fillId="0" borderId="0" xfId="1" applyFont="1" applyFill="1" applyBorder="1" applyAlignment="1" applyProtection="1"/>
    <xf numFmtId="0" fontId="49" fillId="0" borderId="0" xfId="0" quotePrefix="1" applyFont="1" applyFill="1" applyBorder="1" applyAlignment="1" applyProtection="1">
      <alignment horizontal="center" vertical="center"/>
    </xf>
    <xf numFmtId="2" fontId="0" fillId="0" borderId="0" xfId="0" applyNumberFormat="1" applyFill="1" applyBorder="1" applyAlignment="1" applyProtection="1">
      <alignment horizontal="center"/>
    </xf>
    <xf numFmtId="0" fontId="49" fillId="0" borderId="0" xfId="0" quotePrefix="1" applyFont="1" applyFill="1" applyBorder="1" applyAlignment="1" applyProtection="1">
      <alignment horizontal="center" vertical="top"/>
    </xf>
    <xf numFmtId="1" fontId="5" fillId="0" borderId="0" xfId="0" applyNumberFormat="1" applyFont="1" applyFill="1" applyBorder="1" applyAlignment="1" applyProtection="1">
      <alignment horizontal="center"/>
    </xf>
    <xf numFmtId="0" fontId="9" fillId="0" borderId="4" xfId="0" applyFont="1" applyFill="1" applyBorder="1" applyAlignment="1" applyProtection="1">
      <alignment horizontal="center"/>
    </xf>
    <xf numFmtId="0" fontId="0" fillId="0" borderId="0" xfId="0" applyFill="1" applyBorder="1" applyAlignment="1" applyProtection="1">
      <alignment horizontal="right"/>
    </xf>
    <xf numFmtId="0" fontId="8" fillId="0" borderId="0" xfId="0" applyFont="1" applyFill="1" applyBorder="1" applyProtection="1"/>
    <xf numFmtId="0" fontId="26" fillId="0" borderId="1" xfId="0" applyFont="1" applyBorder="1" applyAlignment="1" applyProtection="1">
      <alignment horizontal="center"/>
    </xf>
    <xf numFmtId="0" fontId="53" fillId="0" borderId="0" xfId="0" applyFont="1" applyFill="1" applyBorder="1" applyAlignment="1" applyProtection="1">
      <alignment horizontal="left"/>
    </xf>
    <xf numFmtId="0" fontId="46" fillId="0" borderId="0" xfId="1" applyFont="1" applyFill="1" applyBorder="1" applyAlignment="1" applyProtection="1">
      <alignment horizontal="center"/>
    </xf>
    <xf numFmtId="0" fontId="44" fillId="0" borderId="0" xfId="0" applyFont="1" applyFill="1" applyBorder="1" applyAlignment="1" applyProtection="1">
      <alignment horizontal="left"/>
    </xf>
    <xf numFmtId="0" fontId="28" fillId="0" borderId="0" xfId="0" applyFont="1" applyFill="1" applyBorder="1" applyProtection="1"/>
    <xf numFmtId="0" fontId="58" fillId="0" borderId="0" xfId="0" applyFont="1" applyFill="1" applyAlignment="1" applyProtection="1">
      <alignment horizontal="left"/>
    </xf>
    <xf numFmtId="0" fontId="14" fillId="0" borderId="6" xfId="2" applyBorder="1"/>
    <xf numFmtId="0" fontId="11" fillId="0" borderId="7" xfId="2" applyFont="1" applyBorder="1" applyAlignment="1">
      <alignment horizontal="center"/>
    </xf>
    <xf numFmtId="0" fontId="11" fillId="0" borderId="8" xfId="2" applyFont="1" applyBorder="1" applyAlignment="1">
      <alignment horizontal="center"/>
    </xf>
    <xf numFmtId="0" fontId="14" fillId="0" borderId="2" xfId="2" applyBorder="1"/>
    <xf numFmtId="0" fontId="14" fillId="0" borderId="0" xfId="2" applyBorder="1" applyAlignment="1">
      <alignment horizontal="center"/>
    </xf>
    <xf numFmtId="0" fontId="14" fillId="0" borderId="0" xfId="2" applyBorder="1"/>
    <xf numFmtId="0" fontId="14" fillId="0" borderId="3" xfId="2" applyBorder="1"/>
    <xf numFmtId="0" fontId="14" fillId="0" borderId="2" xfId="2" applyBorder="1" applyAlignment="1">
      <alignment horizontal="center"/>
    </xf>
    <xf numFmtId="0" fontId="4" fillId="0" borderId="0" xfId="2" applyFont="1" applyBorder="1" applyAlignment="1">
      <alignment horizontal="center"/>
    </xf>
    <xf numFmtId="0" fontId="4" fillId="0" borderId="0" xfId="2" applyFont="1" applyBorder="1"/>
    <xf numFmtId="0" fontId="14" fillId="0" borderId="0" xfId="2" applyBorder="1" applyAlignment="1">
      <alignment horizontal="right"/>
    </xf>
    <xf numFmtId="0" fontId="4" fillId="0" borderId="3" xfId="2" applyFont="1" applyBorder="1"/>
    <xf numFmtId="0" fontId="4" fillId="0" borderId="2" xfId="2" applyFont="1" applyBorder="1" applyAlignment="1">
      <alignment horizontal="left"/>
    </xf>
    <xf numFmtId="0" fontId="4" fillId="0" borderId="0" xfId="2" applyFont="1" applyBorder="1" applyAlignment="1">
      <alignment horizontal="right"/>
    </xf>
    <xf numFmtId="0" fontId="42" fillId="0" borderId="0" xfId="2" applyFont="1" applyBorder="1" applyAlignment="1">
      <alignment horizontal="center"/>
    </xf>
    <xf numFmtId="0" fontId="42" fillId="0" borderId="3" xfId="2" applyFont="1" applyBorder="1" applyAlignment="1">
      <alignment horizontal="center"/>
    </xf>
    <xf numFmtId="0" fontId="41" fillId="0" borderId="0" xfId="2" applyFont="1" applyBorder="1" applyAlignment="1">
      <alignment horizontal="center"/>
    </xf>
    <xf numFmtId="0" fontId="14" fillId="0" borderId="3" xfId="2" applyBorder="1" applyAlignment="1">
      <alignment horizontal="center"/>
    </xf>
    <xf numFmtId="0" fontId="14" fillId="0" borderId="15" xfId="2" applyBorder="1" applyAlignment="1">
      <alignment horizontal="center"/>
    </xf>
    <xf numFmtId="0" fontId="14" fillId="0" borderId="0" xfId="2" applyFont="1" applyBorder="1" applyAlignment="1">
      <alignment horizontal="right"/>
    </xf>
    <xf numFmtId="0" fontId="14" fillId="0" borderId="9" xfId="2" applyBorder="1"/>
    <xf numFmtId="0" fontId="14" fillId="0" borderId="1" xfId="2" applyBorder="1"/>
    <xf numFmtId="0" fontId="14" fillId="0" borderId="5" xfId="2" applyBorder="1"/>
    <xf numFmtId="0" fontId="14" fillId="0" borderId="7" xfId="2" applyBorder="1"/>
    <xf numFmtId="0" fontId="14" fillId="0" borderId="8" xfId="2" applyBorder="1"/>
    <xf numFmtId="0" fontId="41" fillId="0" borderId="3" xfId="2" applyFont="1" applyBorder="1" applyAlignment="1">
      <alignment horizontal="center"/>
    </xf>
    <xf numFmtId="0" fontId="11" fillId="0" borderId="6" xfId="2" applyFont="1" applyBorder="1" applyAlignment="1">
      <alignment horizontal="center"/>
    </xf>
    <xf numFmtId="0" fontId="4" fillId="0" borderId="2" xfId="2" applyFont="1" applyBorder="1" applyAlignment="1">
      <alignment horizontal="center"/>
    </xf>
    <xf numFmtId="0" fontId="14" fillId="0" borderId="3" xfId="2" applyFont="1" applyBorder="1" applyAlignment="1">
      <alignment horizontal="center"/>
    </xf>
    <xf numFmtId="0" fontId="14" fillId="0" borderId="15" xfId="2" applyFont="1" applyBorder="1" applyAlignment="1">
      <alignment horizontal="center"/>
    </xf>
    <xf numFmtId="16" fontId="14" fillId="0" borderId="2" xfId="2" quotePrefix="1" applyNumberFormat="1" applyBorder="1" applyAlignment="1">
      <alignment horizontal="center"/>
    </xf>
    <xf numFmtId="0" fontId="14" fillId="0" borderId="2" xfId="2" quotePrefix="1" applyBorder="1" applyAlignment="1">
      <alignment horizontal="center"/>
    </xf>
    <xf numFmtId="0" fontId="25" fillId="0" borderId="2" xfId="2" applyFont="1" applyBorder="1"/>
    <xf numFmtId="0" fontId="0" fillId="0" borderId="17" xfId="0" applyFill="1" applyBorder="1" applyProtection="1"/>
    <xf numFmtId="0" fontId="0" fillId="0" borderId="18" xfId="0" applyFill="1" applyBorder="1" applyProtection="1"/>
    <xf numFmtId="0" fontId="0" fillId="0" borderId="19" xfId="0" applyFill="1" applyBorder="1" applyProtection="1"/>
    <xf numFmtId="0" fontId="0" fillId="0" borderId="20" xfId="0" applyFill="1" applyBorder="1" applyProtection="1"/>
    <xf numFmtId="0" fontId="0" fillId="0" borderId="21" xfId="0" applyFill="1" applyBorder="1" applyProtection="1"/>
    <xf numFmtId="0" fontId="0" fillId="0" borderId="22" xfId="0" applyFill="1" applyBorder="1" applyProtection="1"/>
    <xf numFmtId="0" fontId="0" fillId="0" borderId="23" xfId="0" applyFill="1" applyBorder="1" applyProtection="1"/>
    <xf numFmtId="0" fontId="0" fillId="0" borderId="23" xfId="0" applyFill="1" applyBorder="1" applyAlignment="1" applyProtection="1">
      <alignment horizontal="center"/>
    </xf>
    <xf numFmtId="0" fontId="36" fillId="0" borderId="23" xfId="0" applyFont="1" applyFill="1" applyBorder="1" applyProtection="1"/>
    <xf numFmtId="0" fontId="0" fillId="0" borderId="23" xfId="0" applyFill="1" applyBorder="1" applyAlignment="1" applyProtection="1">
      <alignment horizontal="left"/>
    </xf>
    <xf numFmtId="0" fontId="0" fillId="0" borderId="21" xfId="0" applyFill="1" applyBorder="1" applyAlignment="1" applyProtection="1">
      <alignment horizontal="left"/>
    </xf>
    <xf numFmtId="0" fontId="7" fillId="0" borderId="21" xfId="0" applyFont="1" applyFill="1" applyBorder="1" applyAlignment="1" applyProtection="1">
      <alignment horizontal="left"/>
    </xf>
    <xf numFmtId="0" fontId="9" fillId="0" borderId="0" xfId="1" applyFont="1" applyFill="1" applyBorder="1" applyAlignment="1" applyProtection="1">
      <alignment horizontal="center"/>
    </xf>
    <xf numFmtId="0" fontId="5" fillId="0" borderId="0" xfId="0" applyFont="1" applyBorder="1" applyAlignment="1" applyProtection="1">
      <alignment horizontal="left"/>
    </xf>
    <xf numFmtId="0" fontId="0" fillId="0" borderId="24" xfId="0" applyFill="1" applyBorder="1" applyProtection="1"/>
    <xf numFmtId="0" fontId="22" fillId="0" borderId="0" xfId="0" applyFont="1" applyFill="1" applyBorder="1" applyAlignment="1" applyProtection="1">
      <alignment horizontal="right"/>
    </xf>
    <xf numFmtId="0" fontId="19" fillId="0" borderId="0" xfId="0" applyFont="1" applyFill="1" applyBorder="1" applyAlignment="1" applyProtection="1"/>
    <xf numFmtId="0" fontId="6" fillId="0" borderId="20" xfId="0" applyFont="1" applyFill="1" applyBorder="1" applyAlignment="1" applyProtection="1">
      <alignment textRotation="90"/>
    </xf>
    <xf numFmtId="0" fontId="20" fillId="0" borderId="21" xfId="0" applyFont="1" applyFill="1" applyBorder="1" applyAlignment="1" applyProtection="1">
      <alignment horizontal="left"/>
    </xf>
    <xf numFmtId="0" fontId="30" fillId="0" borderId="21" xfId="0" applyFont="1" applyFill="1" applyBorder="1" applyAlignment="1" applyProtection="1">
      <alignment horizontal="left"/>
    </xf>
    <xf numFmtId="0" fontId="19" fillId="0" borderId="0" xfId="0" applyFont="1" applyFill="1" applyBorder="1" applyAlignment="1" applyProtection="1">
      <alignment horizontal="left"/>
    </xf>
    <xf numFmtId="0" fontId="20" fillId="0" borderId="0" xfId="0" applyFont="1" applyFill="1" applyBorder="1" applyProtection="1"/>
    <xf numFmtId="0" fontId="31" fillId="0" borderId="0" xfId="0" applyFont="1" applyFill="1" applyBorder="1" applyAlignment="1" applyProtection="1">
      <alignment horizontal="center"/>
    </xf>
    <xf numFmtId="0" fontId="19" fillId="0" borderId="0" xfId="0" applyFont="1" applyFill="1" applyBorder="1" applyProtection="1"/>
    <xf numFmtId="0" fontId="47" fillId="0" borderId="21" xfId="0" applyFont="1" applyFill="1" applyBorder="1" applyAlignment="1" applyProtection="1">
      <alignment horizontal="left"/>
    </xf>
    <xf numFmtId="0" fontId="0" fillId="0" borderId="20" xfId="0" applyFill="1" applyBorder="1" applyAlignment="1" applyProtection="1">
      <alignment horizontal="center"/>
    </xf>
    <xf numFmtId="9" fontId="59" fillId="0" borderId="21" xfId="3" applyFont="1" applyFill="1" applyBorder="1" applyAlignment="1" applyProtection="1">
      <alignment horizontal="left"/>
    </xf>
    <xf numFmtId="9" fontId="17" fillId="0" borderId="21" xfId="3" applyFont="1" applyFill="1" applyBorder="1" applyAlignment="1" applyProtection="1">
      <alignment horizontal="left"/>
    </xf>
    <xf numFmtId="0" fontId="32" fillId="0" borderId="20" xfId="0" applyFont="1" applyFill="1" applyBorder="1" applyAlignment="1" applyProtection="1">
      <alignment horizontal="center"/>
    </xf>
    <xf numFmtId="9" fontId="0" fillId="0" borderId="0" xfId="0" applyNumberFormat="1" applyFill="1" applyBorder="1" applyAlignment="1" applyProtection="1">
      <alignment horizontal="left"/>
    </xf>
    <xf numFmtId="9" fontId="3" fillId="0" borderId="21" xfId="3" applyFont="1" applyFill="1" applyBorder="1" applyAlignment="1" applyProtection="1">
      <alignment horizontal="left"/>
    </xf>
    <xf numFmtId="0" fontId="30" fillId="0" borderId="23" xfId="0" applyFont="1" applyFill="1" applyBorder="1" applyProtection="1"/>
    <xf numFmtId="0" fontId="44" fillId="0" borderId="23" xfId="0" applyFont="1" applyFill="1" applyBorder="1" applyAlignment="1" applyProtection="1">
      <alignment horizontal="center"/>
    </xf>
    <xf numFmtId="0" fontId="0" fillId="0" borderId="18" xfId="0" applyFill="1" applyBorder="1" applyAlignment="1" applyProtection="1">
      <alignment horizontal="left"/>
    </xf>
    <xf numFmtId="0" fontId="0" fillId="0" borderId="18" xfId="0" applyFill="1" applyBorder="1" applyAlignment="1" applyProtection="1">
      <alignment horizontal="center"/>
    </xf>
    <xf numFmtId="0" fontId="0" fillId="0" borderId="20" xfId="0" applyFill="1" applyBorder="1" applyAlignment="1" applyProtection="1">
      <alignment horizontal="left"/>
    </xf>
    <xf numFmtId="2" fontId="43" fillId="0" borderId="0" xfId="0" applyNumberFormat="1" applyFont="1" applyFill="1" applyBorder="1" applyProtection="1"/>
    <xf numFmtId="1" fontId="0" fillId="0" borderId="23" xfId="0" applyNumberFormat="1" applyFill="1" applyBorder="1" applyAlignment="1" applyProtection="1">
      <alignment horizontal="left"/>
    </xf>
    <xf numFmtId="0" fontId="0" fillId="0" borderId="0" xfId="0" applyAlignment="1" applyProtection="1">
      <alignment horizontal="center"/>
    </xf>
    <xf numFmtId="0" fontId="0" fillId="0" borderId="0" xfId="0" applyAlignment="1" applyProtection="1">
      <alignment horizontal="right"/>
    </xf>
    <xf numFmtId="0" fontId="36" fillId="0" borderId="18" xfId="0" applyFont="1" applyFill="1" applyBorder="1" applyProtection="1"/>
    <xf numFmtId="0" fontId="5" fillId="4" borderId="13" xfId="2" applyFont="1" applyFill="1" applyBorder="1" applyAlignment="1" applyProtection="1">
      <alignment horizontal="center"/>
      <protection locked="0"/>
    </xf>
    <xf numFmtId="2" fontId="2" fillId="0" borderId="0" xfId="0" applyNumberFormat="1" applyFont="1" applyFill="1" applyBorder="1" applyAlignment="1" applyProtection="1">
      <alignment horizontal="center"/>
    </xf>
    <xf numFmtId="0" fontId="22" fillId="0" borderId="21" xfId="0" applyFont="1" applyFill="1" applyBorder="1" applyAlignment="1" applyProtection="1">
      <alignment horizontal="left"/>
    </xf>
    <xf numFmtId="0" fontId="0" fillId="0" borderId="0" xfId="0" applyBorder="1" applyAlignment="1" applyProtection="1">
      <alignment horizontal="center"/>
    </xf>
    <xf numFmtId="0" fontId="0" fillId="0" borderId="0" xfId="0" applyFill="1" applyBorder="1" applyAlignment="1" applyProtection="1">
      <alignment horizontal="center"/>
      <protection locked="0"/>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xf>
    <xf numFmtId="0" fontId="2" fillId="5" borderId="0" xfId="0" applyFont="1" applyFill="1" applyBorder="1" applyAlignment="1" applyProtection="1">
      <alignment horizontal="center"/>
    </xf>
    <xf numFmtId="0" fontId="0" fillId="5" borderId="0" xfId="0" applyFill="1" applyBorder="1" applyAlignment="1" applyProtection="1">
      <alignment horizontal="left"/>
    </xf>
    <xf numFmtId="0" fontId="2" fillId="5" borderId="0" xfId="0" applyFont="1" applyFill="1" applyBorder="1" applyAlignment="1" applyProtection="1">
      <alignment horizontal="left"/>
    </xf>
    <xf numFmtId="0" fontId="7" fillId="5" borderId="0" xfId="0" applyFont="1" applyFill="1" applyBorder="1" applyAlignment="1" applyProtection="1">
      <alignment horizontal="left"/>
    </xf>
    <xf numFmtId="0" fontId="3" fillId="5" borderId="0" xfId="0" applyFont="1" applyFill="1" applyBorder="1" applyAlignment="1" applyProtection="1">
      <alignment horizontal="left"/>
    </xf>
    <xf numFmtId="0" fontId="18" fillId="5" borderId="0" xfId="0" applyFont="1" applyFill="1" applyBorder="1" applyAlignment="1" applyProtection="1">
      <alignment horizontal="left"/>
    </xf>
    <xf numFmtId="0" fontId="18" fillId="5" borderId="0" xfId="0" applyFont="1" applyFill="1" applyProtection="1"/>
    <xf numFmtId="0" fontId="22" fillId="5" borderId="0" xfId="0" applyFont="1" applyFill="1" applyAlignment="1" applyProtection="1">
      <alignment horizontal="left"/>
    </xf>
    <xf numFmtId="0" fontId="1" fillId="5" borderId="0" xfId="0" applyFont="1" applyFill="1" applyAlignment="1" applyProtection="1">
      <alignment horizontal="left"/>
    </xf>
    <xf numFmtId="0" fontId="2" fillId="5" borderId="0" xfId="0" applyFont="1" applyFill="1" applyBorder="1" applyProtection="1"/>
    <xf numFmtId="0" fontId="0" fillId="6" borderId="0" xfId="0" applyFill="1" applyBorder="1" applyProtection="1"/>
    <xf numFmtId="0" fontId="2" fillId="6" borderId="0" xfId="0" applyFont="1" applyFill="1" applyBorder="1" applyProtection="1"/>
    <xf numFmtId="0" fontId="0" fillId="6" borderId="0" xfId="0" applyFill="1" applyProtection="1"/>
    <xf numFmtId="0" fontId="2" fillId="6" borderId="0" xfId="0" applyFont="1" applyFill="1" applyProtection="1"/>
    <xf numFmtId="0" fontId="30" fillId="6" borderId="0" xfId="0" applyFont="1" applyFill="1" applyBorder="1" applyAlignment="1" applyProtection="1">
      <alignment horizontal="left"/>
    </xf>
    <xf numFmtId="0" fontId="47" fillId="6" borderId="0" xfId="0" applyFont="1" applyFill="1" applyBorder="1" applyAlignment="1" applyProtection="1">
      <alignment horizontal="left"/>
    </xf>
    <xf numFmtId="0" fontId="51" fillId="6" borderId="0" xfId="0" applyFont="1" applyFill="1" applyProtection="1"/>
    <xf numFmtId="9" fontId="51" fillId="6" borderId="0" xfId="3" applyFont="1" applyFill="1" applyBorder="1" applyAlignment="1" applyProtection="1">
      <alignment horizontal="center"/>
    </xf>
    <xf numFmtId="9" fontId="43" fillId="6" borderId="0" xfId="3" applyFont="1" applyFill="1" applyBorder="1" applyAlignment="1" applyProtection="1">
      <alignment horizontal="center"/>
    </xf>
    <xf numFmtId="0" fontId="51" fillId="6" borderId="0" xfId="0" applyFont="1" applyFill="1" applyBorder="1" applyProtection="1"/>
    <xf numFmtId="9" fontId="64" fillId="0" borderId="0" xfId="3" applyFont="1" applyFill="1" applyBorder="1" applyAlignment="1" applyProtection="1">
      <alignment horizontal="left"/>
    </xf>
    <xf numFmtId="0" fontId="21" fillId="6" borderId="0" xfId="0" applyFont="1" applyFill="1" applyBorder="1" applyAlignment="1" applyProtection="1">
      <alignment horizontal="center"/>
    </xf>
    <xf numFmtId="0" fontId="20" fillId="6" borderId="0" xfId="0" applyFont="1" applyFill="1" applyBorder="1" applyAlignment="1" applyProtection="1">
      <alignment horizontal="center"/>
    </xf>
    <xf numFmtId="0" fontId="50" fillId="6" borderId="0" xfId="0" applyFont="1" applyFill="1" applyBorder="1" applyProtection="1"/>
    <xf numFmtId="0" fontId="0" fillId="6" borderId="0" xfId="0" applyFill="1" applyBorder="1" applyAlignment="1" applyProtection="1">
      <alignment horizontal="center"/>
    </xf>
    <xf numFmtId="0" fontId="5" fillId="6" borderId="0" xfId="0" applyFont="1" applyFill="1" applyBorder="1" applyAlignment="1" applyProtection="1">
      <alignment horizontal="center"/>
    </xf>
    <xf numFmtId="9" fontId="59" fillId="6" borderId="0" xfId="3" applyFont="1" applyFill="1" applyBorder="1" applyAlignment="1" applyProtection="1">
      <alignment horizontal="left"/>
    </xf>
    <xf numFmtId="9" fontId="17" fillId="6" borderId="0" xfId="3" applyFont="1" applyFill="1" applyBorder="1" applyAlignment="1" applyProtection="1">
      <alignment horizontal="left"/>
    </xf>
    <xf numFmtId="0" fontId="0" fillId="6" borderId="0" xfId="0" applyFill="1" applyBorder="1" applyAlignment="1" applyProtection="1">
      <alignment horizontal="right"/>
    </xf>
    <xf numFmtId="9" fontId="3" fillId="6" borderId="0" xfId="3" applyFont="1" applyFill="1" applyBorder="1" applyAlignment="1" applyProtection="1">
      <alignment horizontal="left"/>
    </xf>
    <xf numFmtId="0" fontId="65" fillId="0" borderId="0" xfId="0" applyFont="1" applyFill="1" applyBorder="1" applyProtection="1"/>
    <xf numFmtId="0" fontId="0" fillId="0" borderId="0" xfId="0" applyFill="1" applyBorder="1" applyAlignment="1" applyProtection="1">
      <alignment horizontal="center"/>
    </xf>
    <xf numFmtId="0" fontId="2" fillId="0" borderId="0" xfId="0" applyFont="1" applyFill="1" applyBorder="1" applyAlignment="1" applyProtection="1">
      <alignment horizontal="left"/>
    </xf>
    <xf numFmtId="0" fontId="20" fillId="0" borderId="0" xfId="0" applyFont="1" applyFill="1" applyBorder="1" applyAlignment="1" applyProtection="1">
      <alignment horizontal="right"/>
    </xf>
    <xf numFmtId="0" fontId="22" fillId="0" borderId="0" xfId="0" applyFont="1" applyFill="1" applyBorder="1" applyAlignment="1" applyProtection="1"/>
    <xf numFmtId="0" fontId="30" fillId="0" borderId="0" xfId="0" applyFont="1" applyFill="1" applyBorder="1" applyAlignment="1" applyProtection="1">
      <alignment horizontal="center"/>
    </xf>
    <xf numFmtId="0" fontId="0" fillId="0" borderId="0" xfId="0" applyFill="1" applyBorder="1" applyAlignment="1" applyProtection="1">
      <alignment horizontal="center"/>
    </xf>
    <xf numFmtId="166" fontId="17" fillId="5" borderId="0" xfId="0" applyNumberFormat="1" applyFont="1" applyFill="1" applyAlignment="1" applyProtection="1">
      <alignment horizontal="center"/>
    </xf>
    <xf numFmtId="166" fontId="17" fillId="5" borderId="0" xfId="0" applyNumberFormat="1" applyFont="1" applyFill="1" applyBorder="1" applyAlignment="1" applyProtection="1">
      <alignment horizontal="center"/>
    </xf>
    <xf numFmtId="0" fontId="0" fillId="0" borderId="20" xfId="0" applyBorder="1" applyProtection="1"/>
    <xf numFmtId="0" fontId="0" fillId="0" borderId="21" xfId="0" applyBorder="1" applyProtection="1"/>
    <xf numFmtId="0" fontId="0" fillId="0" borderId="22" xfId="0" applyBorder="1" applyProtection="1"/>
    <xf numFmtId="0" fontId="0" fillId="0" borderId="23" xfId="0" applyBorder="1" applyProtection="1"/>
    <xf numFmtId="0" fontId="0" fillId="0" borderId="24" xfId="0" applyBorder="1" applyProtection="1"/>
    <xf numFmtId="0" fontId="46" fillId="5" borderId="0" xfId="0" applyFont="1" applyFill="1" applyAlignment="1" applyProtection="1">
      <alignment horizontal="left"/>
    </xf>
    <xf numFmtId="0" fontId="0" fillId="5" borderId="0" xfId="0" applyFill="1" applyAlignment="1" applyProtection="1">
      <alignment horizontal="left"/>
    </xf>
    <xf numFmtId="0" fontId="0" fillId="5" borderId="0" xfId="0" applyFill="1" applyAlignment="1" applyProtection="1">
      <alignment horizontal="center"/>
    </xf>
    <xf numFmtId="0" fontId="0" fillId="5" borderId="4" xfId="0" applyFill="1" applyBorder="1" applyAlignment="1" applyProtection="1">
      <alignment horizontal="center"/>
    </xf>
    <xf numFmtId="0" fontId="7" fillId="5" borderId="6" xfId="0" applyFont="1" applyFill="1" applyBorder="1" applyAlignment="1" applyProtection="1">
      <alignment horizontal="left"/>
    </xf>
    <xf numFmtId="0" fontId="7" fillId="5" borderId="7" xfId="0" applyFont="1" applyFill="1" applyBorder="1" applyAlignment="1" applyProtection="1">
      <alignment horizontal="left"/>
    </xf>
    <xf numFmtId="0" fontId="0" fillId="5" borderId="8" xfId="0" applyFill="1" applyBorder="1" applyProtection="1"/>
    <xf numFmtId="0" fontId="0" fillId="5" borderId="2" xfId="0" applyFill="1" applyBorder="1" applyAlignment="1" applyProtection="1">
      <alignment horizontal="left"/>
    </xf>
    <xf numFmtId="0" fontId="0" fillId="5" borderId="3" xfId="0" applyFill="1" applyBorder="1" applyProtection="1"/>
    <xf numFmtId="0" fontId="20" fillId="5" borderId="2" xfId="0" applyFont="1" applyFill="1" applyBorder="1" applyAlignment="1" applyProtection="1">
      <alignment horizontal="left"/>
    </xf>
    <xf numFmtId="0" fontId="20" fillId="5" borderId="0" xfId="0" applyFont="1" applyFill="1" applyBorder="1" applyAlignment="1" applyProtection="1">
      <alignment horizontal="left"/>
    </xf>
    <xf numFmtId="0" fontId="31" fillId="5" borderId="2" xfId="0" applyFont="1" applyFill="1" applyBorder="1" applyAlignment="1" applyProtection="1"/>
    <xf numFmtId="0" fontId="31" fillId="5" borderId="0" xfId="0" applyFont="1" applyFill="1" applyBorder="1" applyAlignment="1" applyProtection="1"/>
    <xf numFmtId="0" fontId="0" fillId="5" borderId="2" xfId="0" applyFill="1" applyBorder="1" applyAlignment="1" applyProtection="1">
      <alignment horizontal="center"/>
    </xf>
    <xf numFmtId="0" fontId="20" fillId="5" borderId="2" xfId="0" applyFont="1" applyFill="1" applyBorder="1" applyAlignment="1" applyProtection="1">
      <alignment horizontal="center"/>
    </xf>
    <xf numFmtId="0" fontId="20" fillId="5" borderId="0" xfId="0" applyFont="1" applyFill="1" applyBorder="1" applyAlignment="1" applyProtection="1">
      <alignment horizontal="center"/>
    </xf>
    <xf numFmtId="0" fontId="20" fillId="5" borderId="9" xfId="0" applyFont="1" applyFill="1" applyBorder="1" applyAlignment="1" applyProtection="1">
      <alignment horizontal="center"/>
    </xf>
    <xf numFmtId="0" fontId="20" fillId="5" borderId="1" xfId="0" applyFont="1" applyFill="1" applyBorder="1" applyAlignment="1" applyProtection="1">
      <alignment horizontal="center"/>
    </xf>
    <xf numFmtId="0" fontId="0" fillId="5" borderId="5" xfId="0" applyFill="1" applyBorder="1" applyProtection="1"/>
    <xf numFmtId="0" fontId="3" fillId="5" borderId="0" xfId="0" applyFont="1" applyFill="1" applyAlignment="1" applyProtection="1">
      <alignment horizontal="center"/>
    </xf>
    <xf numFmtId="0" fontId="20" fillId="5" borderId="0" xfId="0" applyFont="1" applyFill="1" applyAlignment="1" applyProtection="1">
      <alignment horizontal="center"/>
    </xf>
    <xf numFmtId="0" fontId="7" fillId="5" borderId="0" xfId="0" applyFont="1" applyFill="1" applyAlignment="1" applyProtection="1">
      <alignment horizontal="center"/>
    </xf>
    <xf numFmtId="0" fontId="8" fillId="5" borderId="0" xfId="0" applyFont="1" applyFill="1" applyAlignment="1" applyProtection="1">
      <alignment horizontal="center"/>
    </xf>
    <xf numFmtId="0" fontId="12" fillId="5" borderId="0" xfId="0" applyFont="1" applyFill="1" applyAlignment="1" applyProtection="1">
      <alignment horizontal="left"/>
    </xf>
    <xf numFmtId="0" fontId="5" fillId="5" borderId="4" xfId="0" applyFont="1" applyFill="1" applyBorder="1" applyAlignment="1" applyProtection="1">
      <alignment horizontal="center"/>
    </xf>
    <xf numFmtId="0" fontId="0" fillId="5" borderId="0" xfId="0" applyFill="1" applyBorder="1" applyAlignment="1" applyProtection="1">
      <alignment horizontal="right"/>
    </xf>
    <xf numFmtId="0" fontId="3" fillId="5" borderId="0" xfId="0" applyFont="1" applyFill="1" applyAlignment="1" applyProtection="1">
      <alignment horizontal="left"/>
    </xf>
    <xf numFmtId="0" fontId="0" fillId="5" borderId="11" xfId="0" applyFill="1" applyBorder="1" applyAlignment="1" applyProtection="1">
      <alignment horizontal="center"/>
    </xf>
    <xf numFmtId="0" fontId="0" fillId="5" borderId="1" xfId="0" applyFill="1" applyBorder="1" applyAlignment="1" applyProtection="1">
      <alignment horizontal="center"/>
    </xf>
    <xf numFmtId="0" fontId="13" fillId="5" borderId="0" xfId="0" applyFont="1" applyFill="1" applyAlignment="1" applyProtection="1">
      <alignment horizontal="left"/>
    </xf>
    <xf numFmtId="0" fontId="0" fillId="0" borderId="0" xfId="0" applyFill="1" applyBorder="1" applyAlignment="1" applyProtection="1">
      <alignment horizontal="center"/>
    </xf>
    <xf numFmtId="2" fontId="5" fillId="0" borderId="0" xfId="0" applyNumberFormat="1" applyFont="1" applyFill="1" applyBorder="1" applyAlignment="1" applyProtection="1">
      <alignment horizontal="center"/>
    </xf>
    <xf numFmtId="0" fontId="22" fillId="0" borderId="0" xfId="0" applyFont="1" applyFill="1" applyBorder="1" applyAlignment="1" applyProtection="1">
      <alignment horizontal="center"/>
    </xf>
    <xf numFmtId="0" fontId="46" fillId="0" borderId="18" xfId="1" applyFont="1" applyFill="1" applyBorder="1" applyAlignment="1" applyProtection="1"/>
    <xf numFmtId="165" fontId="9" fillId="0" borderId="0" xfId="0" applyNumberFormat="1" applyFont="1" applyFill="1" applyBorder="1" applyAlignment="1" applyProtection="1">
      <alignment horizontal="center"/>
      <protection locked="0"/>
    </xf>
    <xf numFmtId="0" fontId="2" fillId="0" borderId="0" xfId="0" applyFont="1" applyFill="1" applyAlignment="1">
      <alignment horizontal="right"/>
    </xf>
    <xf numFmtId="0" fontId="1" fillId="0" borderId="0" xfId="0" applyFont="1" applyFill="1" applyBorder="1" applyAlignment="1" applyProtection="1">
      <alignment horizontal="right"/>
    </xf>
    <xf numFmtId="2" fontId="8" fillId="0" borderId="25" xfId="0" applyNumberFormat="1" applyFont="1" applyBorder="1" applyAlignment="1">
      <alignment horizontal="center"/>
    </xf>
    <xf numFmtId="2" fontId="0" fillId="0" borderId="13" xfId="0" applyNumberFormat="1" applyBorder="1" applyAlignment="1">
      <alignment horizontal="center"/>
    </xf>
    <xf numFmtId="2" fontId="5" fillId="0" borderId="26" xfId="0" applyNumberFormat="1" applyFont="1" applyFill="1" applyBorder="1" applyAlignment="1">
      <alignment horizontal="center"/>
    </xf>
    <xf numFmtId="0" fontId="1" fillId="0" borderId="0" xfId="0" applyFont="1"/>
    <xf numFmtId="0" fontId="30" fillId="0" borderId="20" xfId="0" applyFont="1" applyFill="1" applyBorder="1" applyAlignment="1" applyProtection="1">
      <alignment horizontal="right"/>
    </xf>
    <xf numFmtId="0" fontId="46" fillId="0" borderId="20" xfId="1" applyFont="1" applyFill="1" applyBorder="1" applyAlignment="1" applyProtection="1">
      <alignment horizontal="center"/>
    </xf>
    <xf numFmtId="0" fontId="30" fillId="0" borderId="20" xfId="0" applyFont="1" applyFill="1" applyBorder="1" applyProtection="1"/>
    <xf numFmtId="9" fontId="65" fillId="0" borderId="3" xfId="3" applyFont="1" applyFill="1" applyBorder="1" applyAlignment="1" applyProtection="1">
      <alignment horizontal="center"/>
    </xf>
    <xf numFmtId="9" fontId="65" fillId="0" borderId="0" xfId="3" applyFont="1" applyFill="1" applyBorder="1" applyAlignment="1" applyProtection="1">
      <alignment horizontal="center"/>
    </xf>
    <xf numFmtId="0" fontId="2" fillId="7" borderId="4" xfId="0" applyFont="1" applyFill="1" applyBorder="1" applyAlignment="1" applyProtection="1">
      <alignment horizontal="center"/>
      <protection locked="0"/>
    </xf>
    <xf numFmtId="0" fontId="0" fillId="7" borderId="4" xfId="0" applyFill="1" applyBorder="1" applyAlignment="1" applyProtection="1">
      <alignment horizontal="center"/>
      <protection locked="0"/>
    </xf>
    <xf numFmtId="0" fontId="5" fillId="7" borderId="4" xfId="0" applyFont="1" applyFill="1" applyBorder="1" applyAlignment="1" applyProtection="1">
      <alignment horizontal="center"/>
      <protection locked="0"/>
    </xf>
    <xf numFmtId="0" fontId="0" fillId="0" borderId="0" xfId="0" applyFill="1" applyBorder="1" applyAlignment="1" applyProtection="1">
      <alignment horizontal="center"/>
    </xf>
    <xf numFmtId="0" fontId="60" fillId="0" borderId="0" xfId="1" applyFont="1" applyFill="1" applyBorder="1" applyAlignment="1" applyProtection="1">
      <alignment horizontal="left"/>
      <protection locked="0"/>
    </xf>
    <xf numFmtId="0" fontId="0" fillId="8" borderId="0" xfId="0" applyFill="1" applyBorder="1" applyProtection="1"/>
    <xf numFmtId="0" fontId="0" fillId="8" borderId="0" xfId="0" applyFill="1" applyBorder="1" applyAlignment="1" applyProtection="1">
      <alignment horizontal="left"/>
    </xf>
    <xf numFmtId="0" fontId="0" fillId="8" borderId="20" xfId="0" applyFill="1" applyBorder="1" applyProtection="1"/>
    <xf numFmtId="0" fontId="0" fillId="8" borderId="0" xfId="0" applyFill="1" applyProtection="1"/>
    <xf numFmtId="2" fontId="0" fillId="8" borderId="0" xfId="0" applyNumberFormat="1" applyFill="1" applyBorder="1" applyAlignment="1" applyProtection="1">
      <alignment horizontal="center"/>
    </xf>
    <xf numFmtId="0" fontId="51" fillId="5" borderId="0" xfId="0" applyFont="1" applyFill="1" applyProtection="1"/>
    <xf numFmtId="2" fontId="0" fillId="5" borderId="0" xfId="0" applyNumberFormat="1" applyFill="1" applyProtection="1"/>
    <xf numFmtId="2" fontId="0" fillId="5" borderId="0" xfId="0" applyNumberFormat="1" applyFill="1" applyAlignment="1" applyProtection="1">
      <alignment horizontal="right"/>
    </xf>
    <xf numFmtId="0" fontId="7" fillId="6" borderId="6" xfId="0" applyFont="1" applyFill="1" applyBorder="1" applyAlignment="1" applyProtection="1">
      <alignment horizontal="left"/>
    </xf>
    <xf numFmtId="0" fontId="7" fillId="6" borderId="7" xfId="0" applyFont="1" applyFill="1" applyBorder="1" applyAlignment="1" applyProtection="1">
      <alignment horizontal="left"/>
    </xf>
    <xf numFmtId="0" fontId="7" fillId="6" borderId="8" xfId="0" applyFont="1" applyFill="1" applyBorder="1" applyAlignment="1" applyProtection="1">
      <alignment horizontal="left"/>
    </xf>
    <xf numFmtId="0" fontId="8" fillId="6" borderId="2" xfId="0" applyFont="1" applyFill="1" applyBorder="1" applyAlignment="1" applyProtection="1">
      <alignment horizontal="left"/>
    </xf>
    <xf numFmtId="0" fontId="0" fillId="6" borderId="0" xfId="0" applyFill="1" applyBorder="1" applyAlignment="1" applyProtection="1">
      <alignment horizontal="left"/>
    </xf>
    <xf numFmtId="0" fontId="0" fillId="6" borderId="3" xfId="0" applyFill="1" applyBorder="1" applyAlignment="1" applyProtection="1">
      <alignment horizontal="left"/>
    </xf>
    <xf numFmtId="0" fontId="3" fillId="6" borderId="0" xfId="0" applyFont="1" applyFill="1" applyAlignment="1" applyProtection="1">
      <alignment horizontal="center"/>
    </xf>
    <xf numFmtId="0" fontId="0" fillId="6" borderId="2" xfId="0" applyFill="1" applyBorder="1" applyAlignment="1" applyProtection="1">
      <alignment horizontal="left"/>
    </xf>
    <xf numFmtId="2" fontId="0" fillId="6" borderId="0" xfId="0" applyNumberFormat="1" applyFill="1" applyProtection="1"/>
    <xf numFmtId="0" fontId="0" fillId="6" borderId="9" xfId="0" applyFill="1" applyBorder="1" applyAlignment="1" applyProtection="1">
      <alignment horizontal="left"/>
    </xf>
    <xf numFmtId="0" fontId="0" fillId="6" borderId="1" xfId="0" applyFill="1" applyBorder="1" applyAlignment="1" applyProtection="1">
      <alignment horizontal="left"/>
    </xf>
    <xf numFmtId="0" fontId="0" fillId="6" borderId="5" xfId="0" applyFill="1" applyBorder="1" applyAlignment="1" applyProtection="1">
      <alignment horizontal="left"/>
    </xf>
    <xf numFmtId="2" fontId="0" fillId="6" borderId="0" xfId="0" applyNumberFormat="1" applyFill="1" applyAlignment="1" applyProtection="1">
      <alignment horizontal="right"/>
    </xf>
    <xf numFmtId="0" fontId="5" fillId="0" borderId="4" xfId="0" quotePrefix="1" applyFont="1" applyFill="1" applyBorder="1" applyAlignment="1" applyProtection="1">
      <alignment horizontal="center"/>
    </xf>
    <xf numFmtId="0" fontId="43" fillId="0" borderId="0" xfId="0" applyFont="1" applyFill="1" applyProtection="1"/>
    <xf numFmtId="0" fontId="5" fillId="0" borderId="0" xfId="0" applyFont="1" applyFill="1" applyBorder="1" applyProtection="1"/>
    <xf numFmtId="0" fontId="5" fillId="0" borderId="0" xfId="0" applyFont="1" applyBorder="1" applyProtection="1"/>
    <xf numFmtId="0" fontId="1" fillId="0" borderId="0" xfId="0" applyFont="1" applyFill="1" applyBorder="1" applyProtection="1"/>
    <xf numFmtId="0" fontId="62" fillId="0" borderId="0" xfId="1" applyFont="1" applyFill="1" applyBorder="1" applyAlignment="1" applyProtection="1"/>
    <xf numFmtId="0" fontId="1" fillId="0" borderId="0" xfId="0" applyFont="1" applyBorder="1" applyAlignment="1"/>
    <xf numFmtId="0" fontId="1" fillId="0" borderId="0" xfId="0" applyFont="1" applyFill="1" applyBorder="1" applyAlignment="1"/>
    <xf numFmtId="0" fontId="2" fillId="5" borderId="0" xfId="0" applyFont="1" applyFill="1" applyProtection="1"/>
    <xf numFmtId="0" fontId="51" fillId="5" borderId="0" xfId="0" applyFont="1" applyFill="1" applyBorder="1" applyProtection="1"/>
    <xf numFmtId="0" fontId="56" fillId="5" borderId="0" xfId="0" applyFont="1" applyFill="1" applyProtection="1"/>
    <xf numFmtId="0" fontId="56" fillId="5" borderId="0" xfId="0" applyFont="1" applyFill="1" applyAlignment="1" applyProtection="1">
      <alignment horizontal="center"/>
    </xf>
    <xf numFmtId="0" fontId="57" fillId="5" borderId="0" xfId="0" applyFont="1" applyFill="1" applyAlignment="1" applyProtection="1">
      <alignment horizontal="center"/>
    </xf>
    <xf numFmtId="2" fontId="56" fillId="5" borderId="0" xfId="0" applyNumberFormat="1" applyFont="1" applyFill="1" applyProtection="1"/>
    <xf numFmtId="2" fontId="56" fillId="5" borderId="0" xfId="0" applyNumberFormat="1" applyFont="1" applyFill="1" applyAlignment="1" applyProtection="1">
      <alignment horizontal="right"/>
    </xf>
    <xf numFmtId="0" fontId="52" fillId="0" borderId="0" xfId="0" applyFont="1" applyFill="1" applyBorder="1" applyAlignment="1" applyProtection="1">
      <alignment horizontal="center"/>
    </xf>
    <xf numFmtId="49" fontId="0" fillId="0" borderId="0" xfId="0" applyNumberFormat="1" applyFill="1" applyBorder="1" applyAlignment="1" applyProtection="1"/>
    <xf numFmtId="165" fontId="2" fillId="4" borderId="4" xfId="0" applyNumberFormat="1" applyFont="1" applyFill="1" applyBorder="1" applyAlignment="1" applyProtection="1">
      <alignment horizontal="center"/>
      <protection locked="0"/>
    </xf>
    <xf numFmtId="0" fontId="0" fillId="8" borderId="17" xfId="0" applyFill="1" applyBorder="1" applyProtection="1"/>
    <xf numFmtId="0" fontId="8" fillId="8" borderId="0" xfId="0" applyFont="1" applyFill="1" applyBorder="1" applyAlignment="1" applyProtection="1"/>
    <xf numFmtId="0" fontId="6" fillId="8" borderId="0" xfId="0" applyFont="1" applyFill="1" applyBorder="1" applyAlignment="1" applyProtection="1"/>
    <xf numFmtId="0" fontId="15" fillId="0" borderId="0" xfId="0" applyFont="1" applyFill="1" applyBorder="1" applyAlignment="1" applyProtection="1">
      <alignment horizontal="right"/>
    </xf>
    <xf numFmtId="0" fontId="15" fillId="0" borderId="0" xfId="0" applyFont="1" applyFill="1" applyBorder="1" applyProtection="1"/>
    <xf numFmtId="0" fontId="15" fillId="0" borderId="0" xfId="0" applyFont="1" applyFill="1" applyBorder="1" applyAlignment="1" applyProtection="1">
      <alignment horizontal="center"/>
    </xf>
    <xf numFmtId="0" fontId="20" fillId="8" borderId="0" xfId="0" applyFont="1" applyFill="1" applyBorder="1" applyAlignment="1" applyProtection="1">
      <alignment horizontal="center"/>
    </xf>
    <xf numFmtId="0" fontId="66" fillId="0" borderId="0" xfId="0" applyFont="1" applyFill="1" applyBorder="1" applyAlignment="1" applyProtection="1">
      <alignment horizontal="right"/>
    </xf>
    <xf numFmtId="0" fontId="66" fillId="0" borderId="0" xfId="0" applyFont="1" applyFill="1" applyBorder="1" applyAlignment="1" applyProtection="1">
      <alignment horizontal="center"/>
    </xf>
    <xf numFmtId="0" fontId="31" fillId="8" borderId="0" xfId="0" applyFont="1" applyFill="1" applyBorder="1" applyAlignment="1" applyProtection="1">
      <alignment horizontal="center"/>
    </xf>
    <xf numFmtId="0" fontId="0" fillId="8" borderId="0" xfId="0" applyFill="1" applyBorder="1" applyAlignment="1" applyProtection="1">
      <alignment horizontal="center"/>
    </xf>
    <xf numFmtId="0" fontId="3" fillId="0" borderId="0" xfId="0" applyFont="1" applyFill="1" applyBorder="1" applyAlignment="1" applyProtection="1">
      <alignment horizontal="left"/>
    </xf>
    <xf numFmtId="0" fontId="22" fillId="8" borderId="0" xfId="0" applyFont="1" applyFill="1" applyBorder="1" applyAlignment="1" applyProtection="1">
      <alignment horizontal="center"/>
    </xf>
    <xf numFmtId="0" fontId="67" fillId="8" borderId="0" xfId="1" applyFont="1" applyFill="1" applyBorder="1" applyAlignment="1" applyProtection="1">
      <alignment horizontal="left"/>
    </xf>
    <xf numFmtId="1" fontId="25" fillId="8" borderId="0" xfId="0" applyNumberFormat="1" applyFont="1" applyFill="1" applyBorder="1" applyAlignment="1" applyProtection="1">
      <alignment horizontal="center"/>
    </xf>
    <xf numFmtId="2" fontId="5" fillId="8" borderId="0" xfId="0" applyNumberFormat="1" applyFont="1" applyFill="1" applyBorder="1" applyAlignment="1" applyProtection="1">
      <alignment horizontal="center"/>
    </xf>
    <xf numFmtId="2" fontId="5" fillId="0" borderId="1" xfId="0" applyNumberFormat="1" applyFont="1" applyFill="1" applyBorder="1" applyAlignment="1" applyProtection="1">
      <alignment horizontal="center"/>
    </xf>
    <xf numFmtId="0" fontId="20" fillId="8" borderId="0" xfId="0" applyFont="1" applyFill="1" applyBorder="1" applyAlignment="1" applyProtection="1"/>
    <xf numFmtId="1" fontId="0" fillId="8" borderId="0" xfId="0" applyNumberFormat="1" applyFill="1" applyBorder="1" applyAlignment="1" applyProtection="1">
      <alignment horizontal="center"/>
    </xf>
    <xf numFmtId="0" fontId="1" fillId="0" borderId="0" xfId="0" applyFont="1" applyFill="1" applyBorder="1" applyAlignment="1" applyProtection="1"/>
    <xf numFmtId="1" fontId="5" fillId="8" borderId="0" xfId="0" applyNumberFormat="1" applyFont="1" applyFill="1" applyBorder="1" applyAlignment="1" applyProtection="1">
      <alignment horizontal="center"/>
    </xf>
    <xf numFmtId="0" fontId="0" fillId="0" borderId="0" xfId="0" applyProtection="1"/>
    <xf numFmtId="0" fontId="55" fillId="8" borderId="0" xfId="0" applyFont="1" applyFill="1" applyBorder="1" applyAlignment="1" applyProtection="1">
      <alignment horizontal="right"/>
    </xf>
    <xf numFmtId="0" fontId="20" fillId="8" borderId="0" xfId="0" applyFont="1" applyFill="1" applyBorder="1" applyAlignment="1" applyProtection="1">
      <alignment horizontal="left"/>
    </xf>
    <xf numFmtId="0" fontId="35" fillId="8" borderId="0" xfId="1" applyFill="1" applyBorder="1" applyAlignment="1" applyProtection="1">
      <alignment horizontal="right"/>
    </xf>
    <xf numFmtId="0" fontId="0" fillId="8" borderId="0" xfId="0" applyFill="1" applyBorder="1" applyAlignment="1" applyProtection="1">
      <alignment textRotation="90"/>
    </xf>
    <xf numFmtId="2" fontId="0" fillId="8" borderId="0" xfId="0" applyNumberFormat="1" applyFill="1" applyBorder="1" applyProtection="1"/>
    <xf numFmtId="0" fontId="11" fillId="8" borderId="0" xfId="0" applyFont="1" applyFill="1" applyBorder="1" applyAlignment="1" applyProtection="1">
      <alignment horizontal="center"/>
    </xf>
    <xf numFmtId="1" fontId="0" fillId="8" borderId="0" xfId="0" applyNumberFormat="1" applyFill="1" applyBorder="1" applyProtection="1"/>
    <xf numFmtId="0" fontId="20" fillId="0" borderId="20" xfId="0" applyFont="1" applyFill="1" applyBorder="1" applyAlignment="1" applyProtection="1">
      <alignment horizontal="left"/>
    </xf>
    <xf numFmtId="0" fontId="20" fillId="0" borderId="0" xfId="0" applyFont="1" applyFill="1" applyBorder="1" applyAlignment="1" applyProtection="1">
      <alignment horizontal="center"/>
    </xf>
    <xf numFmtId="1" fontId="20" fillId="8" borderId="0" xfId="0" applyNumberFormat="1" applyFont="1" applyFill="1" applyBorder="1" applyAlignment="1" applyProtection="1">
      <alignment horizontal="center"/>
    </xf>
    <xf numFmtId="0" fontId="20" fillId="0" borderId="0" xfId="0" applyFont="1" applyFill="1" applyBorder="1" applyAlignment="1" applyProtection="1"/>
    <xf numFmtId="0" fontId="0" fillId="8" borderId="22" xfId="0" applyFill="1" applyBorder="1" applyProtection="1"/>
    <xf numFmtId="0" fontId="60" fillId="0" borderId="20" xfId="1" applyFont="1" applyFill="1" applyBorder="1" applyAlignment="1" applyProtection="1">
      <protection locked="0"/>
    </xf>
    <xf numFmtId="0" fontId="60" fillId="0" borderId="0" xfId="1" applyFont="1" applyFill="1" applyBorder="1" applyAlignment="1" applyProtection="1">
      <protection locked="0"/>
    </xf>
    <xf numFmtId="0" fontId="1" fillId="0" borderId="0" xfId="0" applyFont="1" applyBorder="1" applyProtection="1"/>
    <xf numFmtId="0" fontId="1" fillId="0" borderId="0" xfId="0" applyFont="1" applyFill="1" applyBorder="1" applyAlignment="1" applyProtection="1">
      <alignment horizontal="left"/>
    </xf>
    <xf numFmtId="0" fontId="62" fillId="0" borderId="0" xfId="1" applyFont="1" applyFill="1" applyBorder="1" applyAlignment="1" applyProtection="1">
      <protection locked="0"/>
    </xf>
    <xf numFmtId="0" fontId="0" fillId="0" borderId="1" xfId="0" applyFill="1" applyBorder="1" applyAlignment="1" applyProtection="1">
      <alignment horizontal="left"/>
    </xf>
    <xf numFmtId="0" fontId="0" fillId="0" borderId="1" xfId="0" applyFill="1" applyBorder="1" applyProtection="1"/>
    <xf numFmtId="0" fontId="0" fillId="8" borderId="1" xfId="0" applyFill="1" applyBorder="1" applyProtection="1"/>
    <xf numFmtId="0" fontId="0" fillId="8" borderId="27" xfId="0" applyFill="1" applyBorder="1" applyAlignment="1" applyProtection="1">
      <alignment horizontal="left"/>
    </xf>
    <xf numFmtId="0" fontId="0" fillId="0" borderId="27" xfId="0" applyFill="1" applyBorder="1" applyAlignment="1" applyProtection="1">
      <alignment horizontal="left"/>
    </xf>
    <xf numFmtId="2" fontId="0" fillId="0" borderId="27" xfId="0" applyNumberFormat="1" applyFill="1" applyBorder="1" applyAlignment="1" applyProtection="1">
      <alignment horizontal="center"/>
    </xf>
    <xf numFmtId="0" fontId="0" fillId="0" borderId="27" xfId="0" applyFill="1" applyBorder="1" applyProtection="1"/>
    <xf numFmtId="1" fontId="0" fillId="8" borderId="27" xfId="0" applyNumberFormat="1" applyFill="1" applyBorder="1" applyAlignment="1" applyProtection="1">
      <alignment horizontal="center"/>
    </xf>
    <xf numFmtId="0" fontId="0" fillId="8" borderId="27" xfId="0" applyFill="1" applyBorder="1" applyProtection="1"/>
    <xf numFmtId="0" fontId="0" fillId="0" borderId="0" xfId="0" applyFont="1" applyFill="1" applyBorder="1" applyAlignment="1" applyProtection="1">
      <alignment horizontal="left"/>
    </xf>
    <xf numFmtId="0" fontId="0" fillId="0" borderId="0" xfId="0" applyFont="1" applyFill="1" applyBorder="1" applyAlignment="1" applyProtection="1">
      <alignment horizontal="center"/>
    </xf>
    <xf numFmtId="0" fontId="0" fillId="0" borderId="27" xfId="0" applyFont="1" applyFill="1" applyBorder="1" applyAlignment="1" applyProtection="1">
      <alignment horizontal="center"/>
    </xf>
    <xf numFmtId="2" fontId="11" fillId="0" borderId="0" xfId="0" applyNumberFormat="1" applyFont="1" applyFill="1" applyBorder="1" applyAlignment="1" applyProtection="1">
      <alignment horizontal="center"/>
    </xf>
    <xf numFmtId="0" fontId="0" fillId="8" borderId="1" xfId="0" applyFill="1" applyBorder="1" applyAlignment="1" applyProtection="1">
      <alignment horizontal="center"/>
    </xf>
    <xf numFmtId="0" fontId="48" fillId="0" borderId="1" xfId="0" applyFont="1" applyFill="1" applyBorder="1" applyAlignment="1" applyProtection="1">
      <alignment horizontal="center"/>
    </xf>
    <xf numFmtId="0" fontId="21" fillId="8" borderId="1" xfId="0" applyFont="1" applyFill="1" applyBorder="1" applyAlignment="1" applyProtection="1">
      <alignment horizontal="center"/>
    </xf>
    <xf numFmtId="0" fontId="14" fillId="5" borderId="0" xfId="2" applyFill="1"/>
    <xf numFmtId="0" fontId="11" fillId="5" borderId="4" xfId="2" applyFont="1" applyFill="1" applyBorder="1"/>
    <xf numFmtId="0" fontId="11" fillId="5" borderId="0" xfId="2" applyFont="1" applyFill="1" applyAlignment="1">
      <alignment horizontal="center"/>
    </xf>
    <xf numFmtId="0" fontId="11" fillId="5" borderId="0" xfId="2" applyFont="1" applyFill="1" applyAlignment="1">
      <alignment horizontal="right"/>
    </xf>
    <xf numFmtId="0" fontId="69" fillId="5" borderId="0" xfId="2" applyFont="1" applyFill="1"/>
    <xf numFmtId="0" fontId="69" fillId="5" borderId="0" xfId="2" applyFont="1" applyFill="1" applyAlignment="1">
      <alignment horizontal="center"/>
    </xf>
    <xf numFmtId="0" fontId="25" fillId="0" borderId="0" xfId="2" applyFont="1" applyBorder="1" applyAlignment="1">
      <alignment horizontal="center"/>
    </xf>
    <xf numFmtId="0" fontId="25" fillId="0" borderId="2" xfId="2" applyFont="1" applyBorder="1" applyAlignment="1">
      <alignment horizontal="center"/>
    </xf>
    <xf numFmtId="0" fontId="25" fillId="0" borderId="2" xfId="2" applyFont="1" applyBorder="1" applyAlignment="1">
      <alignment horizontal="left"/>
    </xf>
    <xf numFmtId="0" fontId="70" fillId="5" borderId="0" xfId="2" applyFont="1" applyFill="1" applyBorder="1" applyAlignment="1" applyProtection="1">
      <alignment horizontal="center" vertical="center"/>
      <protection locked="0"/>
    </xf>
    <xf numFmtId="0" fontId="15" fillId="0" borderId="0" xfId="1" applyFont="1" applyFill="1" applyBorder="1" applyAlignment="1" applyProtection="1"/>
    <xf numFmtId="0" fontId="15" fillId="0" borderId="3" xfId="1" applyFont="1" applyFill="1" applyBorder="1" applyAlignment="1" applyProtection="1"/>
    <xf numFmtId="0" fontId="46" fillId="0" borderId="0" xfId="1" applyFont="1" applyFill="1" applyBorder="1" applyAlignment="1" applyProtection="1">
      <alignment horizontal="left"/>
    </xf>
    <xf numFmtId="0" fontId="19" fillId="0" borderId="0" xfId="0" applyFont="1" applyFill="1" applyBorder="1" applyAlignment="1" applyProtection="1">
      <alignment horizontal="center"/>
    </xf>
    <xf numFmtId="0" fontId="22" fillId="0" borderId="0" xfId="0" applyFont="1" applyFill="1" applyBorder="1" applyAlignment="1" applyProtection="1">
      <alignment horizontal="center"/>
    </xf>
    <xf numFmtId="0" fontId="0" fillId="0" borderId="0" xfId="0" applyFill="1" applyBorder="1" applyAlignment="1" applyProtection="1">
      <alignment horizontal="center"/>
    </xf>
    <xf numFmtId="165" fontId="5" fillId="0" borderId="18" xfId="0" applyNumberFormat="1" applyFont="1" applyFill="1" applyBorder="1" applyAlignment="1" applyProtection="1">
      <alignment horizontal="center"/>
    </xf>
    <xf numFmtId="0" fontId="2" fillId="0" borderId="0" xfId="0" applyFont="1" applyFill="1" applyBorder="1" applyAlignment="1" applyProtection="1">
      <alignment horizontal="right"/>
    </xf>
    <xf numFmtId="0" fontId="60" fillId="0" borderId="0" xfId="1" applyFont="1" applyFill="1" applyBorder="1" applyAlignment="1" applyProtection="1">
      <alignment horizontal="right"/>
    </xf>
    <xf numFmtId="0" fontId="60" fillId="0" borderId="0" xfId="1" applyFont="1" applyFill="1" applyBorder="1" applyAlignment="1" applyProtection="1">
      <alignment horizontal="center"/>
    </xf>
    <xf numFmtId="0" fontId="0" fillId="6" borderId="7" xfId="0" applyFill="1" applyBorder="1" applyProtection="1"/>
    <xf numFmtId="0" fontId="0" fillId="6" borderId="8" xfId="0" applyFill="1" applyBorder="1" applyProtection="1"/>
    <xf numFmtId="0" fontId="0" fillId="6" borderId="3" xfId="0" applyFill="1" applyBorder="1" applyProtection="1"/>
    <xf numFmtId="0" fontId="0" fillId="6" borderId="1" xfId="0" applyFill="1" applyBorder="1" applyProtection="1"/>
    <xf numFmtId="0" fontId="0" fillId="6" borderId="5" xfId="0" applyFill="1" applyBorder="1" applyProtection="1"/>
    <xf numFmtId="0" fontId="0" fillId="0" borderId="4" xfId="0" applyBorder="1" applyAlignment="1" applyProtection="1">
      <alignment horizontal="center"/>
    </xf>
    <xf numFmtId="0" fontId="0" fillId="0" borderId="0" xfId="0" applyAlignment="1" applyProtection="1">
      <alignment horizontal="left"/>
    </xf>
    <xf numFmtId="0" fontId="0" fillId="2" borderId="0" xfId="0" applyFill="1" applyAlignment="1" applyProtection="1">
      <alignment horizontal="left"/>
    </xf>
    <xf numFmtId="0" fontId="0" fillId="2" borderId="0" xfId="0" applyFill="1" applyBorder="1" applyAlignment="1" applyProtection="1">
      <alignment horizontal="left"/>
    </xf>
    <xf numFmtId="0" fontId="0" fillId="2" borderId="4" xfId="0" applyFill="1" applyBorder="1" applyAlignment="1" applyProtection="1">
      <alignment horizontal="center"/>
    </xf>
    <xf numFmtId="0" fontId="6" fillId="0" borderId="0" xfId="0" applyFont="1" applyAlignment="1" applyProtection="1">
      <alignment horizontal="center"/>
    </xf>
    <xf numFmtId="0" fontId="0" fillId="2" borderId="0" xfId="0" applyFill="1" applyBorder="1" applyAlignment="1" applyProtection="1">
      <alignment horizontal="right"/>
    </xf>
    <xf numFmtId="0" fontId="0" fillId="2" borderId="0" xfId="0" applyFill="1" applyBorder="1" applyAlignment="1" applyProtection="1">
      <alignment horizontal="center"/>
    </xf>
    <xf numFmtId="0" fontId="0" fillId="0" borderId="0" xfId="0" applyAlignment="1" applyProtection="1"/>
    <xf numFmtId="0" fontId="0" fillId="2" borderId="0" xfId="0" applyFill="1" applyProtection="1"/>
    <xf numFmtId="0" fontId="0" fillId="0" borderId="1" xfId="0" applyBorder="1" applyAlignment="1" applyProtection="1">
      <alignment horizontal="center"/>
    </xf>
    <xf numFmtId="0" fontId="46" fillId="0" borderId="0" xfId="0" applyFont="1" applyAlignment="1" applyProtection="1">
      <alignment horizontal="left"/>
    </xf>
    <xf numFmtId="0" fontId="0" fillId="2" borderId="1" xfId="0" applyFill="1" applyBorder="1" applyAlignment="1" applyProtection="1">
      <alignment horizontal="center"/>
    </xf>
    <xf numFmtId="0" fontId="4" fillId="2" borderId="0" xfId="0" applyFont="1" applyFill="1" applyAlignment="1" applyProtection="1">
      <alignment horizontal="center"/>
    </xf>
    <xf numFmtId="0" fontId="5" fillId="2" borderId="0" xfId="0" applyFont="1" applyFill="1" applyAlignment="1" applyProtection="1">
      <alignment horizontal="center"/>
    </xf>
    <xf numFmtId="0" fontId="0" fillId="2" borderId="0" xfId="0" applyFill="1" applyAlignment="1" applyProtection="1">
      <alignment horizontal="center"/>
    </xf>
    <xf numFmtId="2" fontId="72" fillId="0" borderId="0" xfId="0" applyNumberFormat="1" applyFont="1" applyBorder="1" applyAlignment="1" applyProtection="1">
      <alignment horizontal="left"/>
    </xf>
    <xf numFmtId="0" fontId="0" fillId="2" borderId="0" xfId="0" quotePrefix="1" applyFill="1" applyAlignment="1" applyProtection="1">
      <alignment horizontal="center"/>
    </xf>
    <xf numFmtId="0" fontId="0" fillId="0" borderId="0" xfId="0" applyBorder="1" applyAlignment="1" applyProtection="1">
      <alignment horizontal="right"/>
    </xf>
    <xf numFmtId="0" fontId="0" fillId="0" borderId="0" xfId="0" applyBorder="1" applyAlignment="1" applyProtection="1">
      <alignment horizontal="left"/>
    </xf>
    <xf numFmtId="0" fontId="0" fillId="0" borderId="1" xfId="0" applyBorder="1" applyAlignment="1" applyProtection="1">
      <alignment horizontal="left"/>
    </xf>
    <xf numFmtId="0" fontId="0" fillId="0" borderId="1" xfId="0" applyBorder="1" applyProtection="1"/>
    <xf numFmtId="0" fontId="3" fillId="2" borderId="0" xfId="0" applyFont="1" applyFill="1" applyAlignment="1" applyProtection="1">
      <alignment horizontal="center"/>
    </xf>
    <xf numFmtId="0" fontId="3" fillId="0" borderId="0" xfId="0" applyFont="1" applyAlignment="1" applyProtection="1">
      <alignment horizontal="centerContinuous"/>
    </xf>
    <xf numFmtId="0" fontId="3" fillId="0" borderId="0" xfId="0" applyFont="1" applyAlignment="1" applyProtection="1">
      <alignment horizontal="center"/>
    </xf>
    <xf numFmtId="0" fontId="0" fillId="0" borderId="0" xfId="0" applyAlignment="1" applyProtection="1">
      <alignment horizontal="centerContinuous"/>
    </xf>
    <xf numFmtId="0" fontId="12" fillId="0" borderId="0" xfId="0" applyFont="1" applyAlignment="1" applyProtection="1">
      <alignment horizontal="left"/>
    </xf>
    <xf numFmtId="0" fontId="5" fillId="0" borderId="4" xfId="0" applyFont="1" applyFill="1" applyBorder="1" applyAlignment="1" applyProtection="1">
      <alignment horizontal="center"/>
    </xf>
    <xf numFmtId="0" fontId="5" fillId="2" borderId="6" xfId="0" applyFont="1" applyFill="1" applyBorder="1" applyProtection="1"/>
    <xf numFmtId="0" fontId="5" fillId="2" borderId="7" xfId="0" applyFont="1" applyFill="1" applyBorder="1" applyProtection="1"/>
    <xf numFmtId="0" fontId="0" fillId="2" borderId="7" xfId="0" applyFill="1" applyBorder="1" applyProtection="1"/>
    <xf numFmtId="0" fontId="5" fillId="2" borderId="8" xfId="0" applyFont="1" applyFill="1" applyBorder="1" applyProtection="1"/>
    <xf numFmtId="0" fontId="5" fillId="2" borderId="2" xfId="0" applyFont="1" applyFill="1" applyBorder="1" applyProtection="1"/>
    <xf numFmtId="0" fontId="24" fillId="2" borderId="0" xfId="0" applyFont="1" applyFill="1" applyBorder="1" applyAlignment="1" applyProtection="1">
      <alignment horizontal="left"/>
    </xf>
    <xf numFmtId="0" fontId="24" fillId="2" borderId="0" xfId="0" applyFont="1" applyFill="1" applyBorder="1" applyAlignment="1" applyProtection="1">
      <alignment horizontal="center"/>
    </xf>
    <xf numFmtId="0" fontId="5" fillId="2" borderId="0" xfId="0" applyFont="1" applyFill="1" applyBorder="1" applyProtection="1"/>
    <xf numFmtId="0" fontId="5" fillId="2" borderId="3" xfId="0" applyFont="1" applyFill="1" applyBorder="1" applyProtection="1"/>
    <xf numFmtId="0" fontId="0" fillId="2" borderId="0" xfId="0" applyFill="1" applyBorder="1" applyProtection="1"/>
    <xf numFmtId="0" fontId="5" fillId="2" borderId="4" xfId="0" applyFont="1" applyFill="1" applyBorder="1" applyAlignment="1" applyProtection="1">
      <alignment horizontal="center"/>
    </xf>
    <xf numFmtId="0" fontId="7" fillId="2" borderId="0" xfId="0" applyFont="1" applyFill="1" applyBorder="1" applyAlignment="1" applyProtection="1">
      <alignment horizontal="left"/>
    </xf>
    <xf numFmtId="0" fontId="5" fillId="2" borderId="0" xfId="0" applyFont="1" applyFill="1" applyBorder="1" applyAlignment="1" applyProtection="1">
      <alignment horizontal="left"/>
    </xf>
    <xf numFmtId="0" fontId="5" fillId="2" borderId="2" xfId="0" applyFont="1" applyFill="1" applyBorder="1" applyAlignment="1" applyProtection="1">
      <alignment horizontal="center"/>
    </xf>
    <xf numFmtId="0" fontId="4" fillId="2" borderId="0" xfId="0" applyFont="1" applyFill="1" applyBorder="1" applyAlignment="1" applyProtection="1">
      <alignment horizontal="left"/>
    </xf>
    <xf numFmtId="0" fontId="0" fillId="2" borderId="2" xfId="0" applyFill="1" applyBorder="1" applyAlignment="1" applyProtection="1">
      <alignment horizontal="left"/>
    </xf>
    <xf numFmtId="0" fontId="5" fillId="2" borderId="4" xfId="0" applyFont="1" applyFill="1" applyBorder="1" applyProtection="1"/>
    <xf numFmtId="0" fontId="23" fillId="2" borderId="0" xfId="0" applyFont="1" applyFill="1" applyBorder="1" applyAlignment="1" applyProtection="1">
      <alignment horizontal="center"/>
    </xf>
    <xf numFmtId="0" fontId="25" fillId="2" borderId="2" xfId="0" applyFont="1" applyFill="1" applyBorder="1" applyProtection="1"/>
    <xf numFmtId="0" fontId="25" fillId="2" borderId="0" xfId="0" applyFont="1" applyFill="1" applyBorder="1" applyProtection="1"/>
    <xf numFmtId="0" fontId="25" fillId="2" borderId="0" xfId="0" applyFont="1" applyFill="1" applyBorder="1" applyAlignment="1" applyProtection="1">
      <alignment horizontal="center"/>
    </xf>
    <xf numFmtId="0" fontId="26" fillId="2" borderId="2" xfId="0" applyFont="1" applyFill="1" applyBorder="1" applyAlignment="1" applyProtection="1">
      <alignment horizontal="left"/>
    </xf>
    <xf numFmtId="0" fontId="26" fillId="2" borderId="0" xfId="0" applyFont="1" applyFill="1" applyBorder="1" applyProtection="1"/>
    <xf numFmtId="0" fontId="0" fillId="2" borderId="2" xfId="0" applyFill="1" applyBorder="1" applyAlignment="1" applyProtection="1">
      <alignment horizontal="center"/>
    </xf>
    <xf numFmtId="164" fontId="5" fillId="2" borderId="0" xfId="0" applyNumberFormat="1" applyFont="1" applyFill="1" applyBorder="1" applyAlignment="1" applyProtection="1">
      <alignment horizontal="center"/>
    </xf>
    <xf numFmtId="0" fontId="5" fillId="2" borderId="0" xfId="0" applyFont="1" applyFill="1" applyBorder="1" applyAlignment="1" applyProtection="1">
      <alignment horizontal="center"/>
    </xf>
    <xf numFmtId="0" fontId="46" fillId="6" borderId="0" xfId="0" applyFont="1" applyFill="1" applyBorder="1" applyAlignment="1" applyProtection="1">
      <alignment horizontal="left"/>
    </xf>
    <xf numFmtId="0" fontId="0" fillId="6" borderId="0" xfId="0" applyFill="1" applyAlignment="1" applyProtection="1">
      <alignment horizontal="left"/>
    </xf>
    <xf numFmtId="0" fontId="23" fillId="6" borderId="0" xfId="0" applyFont="1" applyFill="1" applyBorder="1" applyAlignment="1" applyProtection="1">
      <alignment horizontal="left"/>
    </xf>
    <xf numFmtId="0" fontId="0" fillId="6" borderId="0" xfId="0" applyFill="1" applyAlignment="1" applyProtection="1">
      <alignment horizontal="center"/>
    </xf>
    <xf numFmtId="1" fontId="5" fillId="2" borderId="10" xfId="0" applyNumberFormat="1" applyFont="1" applyFill="1" applyBorder="1" applyAlignment="1" applyProtection="1">
      <alignment horizontal="center"/>
    </xf>
    <xf numFmtId="0" fontId="0" fillId="2" borderId="3" xfId="0" applyFill="1" applyBorder="1" applyAlignment="1" applyProtection="1">
      <alignment horizontal="center"/>
    </xf>
    <xf numFmtId="0" fontId="3" fillId="6" borderId="0" xfId="0" applyFont="1" applyFill="1" applyBorder="1" applyAlignment="1" applyProtection="1">
      <alignment horizontal="left"/>
    </xf>
    <xf numFmtId="0" fontId="5" fillId="6" borderId="0" xfId="0" applyFont="1" applyFill="1" applyAlignment="1" applyProtection="1">
      <alignment horizontal="left"/>
    </xf>
    <xf numFmtId="1" fontId="5" fillId="2" borderId="0" xfId="0" applyNumberFormat="1" applyFont="1" applyFill="1" applyBorder="1" applyAlignment="1" applyProtection="1">
      <alignment horizontal="center"/>
    </xf>
    <xf numFmtId="1" fontId="11" fillId="2" borderId="0" xfId="0" applyNumberFormat="1" applyFont="1" applyFill="1" applyBorder="1" applyAlignment="1" applyProtection="1">
      <alignment horizontal="center"/>
    </xf>
    <xf numFmtId="0" fontId="4" fillId="6" borderId="0" xfId="0" applyFont="1" applyFill="1" applyProtection="1"/>
    <xf numFmtId="0" fontId="4" fillId="6" borderId="0" xfId="0" applyFont="1" applyFill="1" applyAlignment="1" applyProtection="1">
      <alignment horizontal="left"/>
    </xf>
    <xf numFmtId="1" fontId="5" fillId="2" borderId="0" xfId="0" applyNumberFormat="1" applyFont="1" applyFill="1" applyBorder="1" applyProtection="1"/>
    <xf numFmtId="0" fontId="3" fillId="6" borderId="0" xfId="0" applyFont="1" applyFill="1" applyBorder="1" applyAlignment="1" applyProtection="1">
      <alignment horizontal="center"/>
    </xf>
    <xf numFmtId="0" fontId="23" fillId="6" borderId="0" xfId="0" applyFont="1" applyFill="1" applyAlignment="1" applyProtection="1">
      <alignment horizontal="center"/>
    </xf>
    <xf numFmtId="0" fontId="28" fillId="2" borderId="0" xfId="0" applyFont="1" applyFill="1" applyBorder="1" applyAlignment="1" applyProtection="1">
      <alignment horizontal="left"/>
    </xf>
    <xf numFmtId="0" fontId="0" fillId="2" borderId="3" xfId="0" applyFill="1" applyBorder="1" applyProtection="1"/>
    <xf numFmtId="0" fontId="23" fillId="6" borderId="3" xfId="0" applyFont="1" applyFill="1" applyBorder="1" applyAlignment="1" applyProtection="1">
      <alignment horizontal="center"/>
    </xf>
    <xf numFmtId="164" fontId="0" fillId="2" borderId="4" xfId="0" applyNumberFormat="1" applyFill="1" applyBorder="1" applyAlignment="1" applyProtection="1">
      <alignment horizontal="center"/>
    </xf>
    <xf numFmtId="164" fontId="0" fillId="2" borderId="0" xfId="0" applyNumberFormat="1" applyFill="1" applyBorder="1" applyAlignment="1" applyProtection="1">
      <alignment horizontal="center"/>
    </xf>
    <xf numFmtId="0" fontId="0" fillId="6" borderId="3" xfId="0" applyFill="1" applyBorder="1" applyAlignment="1" applyProtection="1">
      <alignment horizontal="center"/>
    </xf>
    <xf numFmtId="0" fontId="23" fillId="6" borderId="1" xfId="0" applyFont="1" applyFill="1" applyBorder="1" applyAlignment="1" applyProtection="1">
      <alignment horizontal="center"/>
    </xf>
    <xf numFmtId="0" fontId="0" fillId="6" borderId="5" xfId="0" applyFill="1" applyBorder="1" applyAlignment="1" applyProtection="1">
      <alignment horizontal="center"/>
    </xf>
    <xf numFmtId="0" fontId="7" fillId="6" borderId="0" xfId="0" applyFont="1" applyFill="1" applyAlignment="1" applyProtection="1">
      <alignment horizontal="left"/>
    </xf>
    <xf numFmtId="0" fontId="7" fillId="6" borderId="0" xfId="0" applyFont="1" applyFill="1" applyAlignment="1" applyProtection="1">
      <alignment horizontal="centerContinuous"/>
    </xf>
    <xf numFmtId="0" fontId="0" fillId="6" borderId="0" xfId="0" applyFill="1" applyAlignment="1" applyProtection="1">
      <alignment horizontal="centerContinuous"/>
    </xf>
    <xf numFmtId="0" fontId="12" fillId="6" borderId="0" xfId="0" applyFont="1" applyFill="1" applyBorder="1" applyAlignment="1" applyProtection="1">
      <alignment horizontal="left"/>
    </xf>
    <xf numFmtId="0" fontId="0" fillId="6" borderId="4" xfId="0" applyFill="1" applyBorder="1" applyAlignment="1" applyProtection="1">
      <alignment horizontal="center"/>
    </xf>
    <xf numFmtId="0" fontId="5" fillId="2" borderId="9" xfId="0" applyFont="1" applyFill="1" applyBorder="1" applyProtection="1"/>
    <xf numFmtId="0" fontId="5" fillId="2" borderId="1" xfId="0" applyFont="1" applyFill="1" applyBorder="1" applyProtection="1"/>
    <xf numFmtId="0" fontId="0" fillId="2" borderId="1" xfId="0" applyFill="1" applyBorder="1" applyProtection="1"/>
    <xf numFmtId="0" fontId="0" fillId="2" borderId="5" xfId="0" applyFill="1" applyBorder="1" applyAlignment="1" applyProtection="1">
      <alignment horizontal="center"/>
    </xf>
    <xf numFmtId="0" fontId="0" fillId="6" borderId="4" xfId="0" quotePrefix="1" applyFill="1" applyBorder="1" applyAlignment="1" applyProtection="1">
      <alignment horizontal="center"/>
    </xf>
    <xf numFmtId="0" fontId="5" fillId="6" borderId="0" xfId="0" applyFont="1" applyFill="1" applyAlignment="1" applyProtection="1">
      <alignment horizontal="center"/>
    </xf>
    <xf numFmtId="0" fontId="4" fillId="6" borderId="0" xfId="0" applyFont="1" applyFill="1" applyAlignment="1" applyProtection="1">
      <alignment horizontal="center"/>
    </xf>
    <xf numFmtId="0" fontId="23" fillId="6" borderId="0" xfId="0" applyFont="1" applyFill="1" applyBorder="1" applyAlignment="1" applyProtection="1">
      <alignment horizontal="center"/>
    </xf>
    <xf numFmtId="0" fontId="3" fillId="6" borderId="0" xfId="0" applyFont="1" applyFill="1" applyAlignment="1" applyProtection="1">
      <alignment horizontal="left"/>
    </xf>
    <xf numFmtId="0" fontId="33" fillId="6" borderId="0" xfId="0" applyFont="1" applyFill="1" applyBorder="1" applyAlignment="1" applyProtection="1">
      <alignment horizontal="center"/>
    </xf>
    <xf numFmtId="0" fontId="7" fillId="6" borderId="0" xfId="0" applyFont="1" applyFill="1" applyBorder="1" applyAlignment="1" applyProtection="1">
      <alignment horizontal="left"/>
    </xf>
    <xf numFmtId="0" fontId="25" fillId="6" borderId="0" xfId="0" applyFont="1" applyFill="1" applyAlignment="1" applyProtection="1">
      <alignment horizontal="center"/>
    </xf>
    <xf numFmtId="0" fontId="3" fillId="6" borderId="0" xfId="0" applyFont="1" applyFill="1" applyProtection="1"/>
    <xf numFmtId="0" fontId="30" fillId="6" borderId="0" xfId="0" applyFont="1" applyFill="1" applyBorder="1" applyAlignment="1" applyProtection="1">
      <alignment horizontal="center"/>
    </xf>
    <xf numFmtId="0" fontId="11" fillId="6" borderId="0" xfId="0" applyFont="1" applyFill="1" applyBorder="1" applyAlignment="1" applyProtection="1">
      <alignment horizontal="center"/>
    </xf>
    <xf numFmtId="0" fontId="0" fillId="6" borderId="0" xfId="0" applyFill="1" applyAlignment="1" applyProtection="1">
      <alignment horizontal="right"/>
    </xf>
    <xf numFmtId="0" fontId="2" fillId="6" borderId="0" xfId="0" applyFont="1" applyFill="1" applyAlignment="1" applyProtection="1">
      <alignment horizontal="center"/>
    </xf>
    <xf numFmtId="0" fontId="12" fillId="6" borderId="0" xfId="0" applyFont="1" applyFill="1" applyAlignment="1" applyProtection="1">
      <alignment horizontal="left"/>
    </xf>
    <xf numFmtId="0" fontId="0" fillId="6" borderId="6" xfId="0" applyFill="1" applyBorder="1" applyAlignment="1" applyProtection="1">
      <alignment horizontal="left"/>
    </xf>
    <xf numFmtId="0" fontId="46" fillId="6" borderId="7" xfId="0" applyFont="1" applyFill="1" applyBorder="1" applyAlignment="1" applyProtection="1">
      <alignment horizontal="left"/>
    </xf>
    <xf numFmtId="0" fontId="0" fillId="6" borderId="7" xfId="0" applyFill="1" applyBorder="1" applyAlignment="1" applyProtection="1">
      <alignment horizontal="center"/>
    </xf>
    <xf numFmtId="0" fontId="0" fillId="6" borderId="7" xfId="0" applyFill="1" applyBorder="1" applyAlignment="1" applyProtection="1">
      <alignment horizontal="left"/>
    </xf>
    <xf numFmtId="0" fontId="3" fillId="6" borderId="2" xfId="0" applyFont="1" applyFill="1" applyBorder="1" applyAlignment="1" applyProtection="1">
      <alignment horizontal="center"/>
    </xf>
    <xf numFmtId="0" fontId="0" fillId="6" borderId="2" xfId="0" applyFill="1" applyBorder="1" applyAlignment="1" applyProtection="1">
      <alignment horizontal="center"/>
    </xf>
    <xf numFmtId="0" fontId="29" fillId="6" borderId="0" xfId="0" applyFont="1" applyFill="1" applyBorder="1" applyAlignment="1" applyProtection="1">
      <alignment horizontal="center"/>
    </xf>
    <xf numFmtId="0" fontId="0" fillId="6" borderId="1" xfId="0" applyFill="1" applyBorder="1" applyAlignment="1" applyProtection="1">
      <alignment horizontal="center"/>
    </xf>
    <xf numFmtId="0" fontId="45" fillId="0" borderId="0" xfId="1" applyFont="1" applyFill="1" applyBorder="1" applyAlignment="1" applyProtection="1">
      <alignment vertical="center" wrapText="1"/>
    </xf>
    <xf numFmtId="0" fontId="45" fillId="0" borderId="20" xfId="1" applyFont="1" applyFill="1" applyBorder="1" applyAlignment="1" applyProtection="1">
      <alignment vertical="center" wrapText="1"/>
    </xf>
    <xf numFmtId="0" fontId="45" fillId="0" borderId="20" xfId="1" applyFont="1" applyFill="1" applyBorder="1" applyAlignment="1" applyProtection="1">
      <alignment horizontal="center" vertical="center" wrapText="1"/>
    </xf>
    <xf numFmtId="0" fontId="45" fillId="0" borderId="0" xfId="1" applyFont="1" applyFill="1" applyBorder="1" applyAlignment="1" applyProtection="1">
      <alignment horizontal="center" vertical="center" wrapText="1"/>
    </xf>
    <xf numFmtId="0" fontId="71" fillId="0" borderId="0" xfId="1" applyFont="1" applyFill="1" applyBorder="1" applyAlignment="1" applyProtection="1">
      <alignment horizontal="center" vertical="center" wrapText="1"/>
    </xf>
    <xf numFmtId="0" fontId="21" fillId="0" borderId="0" xfId="1" applyFont="1" applyFill="1" applyBorder="1" applyAlignment="1" applyProtection="1">
      <alignment horizontal="center" vertical="center"/>
    </xf>
    <xf numFmtId="0" fontId="63" fillId="5" borderId="0" xfId="0" applyFont="1" applyFill="1" applyBorder="1" applyAlignment="1" applyProtection="1">
      <alignment horizontal="right" vertical="center"/>
    </xf>
    <xf numFmtId="0" fontId="63" fillId="5" borderId="0" xfId="0" applyFont="1" applyFill="1" applyBorder="1" applyAlignment="1" applyProtection="1">
      <alignment horizontal="left" vertical="center"/>
    </xf>
    <xf numFmtId="0" fontId="63" fillId="5" borderId="0" xfId="0" applyFont="1" applyFill="1" applyBorder="1" applyAlignment="1" applyProtection="1">
      <alignment horizontal="center" vertical="center"/>
    </xf>
    <xf numFmtId="0" fontId="0" fillId="5" borderId="4" xfId="0" quotePrefix="1" applyFill="1" applyBorder="1" applyAlignment="1" applyProtection="1">
      <alignment horizontal="center"/>
    </xf>
    <xf numFmtId="0" fontId="12" fillId="5" borderId="0" xfId="0" applyFont="1" applyFill="1" applyBorder="1" applyAlignment="1" applyProtection="1">
      <alignment horizontal="right"/>
    </xf>
    <xf numFmtId="0" fontId="0" fillId="5" borderId="0" xfId="0" quotePrefix="1" applyFill="1" applyBorder="1" applyAlignment="1" applyProtection="1">
      <alignment horizontal="center"/>
    </xf>
    <xf numFmtId="0" fontId="5" fillId="4" borderId="14" xfId="2" applyFont="1" applyFill="1" applyBorder="1" applyAlignment="1" applyProtection="1">
      <alignment horizontal="center"/>
      <protection locked="0"/>
    </xf>
    <xf numFmtId="0" fontId="79" fillId="5" borderId="0" xfId="2" applyFont="1" applyFill="1"/>
    <xf numFmtId="0" fontId="11" fillId="5" borderId="0" xfId="2" applyFont="1" applyFill="1" applyAlignment="1">
      <alignment horizontal="left"/>
    </xf>
    <xf numFmtId="0" fontId="78" fillId="5" borderId="0" xfId="0" applyFont="1" applyFill="1" applyProtection="1"/>
    <xf numFmtId="2" fontId="78" fillId="0" borderId="0" xfId="0" applyNumberFormat="1" applyFont="1" applyFill="1" applyBorder="1" applyAlignment="1" applyProtection="1">
      <alignment horizontal="center"/>
    </xf>
    <xf numFmtId="0" fontId="1" fillId="0" borderId="0" xfId="0" applyFont="1" applyFill="1" applyAlignment="1" applyProtection="1">
      <alignment horizontal="left" wrapText="1"/>
    </xf>
    <xf numFmtId="0" fontId="0" fillId="0" borderId="0" xfId="0" applyFill="1" applyAlignment="1" applyProtection="1">
      <alignment horizontal="center" vertical="center"/>
    </xf>
    <xf numFmtId="49" fontId="0" fillId="4" borderId="1" xfId="0" applyNumberFormat="1" applyFill="1" applyBorder="1" applyAlignment="1" applyProtection="1">
      <alignment horizontal="left"/>
      <protection locked="0"/>
    </xf>
    <xf numFmtId="0" fontId="67" fillId="0" borderId="0" xfId="1" applyFont="1" applyFill="1" applyBorder="1" applyAlignment="1" applyProtection="1">
      <alignment horizontal="left"/>
    </xf>
    <xf numFmtId="0" fontId="35" fillId="8" borderId="0" xfId="1" applyFill="1" applyBorder="1" applyAlignment="1" applyProtection="1">
      <alignment horizontal="left"/>
      <protection locked="0"/>
    </xf>
    <xf numFmtId="0" fontId="60" fillId="0" borderId="0" xfId="1" applyFont="1" applyFill="1" applyBorder="1" applyAlignment="1" applyProtection="1">
      <alignment horizontal="left"/>
      <protection locked="0"/>
    </xf>
    <xf numFmtId="0" fontId="6" fillId="8" borderId="1" xfId="0" applyFont="1" applyFill="1" applyBorder="1" applyAlignment="1" applyProtection="1">
      <alignment horizontal="center"/>
    </xf>
    <xf numFmtId="2" fontId="61" fillId="0" borderId="6" xfId="0" applyNumberFormat="1" applyFont="1" applyFill="1" applyBorder="1" applyAlignment="1" applyProtection="1">
      <alignment horizontal="center" vertical="center"/>
    </xf>
    <xf numFmtId="2" fontId="61" fillId="0" borderId="8" xfId="0" applyNumberFormat="1" applyFont="1" applyFill="1" applyBorder="1" applyAlignment="1" applyProtection="1">
      <alignment horizontal="center" vertical="center"/>
    </xf>
    <xf numFmtId="2" fontId="61" fillId="0" borderId="9" xfId="0" applyNumberFormat="1" applyFont="1" applyFill="1" applyBorder="1" applyAlignment="1" applyProtection="1">
      <alignment horizontal="center" vertical="center"/>
    </xf>
    <xf numFmtId="2" fontId="61" fillId="0" borderId="5" xfId="0" applyNumberFormat="1" applyFont="1" applyFill="1" applyBorder="1" applyAlignment="1" applyProtection="1">
      <alignment horizontal="center" vertical="center"/>
    </xf>
    <xf numFmtId="0" fontId="1" fillId="0" borderId="0" xfId="0" applyFont="1" applyFill="1" applyBorder="1" applyAlignment="1" applyProtection="1">
      <alignment horizontal="center"/>
    </xf>
    <xf numFmtId="0" fontId="60" fillId="0" borderId="0" xfId="1" applyFont="1" applyBorder="1" applyAlignment="1" applyProtection="1">
      <alignment horizontal="center"/>
    </xf>
    <xf numFmtId="0" fontId="52" fillId="5" borderId="0" xfId="0" applyFont="1" applyFill="1" applyBorder="1" applyAlignment="1" applyProtection="1">
      <alignment horizontal="center"/>
    </xf>
    <xf numFmtId="0" fontId="10" fillId="8" borderId="0" xfId="0" applyFont="1" applyFill="1" applyAlignment="1" applyProtection="1">
      <alignment horizontal="center" vertical="center" wrapText="1"/>
    </xf>
    <xf numFmtId="0" fontId="52" fillId="8" borderId="0" xfId="0" applyFont="1" applyFill="1" applyBorder="1" applyAlignment="1" applyProtection="1">
      <alignment horizontal="center"/>
    </xf>
    <xf numFmtId="0" fontId="0" fillId="0" borderId="18" xfId="0" applyBorder="1"/>
    <xf numFmtId="0" fontId="1" fillId="0" borderId="0" xfId="0" applyFont="1"/>
    <xf numFmtId="0" fontId="74" fillId="0" borderId="0" xfId="0" applyFont="1" applyBorder="1" applyAlignment="1" applyProtection="1">
      <alignment horizontal="center" wrapText="1"/>
    </xf>
    <xf numFmtId="0" fontId="63" fillId="5" borderId="36" xfId="0" applyFont="1" applyFill="1" applyBorder="1" applyAlignment="1" applyProtection="1">
      <alignment horizontal="center" vertical="center"/>
    </xf>
    <xf numFmtId="0" fontId="63" fillId="5" borderId="38" xfId="0" applyFont="1" applyFill="1" applyBorder="1" applyAlignment="1" applyProtection="1">
      <alignment horizontal="center" vertical="center"/>
    </xf>
    <xf numFmtId="0" fontId="63" fillId="5" borderId="34" xfId="0" quotePrefix="1" applyFont="1" applyFill="1" applyBorder="1" applyAlignment="1" applyProtection="1">
      <alignment horizontal="right" vertical="center"/>
    </xf>
    <xf numFmtId="0" fontId="63" fillId="5" borderId="37" xfId="0" applyFont="1" applyFill="1" applyBorder="1" applyAlignment="1" applyProtection="1">
      <alignment horizontal="right" vertical="center"/>
    </xf>
    <xf numFmtId="0" fontId="21" fillId="0" borderId="0" xfId="1" applyFont="1" applyFill="1" applyBorder="1" applyAlignment="1" applyProtection="1">
      <alignment horizontal="center" vertical="center" wrapText="1"/>
    </xf>
    <xf numFmtId="0" fontId="21" fillId="0" borderId="0" xfId="1" applyFont="1" applyFill="1" applyBorder="1" applyAlignment="1" applyProtection="1">
      <alignment horizontal="center" vertical="center"/>
    </xf>
    <xf numFmtId="0" fontId="45" fillId="0" borderId="0" xfId="1" applyFont="1" applyFill="1" applyBorder="1" applyAlignment="1" applyProtection="1">
      <alignment horizontal="center" vertical="center" wrapText="1"/>
    </xf>
    <xf numFmtId="0" fontId="77" fillId="0" borderId="0" xfId="1" applyFont="1" applyFill="1" applyBorder="1" applyAlignment="1" applyProtection="1">
      <alignment horizontal="center" vertical="center" wrapText="1"/>
    </xf>
    <xf numFmtId="0" fontId="63" fillId="5" borderId="35" xfId="0" applyFont="1" applyFill="1" applyBorder="1" applyAlignment="1" applyProtection="1">
      <alignment horizontal="left" vertical="center"/>
    </xf>
    <xf numFmtId="0" fontId="63" fillId="5" borderId="11" xfId="0" applyFont="1" applyFill="1" applyBorder="1" applyAlignment="1" applyProtection="1">
      <alignment horizontal="left" vertical="center"/>
    </xf>
    <xf numFmtId="0" fontId="35" fillId="0" borderId="2" xfId="1" applyFill="1" applyBorder="1" applyAlignment="1" applyProtection="1">
      <alignment horizontal="left"/>
    </xf>
    <xf numFmtId="0" fontId="35" fillId="0" borderId="0" xfId="1" applyFill="1" applyBorder="1" applyAlignment="1" applyProtection="1">
      <alignment horizontal="left"/>
    </xf>
    <xf numFmtId="0" fontId="35" fillId="0" borderId="21" xfId="1" applyFill="1" applyBorder="1" applyAlignment="1" applyProtection="1">
      <alignment horizontal="left"/>
    </xf>
    <xf numFmtId="0" fontId="64" fillId="0" borderId="0" xfId="1" applyFont="1" applyFill="1" applyBorder="1" applyAlignment="1" applyProtection="1">
      <alignment horizontal="right" vertical="center" wrapText="1"/>
    </xf>
    <xf numFmtId="0" fontId="71" fillId="0" borderId="0" xfId="1" applyFont="1" applyFill="1" applyBorder="1" applyAlignment="1" applyProtection="1">
      <alignment horizontal="right" vertical="center" wrapText="1"/>
    </xf>
    <xf numFmtId="0" fontId="73" fillId="6" borderId="0" xfId="0" applyFont="1" applyFill="1" applyBorder="1" applyAlignment="1" applyProtection="1">
      <alignment horizontal="center" wrapText="1"/>
    </xf>
    <xf numFmtId="0" fontId="73" fillId="6" borderId="3" xfId="0" applyFont="1" applyFill="1" applyBorder="1" applyAlignment="1" applyProtection="1">
      <alignment horizontal="center" wrapText="1"/>
    </xf>
    <xf numFmtId="0" fontId="21" fillId="2" borderId="2" xfId="0" applyFont="1" applyFill="1" applyBorder="1" applyAlignment="1" applyProtection="1">
      <alignment horizontal="center" textRotation="90"/>
    </xf>
    <xf numFmtId="0" fontId="6" fillId="0" borderId="20" xfId="0" applyFont="1" applyFill="1" applyBorder="1" applyAlignment="1" applyProtection="1">
      <alignment horizontal="center" textRotation="90"/>
    </xf>
    <xf numFmtId="0" fontId="0" fillId="6" borderId="0" xfId="0" applyFill="1" applyAlignment="1" applyProtection="1">
      <alignment horizontal="center"/>
    </xf>
    <xf numFmtId="0" fontId="46" fillId="0" borderId="0" xfId="1" applyFont="1" applyFill="1" applyBorder="1" applyAlignment="1" applyProtection="1">
      <alignment horizontal="left"/>
    </xf>
    <xf numFmtId="0" fontId="19" fillId="0" borderId="0" xfId="0" applyFont="1" applyFill="1" applyBorder="1" applyAlignment="1" applyProtection="1">
      <alignment horizontal="center"/>
    </xf>
    <xf numFmtId="0" fontId="22" fillId="0" borderId="0" xfId="0" applyFont="1" applyFill="1" applyBorder="1" applyAlignment="1" applyProtection="1">
      <alignment horizontal="center"/>
    </xf>
    <xf numFmtId="0" fontId="0" fillId="0" borderId="0" xfId="0" applyFill="1" applyBorder="1" applyAlignment="1" applyProtection="1">
      <alignment horizontal="center"/>
    </xf>
    <xf numFmtId="0" fontId="6" fillId="0" borderId="0" xfId="0" applyFont="1" applyAlignment="1" applyProtection="1">
      <alignment horizontal="center"/>
    </xf>
    <xf numFmtId="0" fontId="8" fillId="2" borderId="0" xfId="0" applyFont="1" applyFill="1" applyBorder="1" applyAlignment="1" applyProtection="1">
      <alignment horizontal="center"/>
    </xf>
    <xf numFmtId="0" fontId="8" fillId="2" borderId="0" xfId="0" applyFont="1" applyFill="1" applyAlignment="1" applyProtection="1"/>
    <xf numFmtId="0" fontId="0" fillId="2" borderId="0" xfId="0" applyFill="1" applyAlignment="1" applyProtection="1"/>
    <xf numFmtId="0" fontId="14" fillId="5" borderId="0" xfId="2" applyFill="1" applyAlignment="1" applyProtection="1">
      <alignment horizontal="center"/>
      <protection locked="0"/>
    </xf>
    <xf numFmtId="0" fontId="70" fillId="0" borderId="28" xfId="2" applyFont="1" applyFill="1" applyBorder="1" applyAlignment="1" applyProtection="1">
      <alignment horizontal="center" vertical="center"/>
      <protection locked="0"/>
    </xf>
    <xf numFmtId="0" fontId="70" fillId="0" borderId="29" xfId="2" applyFont="1" applyFill="1" applyBorder="1" applyAlignment="1" applyProtection="1">
      <alignment horizontal="center" vertical="center"/>
      <protection locked="0"/>
    </xf>
    <xf numFmtId="0" fontId="70" fillId="0" borderId="30" xfId="2" applyFont="1" applyFill="1" applyBorder="1" applyAlignment="1" applyProtection="1">
      <alignment horizontal="center" vertical="center"/>
      <protection locked="0"/>
    </xf>
    <xf numFmtId="0" fontId="70" fillId="0" borderId="31" xfId="2" applyFont="1" applyFill="1" applyBorder="1" applyAlignment="1" applyProtection="1">
      <alignment horizontal="center" vertical="center"/>
      <protection locked="0"/>
    </xf>
    <xf numFmtId="0" fontId="70" fillId="0" borderId="32" xfId="2" applyFont="1" applyFill="1" applyBorder="1" applyAlignment="1" applyProtection="1">
      <alignment horizontal="center" vertical="center"/>
      <protection locked="0"/>
    </xf>
    <xf numFmtId="0" fontId="70" fillId="0" borderId="33" xfId="2" applyFont="1" applyFill="1" applyBorder="1" applyAlignment="1" applyProtection="1">
      <alignment horizontal="center" vertical="center"/>
      <protection locked="0"/>
    </xf>
    <xf numFmtId="0" fontId="37" fillId="0" borderId="0" xfId="0" applyFont="1" applyAlignment="1">
      <alignment horizontal="center"/>
    </xf>
    <xf numFmtId="0" fontId="39" fillId="0" borderId="0" xfId="0" applyFont="1" applyAlignment="1">
      <alignment horizontal="center"/>
    </xf>
    <xf numFmtId="0" fontId="38" fillId="4" borderId="1" xfId="0" applyFont="1" applyFill="1" applyBorder="1" applyAlignment="1" applyProtection="1">
      <alignment horizontal="left"/>
      <protection locked="0"/>
    </xf>
    <xf numFmtId="0" fontId="38" fillId="0" borderId="7" xfId="0" applyFont="1" applyBorder="1" applyAlignment="1">
      <alignment horizontal="center"/>
    </xf>
    <xf numFmtId="0" fontId="38" fillId="0" borderId="0" xfId="0" applyFont="1" applyAlignment="1">
      <alignment horizontal="center"/>
    </xf>
    <xf numFmtId="0" fontId="38" fillId="4" borderId="16" xfId="0" applyFont="1" applyFill="1" applyBorder="1" applyAlignment="1" applyProtection="1">
      <alignment horizontal="center"/>
      <protection locked="0"/>
    </xf>
    <xf numFmtId="0" fontId="38" fillId="4" borderId="1" xfId="0" applyFont="1" applyFill="1" applyBorder="1" applyAlignment="1" applyProtection="1">
      <alignment horizontal="center"/>
      <protection locked="0"/>
    </xf>
    <xf numFmtId="0" fontId="38" fillId="4" borderId="1" xfId="0" applyFont="1" applyFill="1" applyBorder="1" applyAlignment="1" applyProtection="1">
      <protection locked="0"/>
    </xf>
  </cellXfs>
  <cellStyles count="4">
    <cellStyle name="Hyperlink" xfId="1" builtinId="8"/>
    <cellStyle name="Normal" xfId="0" builtinId="0"/>
    <cellStyle name="Normal_PS Rehab Bridge sheet" xfId="2" xr:uid="{00000000-0005-0000-0000-000002000000}"/>
    <cellStyle name="Percent" xfId="3" builtinId="5"/>
  </cellStyles>
  <dxfs count="11">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581025</xdr:colOff>
          <xdr:row>18</xdr:row>
          <xdr:rowOff>66675</xdr:rowOff>
        </xdr:from>
        <xdr:to>
          <xdr:col>6</xdr:col>
          <xdr:colOff>209550</xdr:colOff>
          <xdr:row>19</xdr:row>
          <xdr:rowOff>85725</xdr:rowOff>
        </xdr:to>
        <xdr:sp macro="" textlink="">
          <xdr:nvSpPr>
            <xdr:cNvPr id="16385" name="Picture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solidFill>
              <a:srgbClr val="E3E3E3"/>
            </a:solidFill>
            <a:ln>
              <a:noFill/>
            </a:ln>
            <a:extLs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285750</xdr:colOff>
      <xdr:row>5</xdr:row>
      <xdr:rowOff>47625</xdr:rowOff>
    </xdr:from>
    <xdr:to>
      <xdr:col>3</xdr:col>
      <xdr:colOff>295275</xdr:colOff>
      <xdr:row>6</xdr:row>
      <xdr:rowOff>114300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a:off x="2114550" y="866775"/>
          <a:ext cx="9525" cy="2286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10</xdr:col>
      <xdr:colOff>504825</xdr:colOff>
      <xdr:row>4</xdr:row>
      <xdr:rowOff>19051</xdr:rowOff>
    </xdr:from>
    <xdr:to>
      <xdr:col>11</xdr:col>
      <xdr:colOff>104775</xdr:colOff>
      <xdr:row>5</xdr:row>
      <xdr:rowOff>142876</xdr:rowOff>
    </xdr:to>
    <xdr:sp macro="" textlink="">
      <xdr:nvSpPr>
        <xdr:cNvPr id="4" name="Bent Arrow 3">
          <a:extLst>
            <a:ext uri="{FF2B5EF4-FFF2-40B4-BE49-F238E27FC236}">
              <a16:creationId xmlns:a16="http://schemas.microsoft.com/office/drawing/2014/main" id="{00000000-0008-0000-0200-000004000000}"/>
            </a:ext>
          </a:extLst>
        </xdr:cNvPr>
        <xdr:cNvSpPr/>
      </xdr:nvSpPr>
      <xdr:spPr bwMode="auto">
        <a:xfrm rot="5400000">
          <a:off x="6562725" y="714376"/>
          <a:ext cx="285750" cy="209550"/>
        </a:xfrm>
        <a:prstGeom prst="ben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276225</xdr:colOff>
      <xdr:row>12</xdr:row>
      <xdr:rowOff>38100</xdr:rowOff>
    </xdr:from>
    <xdr:to>
      <xdr:col>7</xdr:col>
      <xdr:colOff>276225</xdr:colOff>
      <xdr:row>13</xdr:row>
      <xdr:rowOff>9525</xdr:rowOff>
    </xdr:to>
    <xdr:sp macro="" textlink="">
      <xdr:nvSpPr>
        <xdr:cNvPr id="2" name="Line 71">
          <a:extLst>
            <a:ext uri="{FF2B5EF4-FFF2-40B4-BE49-F238E27FC236}">
              <a16:creationId xmlns:a16="http://schemas.microsoft.com/office/drawing/2014/main" id="{00000000-0008-0000-0300-000002000000}"/>
            </a:ext>
          </a:extLst>
        </xdr:cNvPr>
        <xdr:cNvSpPr>
          <a:spLocks noChangeShapeType="1"/>
        </xdr:cNvSpPr>
      </xdr:nvSpPr>
      <xdr:spPr bwMode="auto">
        <a:xfrm>
          <a:off x="3143250" y="5867400"/>
          <a:ext cx="0"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12</xdr:row>
      <xdr:rowOff>9525</xdr:rowOff>
    </xdr:from>
    <xdr:to>
      <xdr:col>2</xdr:col>
      <xdr:colOff>495300</xdr:colOff>
      <xdr:row>13</xdr:row>
      <xdr:rowOff>57150</xdr:rowOff>
    </xdr:to>
    <xdr:sp macro="" textlink="">
      <xdr:nvSpPr>
        <xdr:cNvPr id="3" name="Line 72">
          <a:extLst>
            <a:ext uri="{FF2B5EF4-FFF2-40B4-BE49-F238E27FC236}">
              <a16:creationId xmlns:a16="http://schemas.microsoft.com/office/drawing/2014/main" id="{00000000-0008-0000-0300-000003000000}"/>
            </a:ext>
          </a:extLst>
        </xdr:cNvPr>
        <xdr:cNvSpPr>
          <a:spLocks noChangeShapeType="1"/>
        </xdr:cNvSpPr>
      </xdr:nvSpPr>
      <xdr:spPr bwMode="auto">
        <a:xfrm flipH="1">
          <a:off x="1038225" y="5838825"/>
          <a:ext cx="9525"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5"/>
  </sheetPr>
  <dimension ref="A1:S61"/>
  <sheetViews>
    <sheetView showGridLines="0" tabSelected="1" topLeftCell="A10" zoomScaleNormal="100" workbookViewId="0">
      <selection activeCell="D34" sqref="D34:F34"/>
    </sheetView>
  </sheetViews>
  <sheetFormatPr defaultColWidth="7.7109375" defaultRowHeight="12.75" customHeight="1" x14ac:dyDescent="0.2"/>
  <cols>
    <col min="1" max="1" width="7.7109375" style="242"/>
    <col min="2" max="16384" width="7.7109375" style="139"/>
  </cols>
  <sheetData>
    <row r="1" spans="1:14" ht="12.75" customHeight="1" x14ac:dyDescent="0.2">
      <c r="D1" s="494"/>
      <c r="E1" s="494"/>
      <c r="F1" s="494"/>
      <c r="G1" s="494"/>
      <c r="H1" s="494"/>
    </row>
    <row r="2" spans="1:14" ht="12.75" customHeight="1" x14ac:dyDescent="0.2">
      <c r="D2" s="494"/>
      <c r="E2" s="494"/>
      <c r="F2" s="494"/>
      <c r="G2" s="494"/>
      <c r="H2" s="494"/>
    </row>
    <row r="3" spans="1:14" ht="12.75" customHeight="1" x14ac:dyDescent="0.35">
      <c r="B3" s="15"/>
      <c r="C3" s="15"/>
      <c r="D3" s="273"/>
      <c r="E3" s="496"/>
      <c r="F3" s="496"/>
      <c r="G3" s="496"/>
      <c r="H3" s="496"/>
      <c r="I3" s="496"/>
      <c r="J3" s="15"/>
      <c r="K3" s="15"/>
      <c r="L3" s="15"/>
      <c r="M3" s="15"/>
      <c r="N3" s="15"/>
    </row>
    <row r="4" spans="1:14" ht="12.75" customHeight="1" x14ac:dyDescent="0.2">
      <c r="A4" s="266"/>
      <c r="B4" s="30"/>
      <c r="C4" s="30"/>
      <c r="D4" s="30"/>
      <c r="E4" s="16"/>
      <c r="F4" s="16"/>
      <c r="G4" s="30"/>
      <c r="H4" s="16"/>
      <c r="I4" s="30"/>
      <c r="J4" s="495" t="s">
        <v>338</v>
      </c>
      <c r="K4" s="495"/>
      <c r="L4" s="495"/>
      <c r="M4" s="495"/>
      <c r="N4" s="240"/>
    </row>
    <row r="5" spans="1:14" ht="12.75" customHeight="1" x14ac:dyDescent="0.2">
      <c r="A5" s="266"/>
      <c r="B5" s="30" t="s">
        <v>0</v>
      </c>
      <c r="C5" s="15"/>
      <c r="D5" s="483"/>
      <c r="E5" s="483"/>
      <c r="F5" s="483"/>
      <c r="G5" s="41"/>
      <c r="H5" s="40"/>
      <c r="I5" s="30"/>
      <c r="J5" s="495"/>
      <c r="K5" s="495"/>
      <c r="L5" s="495"/>
      <c r="M5" s="495"/>
      <c r="N5" s="240"/>
    </row>
    <row r="6" spans="1:14" ht="12.75" customHeight="1" x14ac:dyDescent="0.2">
      <c r="A6" s="266"/>
      <c r="B6" s="30"/>
      <c r="C6" s="15"/>
      <c r="D6" s="41"/>
      <c r="E6" s="40"/>
      <c r="F6" s="40"/>
      <c r="G6" s="41"/>
      <c r="H6" s="40"/>
      <c r="I6" s="30"/>
      <c r="J6" s="495"/>
      <c r="K6" s="495"/>
      <c r="L6" s="495"/>
      <c r="M6" s="495"/>
      <c r="N6" s="240"/>
    </row>
    <row r="7" spans="1:14" ht="12.75" customHeight="1" x14ac:dyDescent="0.2">
      <c r="A7" s="266"/>
      <c r="B7" s="30" t="s">
        <v>1</v>
      </c>
      <c r="C7" s="15"/>
      <c r="D7" s="483"/>
      <c r="E7" s="483"/>
      <c r="F7" s="483"/>
      <c r="G7" s="483"/>
      <c r="H7" s="483"/>
      <c r="I7" s="483"/>
      <c r="J7" s="495" t="s">
        <v>337</v>
      </c>
      <c r="K7" s="495"/>
      <c r="L7" s="495"/>
      <c r="M7" s="495"/>
      <c r="N7" s="240"/>
    </row>
    <row r="8" spans="1:14" ht="12.75" customHeight="1" x14ac:dyDescent="0.2">
      <c r="A8" s="266"/>
      <c r="B8" s="30"/>
      <c r="C8" s="15"/>
      <c r="D8" s="41"/>
      <c r="E8" s="42"/>
      <c r="F8" s="42"/>
      <c r="G8" s="42"/>
      <c r="H8" s="42"/>
      <c r="I8" s="15"/>
      <c r="J8" s="495"/>
      <c r="K8" s="495"/>
      <c r="L8" s="495"/>
      <c r="M8" s="495"/>
      <c r="N8" s="240"/>
    </row>
    <row r="9" spans="1:14" ht="12.75" customHeight="1" x14ac:dyDescent="0.2">
      <c r="B9" s="59" t="s">
        <v>226</v>
      </c>
      <c r="C9" s="15"/>
      <c r="D9" s="483"/>
      <c r="E9" s="483"/>
      <c r="F9" s="483"/>
      <c r="G9" s="42"/>
      <c r="H9" s="42"/>
      <c r="I9" s="15"/>
      <c r="J9" s="16"/>
      <c r="K9" s="30"/>
      <c r="L9" s="30"/>
      <c r="M9" s="30"/>
      <c r="N9" s="240"/>
    </row>
    <row r="10" spans="1:14" ht="12.75" customHeight="1" x14ac:dyDescent="0.2">
      <c r="B10" s="240"/>
      <c r="C10" s="30"/>
      <c r="D10" s="45"/>
      <c r="E10" s="43"/>
      <c r="F10" s="15"/>
      <c r="G10" s="44"/>
      <c r="H10" s="15"/>
      <c r="I10" s="15"/>
      <c r="J10" s="15"/>
      <c r="K10" s="482" t="s">
        <v>263</v>
      </c>
      <c r="L10" s="482"/>
      <c r="M10" s="488">
        <f>SUM(K29,K42,K45)</f>
        <v>0</v>
      </c>
      <c r="N10" s="489"/>
    </row>
    <row r="11" spans="1:14" ht="12.75" customHeight="1" x14ac:dyDescent="0.2">
      <c r="B11" s="240" t="s">
        <v>330</v>
      </c>
      <c r="C11" s="175"/>
      <c r="D11" s="13"/>
      <c r="E11" s="39" t="s">
        <v>329</v>
      </c>
      <c r="F11" s="274"/>
      <c r="G11" s="15"/>
      <c r="H11" s="15"/>
      <c r="I11" s="15"/>
      <c r="J11" s="15"/>
      <c r="K11" s="482"/>
      <c r="L11" s="482"/>
      <c r="M11" s="490"/>
      <c r="N11" s="491"/>
    </row>
    <row r="12" spans="1:14" ht="12.75" customHeight="1" x14ac:dyDescent="0.2">
      <c r="B12" s="240"/>
      <c r="C12" s="15"/>
      <c r="D12" s="15"/>
      <c r="E12" s="15"/>
      <c r="F12" s="15"/>
      <c r="G12" s="15"/>
      <c r="H12" s="15"/>
      <c r="I12" s="15"/>
      <c r="J12" s="15"/>
      <c r="K12" s="15"/>
      <c r="L12" s="15"/>
      <c r="M12" s="15"/>
      <c r="N12" s="15"/>
    </row>
    <row r="13" spans="1:14" ht="12.75" customHeight="1" x14ac:dyDescent="0.2">
      <c r="B13" s="20" t="s">
        <v>311</v>
      </c>
      <c r="C13" s="15"/>
      <c r="D13" s="275"/>
      <c r="E13" s="15"/>
      <c r="F13" s="15"/>
      <c r="G13" s="15"/>
      <c r="H13" s="15"/>
      <c r="I13" s="15"/>
      <c r="J13" s="15"/>
      <c r="K13" s="15"/>
      <c r="L13" s="15"/>
      <c r="M13" s="15"/>
      <c r="N13" s="15"/>
    </row>
    <row r="14" spans="1:14" ht="12.75" customHeight="1" x14ac:dyDescent="0.2">
      <c r="B14" s="15"/>
      <c r="C14" s="15"/>
      <c r="D14" s="15"/>
      <c r="E14" s="15"/>
      <c r="F14" s="15"/>
      <c r="G14" s="15"/>
      <c r="H14" s="15"/>
      <c r="I14" s="15"/>
      <c r="J14" s="15"/>
      <c r="K14" s="15"/>
      <c r="L14" s="15"/>
      <c r="M14" s="15"/>
      <c r="N14" s="15"/>
    </row>
    <row r="15" spans="1:14" ht="12.75" customHeight="1" thickBot="1" x14ac:dyDescent="0.25">
      <c r="B15" s="15"/>
      <c r="C15" s="15"/>
      <c r="D15" s="15"/>
      <c r="E15" s="15"/>
      <c r="F15" s="15"/>
      <c r="G15" s="15"/>
      <c r="H15" s="15"/>
      <c r="I15" s="15"/>
      <c r="J15" s="15"/>
      <c r="K15" s="15"/>
      <c r="L15" s="15"/>
      <c r="M15" s="15"/>
      <c r="N15" s="15"/>
    </row>
    <row r="16" spans="1:14" ht="12.75" customHeight="1" x14ac:dyDescent="0.2">
      <c r="B16" s="276"/>
      <c r="C16" s="126"/>
      <c r="D16" s="94"/>
      <c r="E16" s="126"/>
      <c r="F16" s="126"/>
      <c r="G16" s="126"/>
      <c r="H16" s="127"/>
      <c r="I16" s="127"/>
      <c r="J16" s="126"/>
      <c r="K16" s="126"/>
      <c r="L16" s="126"/>
      <c r="M16" s="94"/>
      <c r="N16" s="95"/>
    </row>
    <row r="17" spans="2:17" ht="12.75" customHeight="1" x14ac:dyDescent="0.2">
      <c r="B17" s="239"/>
      <c r="C17" s="492" t="s">
        <v>339</v>
      </c>
      <c r="D17" s="492"/>
      <c r="E17" s="492"/>
      <c r="F17" s="492"/>
      <c r="G17" s="492"/>
      <c r="H17" s="492"/>
      <c r="I17" s="492"/>
      <c r="J17" s="492"/>
      <c r="K17" s="492"/>
      <c r="L17" s="492"/>
      <c r="M17" s="277"/>
      <c r="N17" s="97"/>
    </row>
    <row r="18" spans="2:17" ht="12.75" customHeight="1" x14ac:dyDescent="0.2">
      <c r="B18" s="239"/>
      <c r="C18" s="31"/>
      <c r="D18" s="31"/>
      <c r="E18" s="493" t="s">
        <v>340</v>
      </c>
      <c r="F18" s="493"/>
      <c r="G18" s="493"/>
      <c r="H18" s="493"/>
      <c r="I18" s="493"/>
      <c r="J18" s="493"/>
      <c r="K18" s="31"/>
      <c r="L18" s="31"/>
      <c r="M18" s="39"/>
      <c r="N18" s="97"/>
    </row>
    <row r="19" spans="2:17" ht="12.75" customHeight="1" x14ac:dyDescent="0.25">
      <c r="B19" s="239"/>
      <c r="C19" s="315"/>
      <c r="D19" s="315"/>
      <c r="E19" s="315"/>
      <c r="F19" s="315"/>
      <c r="G19" s="329"/>
      <c r="H19" s="316"/>
      <c r="I19" s="487"/>
      <c r="J19" s="487"/>
      <c r="K19" s="317"/>
      <c r="L19" s="330"/>
      <c r="M19" s="278"/>
      <c r="N19" s="97"/>
    </row>
    <row r="20" spans="2:17" ht="12.75" customHeight="1" x14ac:dyDescent="0.25">
      <c r="B20" s="239"/>
      <c r="C20" s="31"/>
      <c r="D20" s="31"/>
      <c r="E20" s="31"/>
      <c r="F20" s="31"/>
      <c r="G20" s="39"/>
      <c r="H20" s="279"/>
      <c r="I20" s="279"/>
      <c r="J20" s="280"/>
      <c r="K20" s="281"/>
      <c r="L20" s="281"/>
      <c r="M20" s="282"/>
      <c r="N20" s="97"/>
    </row>
    <row r="21" spans="2:17" ht="12.75" customHeight="1" x14ac:dyDescent="0.25">
      <c r="B21" s="239"/>
      <c r="C21" s="31"/>
      <c r="D21" s="31"/>
      <c r="E21" s="31"/>
      <c r="F21" s="31"/>
      <c r="G21" s="39"/>
      <c r="H21" s="283"/>
      <c r="I21" s="283"/>
      <c r="J21" s="280"/>
      <c r="K21" s="284"/>
      <c r="L21" s="284"/>
      <c r="M21" s="285"/>
      <c r="N21" s="97"/>
    </row>
    <row r="22" spans="2:17" ht="12.75" customHeight="1" x14ac:dyDescent="0.2">
      <c r="B22" s="239"/>
      <c r="C22" s="31"/>
      <c r="D22" s="31"/>
      <c r="E22" s="31"/>
      <c r="F22" s="31"/>
      <c r="G22" s="39"/>
      <c r="H22" s="31" t="s">
        <v>2</v>
      </c>
      <c r="I22" s="216"/>
      <c r="J22" s="39"/>
      <c r="K22" s="286" t="s">
        <v>213</v>
      </c>
      <c r="L22" s="216"/>
      <c r="M22" s="237"/>
      <c r="N22" s="97"/>
    </row>
    <row r="23" spans="2:17" ht="12.75" customHeight="1" x14ac:dyDescent="0.2">
      <c r="B23" s="239"/>
      <c r="C23" s="287"/>
      <c r="D23" s="44"/>
      <c r="E23" s="44"/>
      <c r="F23" s="31"/>
      <c r="G23" s="39"/>
      <c r="H23" s="315" t="s">
        <v>3</v>
      </c>
      <c r="I23" s="216"/>
      <c r="J23" s="39"/>
      <c r="K23" s="328" t="s">
        <v>26</v>
      </c>
      <c r="L23" s="218"/>
      <c r="M23" s="288"/>
      <c r="N23" s="97"/>
    </row>
    <row r="24" spans="2:17" ht="12.75" customHeight="1" x14ac:dyDescent="0.2">
      <c r="B24" s="239"/>
      <c r="C24" s="312" t="s">
        <v>5</v>
      </c>
      <c r="D24" s="129"/>
      <c r="E24" s="44"/>
      <c r="F24" s="31"/>
      <c r="G24" s="39"/>
      <c r="H24" s="31"/>
      <c r="I24" s="216"/>
      <c r="J24" s="39"/>
      <c r="K24" s="286"/>
      <c r="L24" s="216"/>
      <c r="M24" s="237"/>
      <c r="N24" s="97"/>
    </row>
    <row r="25" spans="2:17" ht="12.75" customHeight="1" x14ac:dyDescent="0.2">
      <c r="B25" s="181"/>
      <c r="C25" s="289"/>
      <c r="D25" s="289"/>
      <c r="E25" s="237"/>
      <c r="F25" s="31"/>
      <c r="G25" s="39"/>
      <c r="H25" s="324"/>
      <c r="I25" s="216"/>
      <c r="J25" s="39"/>
      <c r="K25" s="286"/>
      <c r="L25" s="47"/>
      <c r="M25" s="237"/>
      <c r="N25" s="97"/>
    </row>
    <row r="26" spans="2:17" ht="12.75" customHeight="1" x14ac:dyDescent="0.2">
      <c r="B26" s="239"/>
      <c r="C26" s="15"/>
      <c r="D26" s="238" t="s">
        <v>6</v>
      </c>
      <c r="E26" s="236"/>
      <c r="F26" s="236"/>
      <c r="G26" s="39"/>
      <c r="H26" s="325">
        <v>20</v>
      </c>
      <c r="I26" s="176"/>
      <c r="J26" s="290"/>
      <c r="K26" s="217">
        <f>'Traffic &amp; Accidents'!K67</f>
        <v>0</v>
      </c>
      <c r="L26" s="240"/>
      <c r="M26" s="291"/>
      <c r="N26" s="97"/>
    </row>
    <row r="27" spans="2:17" ht="12.75" customHeight="1" x14ac:dyDescent="0.2">
      <c r="B27" s="239"/>
      <c r="C27" s="15"/>
      <c r="D27" s="238" t="s">
        <v>7</v>
      </c>
      <c r="E27" s="236"/>
      <c r="F27" s="236"/>
      <c r="G27" s="39"/>
      <c r="H27" s="325">
        <v>25</v>
      </c>
      <c r="I27" s="176"/>
      <c r="J27" s="290"/>
      <c r="K27" s="292">
        <f>IF('Traffic &amp; Accidents'!K96&gt;25,25,'Traffic &amp; Accidents'!K96)</f>
        <v>0</v>
      </c>
      <c r="L27" s="240"/>
      <c r="M27" s="291"/>
      <c r="N27" s="97"/>
    </row>
    <row r="28" spans="2:17" ht="12.75" customHeight="1" x14ac:dyDescent="0.2">
      <c r="B28" s="239"/>
      <c r="C28" s="237"/>
      <c r="D28" s="293"/>
      <c r="E28" s="293"/>
      <c r="F28" s="20"/>
      <c r="G28" s="39"/>
      <c r="H28" s="325"/>
      <c r="I28" s="39"/>
      <c r="J28" s="294"/>
      <c r="K28" s="49"/>
      <c r="L28" s="240"/>
      <c r="M28" s="241"/>
      <c r="N28" s="97"/>
      <c r="O28" s="268"/>
      <c r="P28" s="269" t="s">
        <v>301</v>
      </c>
      <c r="Q28" s="268"/>
    </row>
    <row r="29" spans="2:17" ht="12.75" customHeight="1" x14ac:dyDescent="0.2">
      <c r="B29" s="239"/>
      <c r="C29" s="237"/>
      <c r="D29" s="293"/>
      <c r="E29" s="293"/>
      <c r="F29" s="39"/>
      <c r="G29" s="217" t="s">
        <v>8</v>
      </c>
      <c r="H29" s="325">
        <f>SUM(H26:I27)</f>
        <v>45</v>
      </c>
      <c r="I29" s="295"/>
      <c r="J29" s="296"/>
      <c r="K29" s="327">
        <f>ROUND(SUM(K26:K27),2)</f>
        <v>0</v>
      </c>
      <c r="L29" s="240"/>
      <c r="M29" s="291"/>
      <c r="N29" s="97"/>
      <c r="O29" s="268"/>
      <c r="P29" s="270" t="s">
        <v>281</v>
      </c>
      <c r="Q29" s="268"/>
    </row>
    <row r="30" spans="2:17" ht="12.75" customHeight="1" thickBot="1" x14ac:dyDescent="0.25">
      <c r="B30" s="239"/>
      <c r="C30" s="318"/>
      <c r="D30" s="318"/>
      <c r="E30" s="318"/>
      <c r="F30" s="319"/>
      <c r="G30" s="321"/>
      <c r="H30" s="326"/>
      <c r="I30" s="321"/>
      <c r="J30" s="322"/>
      <c r="K30" s="320"/>
      <c r="L30" s="323"/>
      <c r="M30" s="241"/>
      <c r="N30" s="97"/>
      <c r="O30" s="271" t="e">
        <f>IF(AND(Geometry!E35&lt;Geometry!G35,Geometry!G35&lt;Geometry!H35),P30,#REF!)</f>
        <v>#REF!</v>
      </c>
      <c r="P30" s="271" t="e">
        <f>IF(Geometry!E35&gt;=Geometry!H35,0,#REF!*((Geometry!G35-Geometry!E35)/(Geometry!H35-Geometry!E35)))</f>
        <v>#REF!</v>
      </c>
      <c r="Q30" s="268"/>
    </row>
    <row r="31" spans="2:17" ht="12.75" customHeight="1" thickTop="1" x14ac:dyDescent="0.2">
      <c r="B31" s="239"/>
      <c r="C31" s="238"/>
      <c r="D31" s="238"/>
      <c r="E31" s="238"/>
      <c r="F31" s="31"/>
      <c r="G31" s="39"/>
      <c r="H31" s="325"/>
      <c r="I31" s="39"/>
      <c r="J31" s="294"/>
      <c r="K31" s="48"/>
      <c r="L31" s="240"/>
      <c r="M31" s="241"/>
      <c r="N31" s="97"/>
      <c r="O31" s="272" t="e">
        <f>IF(Geometry!G34&lt;Geometry!H34,P31,#REF!)</f>
        <v>#REF!</v>
      </c>
      <c r="P31" s="272" t="e">
        <f>#REF!*((Geometry!G34-Geometry!E34)/(Geometry!H34-Geometry!E34))</f>
        <v>#REF!</v>
      </c>
      <c r="Q31" s="268"/>
    </row>
    <row r="32" spans="2:17" ht="12.75" customHeight="1" x14ac:dyDescent="0.2">
      <c r="B32" s="239"/>
      <c r="C32" s="313" t="s">
        <v>9</v>
      </c>
      <c r="D32" s="238"/>
      <c r="E32" s="238"/>
      <c r="F32" s="31"/>
      <c r="G32" s="39"/>
      <c r="H32" s="325"/>
      <c r="I32" s="39"/>
      <c r="J32" s="294"/>
      <c r="K32" s="48"/>
      <c r="L32" s="240"/>
      <c r="M32" s="241"/>
      <c r="N32" s="97"/>
      <c r="O32" s="268"/>
      <c r="P32" s="268"/>
      <c r="Q32" s="268"/>
    </row>
    <row r="33" spans="1:19" ht="12.75" customHeight="1" x14ac:dyDescent="0.2">
      <c r="A33" s="151"/>
      <c r="B33" s="128"/>
      <c r="C33" s="237"/>
      <c r="D33" s="238"/>
      <c r="E33" s="237"/>
      <c r="F33" s="31"/>
      <c r="G33" s="39"/>
      <c r="H33" s="325"/>
      <c r="I33" s="39"/>
      <c r="J33" s="294"/>
      <c r="K33" s="48"/>
      <c r="L33" s="15"/>
      <c r="M33" s="480"/>
      <c r="N33" s="97"/>
    </row>
    <row r="34" spans="1:19" ht="12.75" customHeight="1" x14ac:dyDescent="0.2">
      <c r="B34" s="239"/>
      <c r="C34" s="238"/>
      <c r="D34" s="486" t="s">
        <v>358</v>
      </c>
      <c r="E34" s="486"/>
      <c r="F34" s="486"/>
      <c r="G34" s="39"/>
      <c r="H34" s="325">
        <v>25</v>
      </c>
      <c r="I34" s="176"/>
      <c r="J34" s="290"/>
      <c r="K34" s="217">
        <f>IF(Structure!D9&lt;&gt;0,Structure!H22,Structure!J9)</f>
        <v>0</v>
      </c>
      <c r="L34" s="15"/>
      <c r="M34" s="217"/>
      <c r="N34" s="97"/>
    </row>
    <row r="35" spans="1:19" ht="12.75" customHeight="1" x14ac:dyDescent="0.2">
      <c r="B35" s="239"/>
      <c r="C35" s="238"/>
      <c r="D35" s="236"/>
      <c r="E35" s="236"/>
      <c r="F35" s="236"/>
      <c r="G35" s="39"/>
      <c r="H35" s="325"/>
      <c r="I35" s="176"/>
      <c r="J35" s="290"/>
      <c r="K35" s="217"/>
      <c r="L35" s="15"/>
      <c r="M35" s="217"/>
      <c r="N35" s="97"/>
    </row>
    <row r="36" spans="1:19" ht="12.75" customHeight="1" x14ac:dyDescent="0.2">
      <c r="B36" s="239"/>
      <c r="C36" s="297" t="s">
        <v>300</v>
      </c>
      <c r="D36" s="297"/>
      <c r="E36" s="240"/>
      <c r="F36" s="241"/>
      <c r="G36" s="39"/>
      <c r="H36" s="325"/>
      <c r="I36" s="39"/>
      <c r="J36" s="294"/>
      <c r="K36" s="48"/>
      <c r="L36" s="240"/>
      <c r="M36" s="241"/>
      <c r="N36" s="97"/>
      <c r="P36" s="188"/>
      <c r="S36" s="188"/>
    </row>
    <row r="37" spans="1:19" ht="12.75" customHeight="1" x14ac:dyDescent="0.2">
      <c r="B37" s="239"/>
      <c r="C37" s="238"/>
      <c r="D37" s="486" t="s">
        <v>119</v>
      </c>
      <c r="E37" s="486"/>
      <c r="F37" s="486"/>
      <c r="G37" s="39"/>
      <c r="H37" s="325">
        <v>5</v>
      </c>
      <c r="I37" s="176"/>
      <c r="J37" s="290"/>
      <c r="K37" s="217">
        <f>Geometry!D15</f>
        <v>0</v>
      </c>
      <c r="L37" s="240"/>
      <c r="M37" s="291"/>
      <c r="N37" s="97"/>
      <c r="P37" s="205"/>
      <c r="S37" s="205"/>
    </row>
    <row r="38" spans="1:19" ht="12.75" customHeight="1" x14ac:dyDescent="0.2">
      <c r="B38" s="239"/>
      <c r="C38" s="238"/>
      <c r="D38" s="486" t="s">
        <v>120</v>
      </c>
      <c r="E38" s="486"/>
      <c r="F38" s="486"/>
      <c r="G38" s="39"/>
      <c r="H38" s="325">
        <v>5</v>
      </c>
      <c r="I38" s="176"/>
      <c r="J38" s="290"/>
      <c r="K38" s="217" t="str">
        <f>IF(Geometry!H29&lt;&gt;0,Geometry!I15,"")</f>
        <v/>
      </c>
      <c r="L38" s="240"/>
      <c r="M38" s="291"/>
      <c r="N38" s="97"/>
      <c r="O38" s="243"/>
      <c r="P38" s="243"/>
      <c r="R38" s="243"/>
      <c r="S38" s="243"/>
    </row>
    <row r="39" spans="1:19" ht="12.75" customHeight="1" x14ac:dyDescent="0.2">
      <c r="B39" s="239"/>
      <c r="C39" s="238"/>
      <c r="D39" s="486" t="s">
        <v>121</v>
      </c>
      <c r="E39" s="486"/>
      <c r="F39" s="486"/>
      <c r="G39" s="39"/>
      <c r="H39" s="325">
        <v>10</v>
      </c>
      <c r="I39" s="176"/>
      <c r="J39" s="298"/>
      <c r="K39" s="292">
        <f>Geometry!K31</f>
        <v>0</v>
      </c>
      <c r="L39" s="240"/>
      <c r="M39" s="291"/>
      <c r="N39" s="97"/>
      <c r="O39" s="244"/>
      <c r="P39" s="244"/>
      <c r="R39" s="243"/>
      <c r="S39" s="244"/>
    </row>
    <row r="40" spans="1:19" ht="12.75" customHeight="1" x14ac:dyDescent="0.2">
      <c r="B40" s="239"/>
      <c r="C40" s="238"/>
      <c r="D40" s="299"/>
      <c r="E40" s="237"/>
      <c r="F40" s="300"/>
      <c r="G40" s="39"/>
      <c r="H40" s="325"/>
      <c r="I40" s="39"/>
      <c r="J40" s="301"/>
      <c r="K40" s="217"/>
      <c r="L40" s="240"/>
      <c r="M40" s="291"/>
      <c r="N40" s="97"/>
    </row>
    <row r="41" spans="1:19" ht="12.75" customHeight="1" x14ac:dyDescent="0.2">
      <c r="B41" s="239"/>
      <c r="C41" s="31"/>
      <c r="D41" s="31"/>
      <c r="E41" s="31"/>
      <c r="F41" s="39"/>
      <c r="G41" s="39"/>
      <c r="H41" s="325"/>
      <c r="I41" s="39"/>
      <c r="J41" s="301"/>
      <c r="K41" s="48"/>
      <c r="L41" s="240"/>
      <c r="M41" s="302"/>
      <c r="N41" s="97"/>
    </row>
    <row r="42" spans="1:19" ht="12.75" customHeight="1" x14ac:dyDescent="0.2">
      <c r="B42" s="239"/>
      <c r="C42" s="31"/>
      <c r="D42" s="31"/>
      <c r="E42" s="31"/>
      <c r="F42" s="39"/>
      <c r="G42" s="217" t="s">
        <v>8</v>
      </c>
      <c r="H42" s="325">
        <f>SUM(H34:I39)</f>
        <v>45</v>
      </c>
      <c r="I42" s="176"/>
      <c r="J42" s="301"/>
      <c r="K42" s="327">
        <f>ROUND(SUM(K34:K40),2)</f>
        <v>0</v>
      </c>
      <c r="L42" s="240"/>
      <c r="M42" s="291"/>
      <c r="N42" s="97"/>
    </row>
    <row r="43" spans="1:19" ht="12.75" customHeight="1" thickBot="1" x14ac:dyDescent="0.25">
      <c r="B43" s="239"/>
      <c r="C43" s="318"/>
      <c r="D43" s="318"/>
      <c r="E43" s="318"/>
      <c r="F43" s="319"/>
      <c r="G43" s="321"/>
      <c r="H43" s="326"/>
      <c r="I43" s="321"/>
      <c r="J43" s="322"/>
      <c r="K43" s="320"/>
      <c r="L43" s="323"/>
      <c r="M43" s="241"/>
      <c r="N43" s="97"/>
    </row>
    <row r="44" spans="1:19" ht="12.75" customHeight="1" thickTop="1" x14ac:dyDescent="0.2">
      <c r="B44" s="239"/>
      <c r="C44" s="484"/>
      <c r="D44" s="484"/>
      <c r="E44" s="484"/>
      <c r="F44" s="31"/>
      <c r="G44" s="39"/>
      <c r="H44" s="325"/>
      <c r="I44" s="39"/>
      <c r="J44" s="301"/>
      <c r="K44" s="48"/>
      <c r="L44" s="240"/>
      <c r="M44" s="241"/>
      <c r="N44" s="97"/>
    </row>
    <row r="45" spans="1:19" ht="12.75" customHeight="1" x14ac:dyDescent="0.2">
      <c r="B45" s="310"/>
      <c r="C45" s="314" t="s">
        <v>334</v>
      </c>
      <c r="D45" s="311"/>
      <c r="E45" s="311"/>
      <c r="F45" s="311"/>
      <c r="G45" s="39"/>
      <c r="H45" s="325">
        <v>10</v>
      </c>
      <c r="I45" s="176"/>
      <c r="J45" s="290"/>
      <c r="K45" s="327">
        <f>'Traffic &amp; Accidents'!J36</f>
        <v>0</v>
      </c>
      <c r="L45" s="240"/>
      <c r="M45" s="291"/>
      <c r="N45" s="97"/>
    </row>
    <row r="46" spans="1:19" ht="12.75" customHeight="1" thickBot="1" x14ac:dyDescent="0.25">
      <c r="B46" s="239"/>
      <c r="C46" s="318"/>
      <c r="D46" s="318"/>
      <c r="E46" s="318"/>
      <c r="F46" s="319"/>
      <c r="G46" s="321"/>
      <c r="H46" s="326"/>
      <c r="I46" s="321"/>
      <c r="J46" s="322"/>
      <c r="K46" s="320"/>
      <c r="L46" s="323"/>
      <c r="M46" s="303"/>
      <c r="N46" s="97"/>
    </row>
    <row r="47" spans="1:19" ht="12.75" customHeight="1" thickTop="1" x14ac:dyDescent="0.2">
      <c r="B47" s="239"/>
      <c r="C47" s="485"/>
      <c r="D47" s="485"/>
      <c r="E47" s="485"/>
      <c r="F47" s="238"/>
      <c r="G47" s="39"/>
      <c r="H47" s="325"/>
      <c r="I47" s="176"/>
      <c r="J47" s="304"/>
      <c r="K47" s="50"/>
      <c r="L47" s="240"/>
      <c r="M47" s="237"/>
      <c r="N47" s="97"/>
    </row>
    <row r="48" spans="1:19" ht="12.75" customHeight="1" x14ac:dyDescent="0.2">
      <c r="B48" s="239"/>
      <c r="C48" s="238"/>
      <c r="D48" s="238"/>
      <c r="E48" s="238"/>
      <c r="F48" s="238"/>
      <c r="G48" s="39"/>
      <c r="H48" s="325"/>
      <c r="I48" s="39"/>
      <c r="J48" s="294"/>
      <c r="K48" s="235"/>
      <c r="L48" s="240"/>
      <c r="M48" s="286"/>
      <c r="N48" s="97"/>
    </row>
    <row r="49" spans="1:14" ht="12.75" customHeight="1" x14ac:dyDescent="0.2">
      <c r="B49" s="305"/>
      <c r="C49" s="237"/>
      <c r="D49" s="237"/>
      <c r="E49" s="238"/>
      <c r="F49" s="238"/>
      <c r="G49" s="39"/>
      <c r="H49" s="325">
        <f>SUM(H29,H42,H45)</f>
        <v>100</v>
      </c>
      <c r="I49" s="295"/>
      <c r="J49" s="296"/>
      <c r="K49" s="327">
        <f>SUM(K29,K42,K45)</f>
        <v>0</v>
      </c>
      <c r="L49" s="240"/>
      <c r="M49" s="291"/>
      <c r="N49" s="97"/>
    </row>
    <row r="50" spans="1:14" ht="12.75" customHeight="1" x14ac:dyDescent="0.2">
      <c r="B50" s="239"/>
      <c r="C50" s="238"/>
      <c r="D50" s="238"/>
      <c r="E50" s="238"/>
      <c r="F50" s="238"/>
      <c r="G50" s="39"/>
      <c r="H50" s="306" t="s">
        <v>10</v>
      </c>
      <c r="I50" s="306"/>
      <c r="J50" s="307"/>
      <c r="K50" s="308" t="s">
        <v>341</v>
      </c>
      <c r="L50" s="240"/>
      <c r="M50" s="299"/>
      <c r="N50" s="97"/>
    </row>
    <row r="51" spans="1:14" ht="12.75" customHeight="1" thickBot="1" x14ac:dyDescent="0.25">
      <c r="B51" s="309"/>
      <c r="C51" s="102"/>
      <c r="D51" s="102"/>
      <c r="E51" s="102"/>
      <c r="F51" s="102"/>
      <c r="G51" s="102"/>
      <c r="H51" s="100"/>
      <c r="I51" s="102"/>
      <c r="J51" s="102"/>
      <c r="K51" s="130"/>
      <c r="L51" s="102"/>
      <c r="M51" s="99"/>
      <c r="N51" s="107"/>
    </row>
    <row r="52" spans="1:14" ht="12.75" customHeight="1" x14ac:dyDescent="0.2">
      <c r="B52" s="94"/>
      <c r="C52" s="15"/>
      <c r="D52" s="15"/>
      <c r="E52" s="15"/>
      <c r="F52" s="15"/>
      <c r="G52" s="15"/>
      <c r="H52" s="15"/>
      <c r="I52" s="15"/>
      <c r="J52" s="15"/>
      <c r="K52" s="15"/>
      <c r="L52" s="15"/>
      <c r="M52" s="15"/>
      <c r="N52" s="15"/>
    </row>
    <row r="53" spans="1:14" ht="12.75" customHeight="1" x14ac:dyDescent="0.2">
      <c r="B53" s="39"/>
      <c r="C53" s="15"/>
      <c r="D53" s="15"/>
      <c r="E53" s="15"/>
      <c r="F53" s="15"/>
      <c r="G53" s="15"/>
      <c r="H53" s="15"/>
      <c r="I53" s="15"/>
      <c r="J53" s="15"/>
      <c r="K53" s="15"/>
      <c r="L53" s="15"/>
      <c r="M53" s="15"/>
      <c r="N53" s="15"/>
    </row>
    <row r="54" spans="1:14" ht="12.75" customHeight="1" x14ac:dyDescent="0.2">
      <c r="B54" s="39"/>
      <c r="C54" s="481" t="s">
        <v>342</v>
      </c>
      <c r="D54" s="481"/>
      <c r="E54" s="481"/>
      <c r="F54" s="481"/>
      <c r="G54" s="481"/>
      <c r="H54" s="481"/>
      <c r="I54" s="481"/>
      <c r="J54" s="481"/>
      <c r="K54" s="481"/>
      <c r="L54" s="481"/>
      <c r="M54" s="15"/>
      <c r="N54" s="15"/>
    </row>
    <row r="55" spans="1:14" ht="12.75" customHeight="1" x14ac:dyDescent="0.2">
      <c r="B55" s="39"/>
      <c r="C55" s="481"/>
      <c r="D55" s="481"/>
      <c r="E55" s="481"/>
      <c r="F55" s="481"/>
      <c r="G55" s="481"/>
      <c r="H55" s="481"/>
      <c r="I55" s="481"/>
      <c r="J55" s="481"/>
      <c r="K55" s="481"/>
      <c r="L55" s="481"/>
      <c r="M55" s="15"/>
      <c r="N55" s="15"/>
    </row>
    <row r="56" spans="1:14" ht="12.75" customHeight="1" x14ac:dyDescent="0.2">
      <c r="B56" s="39"/>
      <c r="C56" s="15"/>
      <c r="D56" s="15"/>
      <c r="E56" s="15"/>
      <c r="F56" s="15"/>
      <c r="G56" s="15"/>
      <c r="H56" s="15"/>
      <c r="I56" s="15"/>
      <c r="J56" s="15"/>
      <c r="K56" s="15"/>
      <c r="L56" s="15"/>
      <c r="M56" s="15"/>
      <c r="N56" s="15"/>
    </row>
    <row r="57" spans="1:14" ht="12.75" customHeight="1" x14ac:dyDescent="0.2">
      <c r="B57" s="39"/>
      <c r="C57" s="30" t="s">
        <v>11</v>
      </c>
      <c r="D57" s="15"/>
      <c r="E57" s="15"/>
      <c r="F57" s="15"/>
      <c r="G57" s="15"/>
      <c r="H57" s="15"/>
      <c r="I57" s="15"/>
      <c r="J57" s="15"/>
      <c r="K57" s="15"/>
      <c r="L57" s="15"/>
      <c r="M57" s="15"/>
      <c r="N57" s="15"/>
    </row>
    <row r="58" spans="1:14" ht="12.75" customHeight="1" x14ac:dyDescent="0.2">
      <c r="B58" s="39"/>
      <c r="C58" s="15"/>
      <c r="D58" s="15"/>
      <c r="E58" s="15"/>
      <c r="F58" s="15"/>
      <c r="G58" s="15"/>
      <c r="H58" s="15"/>
      <c r="I58" s="15"/>
      <c r="J58" s="15"/>
      <c r="K58" s="15"/>
      <c r="L58" s="15"/>
      <c r="M58" s="15"/>
      <c r="N58" s="15"/>
    </row>
    <row r="59" spans="1:14" ht="12.75" customHeight="1" x14ac:dyDescent="0.2">
      <c r="B59" s="39"/>
      <c r="C59" s="15"/>
      <c r="D59" s="15"/>
      <c r="E59" s="15"/>
      <c r="F59" s="15"/>
      <c r="G59" s="15"/>
      <c r="H59" s="15"/>
      <c r="I59" s="15"/>
      <c r="J59" s="15"/>
      <c r="K59" s="15"/>
      <c r="L59" s="15"/>
      <c r="M59" s="15"/>
      <c r="N59" s="15"/>
    </row>
    <row r="61" spans="1:14" ht="12.75" customHeight="1" x14ac:dyDescent="0.2">
      <c r="A61" s="267"/>
    </row>
  </sheetData>
  <sheetProtection algorithmName="SHA-512" hashValue="tnsGdC6SM8Efssv/Jt1ykJdQo8HHW2DgQKcc690yPzdORtELSadJO3GU2BekS9PONZwSa8a9omycypuIYtMwrQ==" saltValue="E5W7t14JmYgRt8Q57ewneg==" spinCount="100000" sheet="1" selectLockedCells="1"/>
  <mergeCells count="19">
    <mergeCell ref="M10:N11"/>
    <mergeCell ref="C17:L17"/>
    <mergeCell ref="E18:J18"/>
    <mergeCell ref="D1:H2"/>
    <mergeCell ref="J4:M6"/>
    <mergeCell ref="D5:F5"/>
    <mergeCell ref="D7:I7"/>
    <mergeCell ref="J7:M8"/>
    <mergeCell ref="E3:I3"/>
    <mergeCell ref="C54:L55"/>
    <mergeCell ref="K10:L11"/>
    <mergeCell ref="D9:F9"/>
    <mergeCell ref="C44:E44"/>
    <mergeCell ref="C47:E47"/>
    <mergeCell ref="D34:F34"/>
    <mergeCell ref="D37:F37"/>
    <mergeCell ref="D38:F38"/>
    <mergeCell ref="D39:F39"/>
    <mergeCell ref="I19:J19"/>
  </mergeCells>
  <phoneticPr fontId="0" type="noConversion"/>
  <conditionalFormatting sqref="S38">
    <cfRule type="expression" priority="12" stopIfTrue="1">
      <formula>ISERROR(S38)</formula>
    </cfRule>
  </conditionalFormatting>
  <conditionalFormatting sqref="K38">
    <cfRule type="containsErrors" dxfId="10" priority="4">
      <formula>ISERROR(K38)</formula>
    </cfRule>
  </conditionalFormatting>
  <conditionalFormatting sqref="K42">
    <cfRule type="containsErrors" dxfId="9" priority="3">
      <formula>ISERROR(K42)</formula>
    </cfRule>
  </conditionalFormatting>
  <conditionalFormatting sqref="K49">
    <cfRule type="containsErrors" dxfId="8" priority="2">
      <formula>ISERROR(K49)</formula>
    </cfRule>
  </conditionalFormatting>
  <conditionalFormatting sqref="M10:N11">
    <cfRule type="containsErrors" dxfId="7" priority="1">
      <formula>ISERROR(M10)</formula>
    </cfRule>
  </conditionalFormatting>
  <hyperlinks>
    <hyperlink ref="D34" location="Structure!A1" display="Structural Condition" xr:uid="{00000000-0004-0000-0000-000000000000}"/>
    <hyperlink ref="D37:F37" location="Geometry!D19" display="Horizontal Alignment" xr:uid="{00000000-0004-0000-0000-000001000000}"/>
    <hyperlink ref="D38:F38" location="Geometry!H19" display="Vertical Alignment" xr:uid="{00000000-0004-0000-0000-000002000000}"/>
    <hyperlink ref="D39:F39" location="Geometry!E33" display="Roadway Width" xr:uid="{00000000-0004-0000-0000-000003000000}"/>
    <hyperlink ref="D26:E26" location="'Traffic &amp; Accidents'!C6" display="Traffic Volume" xr:uid="{00000000-0004-0000-0000-000004000000}"/>
    <hyperlink ref="D27:E27" location="'Traffic &amp; Accidents'!G5" display="Accident History" xr:uid="{00000000-0004-0000-0000-000005000000}"/>
  </hyperlinks>
  <pageMargins left="0.38" right="0.32" top="0.4" bottom="0.37" header="0.22" footer="0.19"/>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97"/>
  <sheetViews>
    <sheetView showGridLines="0" workbookViewId="0">
      <selection activeCell="C32" sqref="C32"/>
    </sheetView>
  </sheetViews>
  <sheetFormatPr defaultRowHeight="12.75" x14ac:dyDescent="0.2"/>
  <cols>
    <col min="1" max="1" width="5.28515625" style="139" customWidth="1"/>
    <col min="2" max="11" width="7.7109375" style="139" customWidth="1"/>
    <col min="12" max="12" width="4.85546875" style="139" customWidth="1"/>
    <col min="13" max="256" width="7.7109375" style="139" customWidth="1"/>
    <col min="257" max="16384" width="9.140625" style="139"/>
  </cols>
  <sheetData>
    <row r="2" spans="2:14" ht="13.5" thickBot="1" x14ac:dyDescent="0.25"/>
    <row r="3" spans="2:14" x14ac:dyDescent="0.2">
      <c r="B3" s="93"/>
      <c r="C3" s="497"/>
      <c r="D3" s="497"/>
      <c r="E3" s="94"/>
      <c r="F3" s="219"/>
      <c r="G3" s="497"/>
      <c r="H3" s="497"/>
      <c r="I3" s="94"/>
      <c r="J3" s="94"/>
      <c r="K3" s="94"/>
      <c r="L3" s="95"/>
      <c r="M3" s="141"/>
      <c r="N3" s="142"/>
    </row>
    <row r="4" spans="2:14" x14ac:dyDescent="0.2">
      <c r="B4" s="96"/>
      <c r="C4" s="39"/>
      <c r="D4" s="265" t="s">
        <v>125</v>
      </c>
      <c r="E4" s="265"/>
      <c r="F4" s="262"/>
      <c r="G4" s="15"/>
      <c r="H4" s="263"/>
      <c r="I4" s="264" t="s">
        <v>286</v>
      </c>
      <c r="J4" s="264"/>
      <c r="K4" s="39"/>
      <c r="L4" s="97"/>
      <c r="M4" s="141"/>
      <c r="N4" s="142"/>
    </row>
    <row r="5" spans="2:14" x14ac:dyDescent="0.2">
      <c r="B5" s="96"/>
      <c r="C5" s="39"/>
      <c r="D5" s="15"/>
      <c r="E5" s="15"/>
      <c r="F5" s="15"/>
      <c r="G5" s="15"/>
      <c r="H5" s="499" t="s">
        <v>353</v>
      </c>
      <c r="I5" s="499"/>
      <c r="J5" s="499"/>
      <c r="K5" s="173"/>
      <c r="L5" s="97"/>
      <c r="M5" s="143"/>
      <c r="N5" s="144"/>
    </row>
    <row r="6" spans="2:14" x14ac:dyDescent="0.2">
      <c r="B6" s="96"/>
      <c r="C6" s="39"/>
      <c r="D6" s="55"/>
      <c r="E6" s="39" t="s">
        <v>335</v>
      </c>
      <c r="F6" s="39"/>
      <c r="G6" s="15"/>
      <c r="H6" s="499"/>
      <c r="I6" s="499"/>
      <c r="J6" s="499"/>
      <c r="K6" s="17"/>
      <c r="L6" s="103"/>
      <c r="M6" s="145"/>
      <c r="N6" s="146"/>
    </row>
    <row r="7" spans="2:14" x14ac:dyDescent="0.2">
      <c r="B7" s="96"/>
      <c r="C7" s="15"/>
      <c r="D7" s="39"/>
      <c r="E7" s="174" t="s">
        <v>336</v>
      </c>
      <c r="F7" s="39"/>
      <c r="G7" s="15"/>
      <c r="H7" s="39"/>
      <c r="I7" s="12"/>
      <c r="J7" s="37" t="s">
        <v>319</v>
      </c>
      <c r="K7" s="17"/>
      <c r="L7" s="104"/>
      <c r="M7" s="143"/>
      <c r="N7" s="147"/>
    </row>
    <row r="8" spans="2:14" x14ac:dyDescent="0.2">
      <c r="B8" s="96"/>
      <c r="C8" s="38" t="s">
        <v>126</v>
      </c>
      <c r="D8" s="233"/>
      <c r="E8" s="233"/>
      <c r="F8" s="37" t="s">
        <v>313</v>
      </c>
      <c r="G8" s="15"/>
      <c r="H8" s="39"/>
      <c r="I8" s="12"/>
      <c r="J8" s="37" t="s">
        <v>128</v>
      </c>
      <c r="K8" s="17"/>
      <c r="L8" s="103"/>
      <c r="M8" s="143"/>
      <c r="N8" s="147"/>
    </row>
    <row r="9" spans="2:14" x14ac:dyDescent="0.2">
      <c r="B9" s="227"/>
      <c r="C9" s="38" t="s">
        <v>127</v>
      </c>
      <c r="D9" s="233"/>
      <c r="E9" s="233"/>
      <c r="F9" s="37" t="s">
        <v>314</v>
      </c>
      <c r="G9" s="15"/>
      <c r="H9" s="39"/>
      <c r="I9" s="12"/>
      <c r="J9" s="37" t="s">
        <v>42</v>
      </c>
      <c r="K9" s="39"/>
      <c r="L9" s="103"/>
      <c r="M9" s="143"/>
      <c r="N9" s="147"/>
    </row>
    <row r="10" spans="2:14" x14ac:dyDescent="0.2">
      <c r="B10" s="227"/>
      <c r="C10" s="173"/>
      <c r="D10" s="173"/>
      <c r="E10" s="37"/>
      <c r="F10" s="37"/>
      <c r="G10" s="39"/>
      <c r="H10" s="173"/>
      <c r="I10" s="37"/>
      <c r="J10" s="39"/>
      <c r="K10" s="17"/>
      <c r="L10" s="103"/>
      <c r="M10" s="143"/>
      <c r="N10" s="147"/>
    </row>
    <row r="11" spans="2:14" x14ac:dyDescent="0.2">
      <c r="B11" s="227"/>
      <c r="C11" s="15"/>
      <c r="D11" s="15"/>
      <c r="E11" s="37"/>
      <c r="F11" s="37"/>
      <c r="G11" s="39"/>
      <c r="H11" s="15"/>
      <c r="I11" s="15"/>
      <c r="J11" s="39"/>
      <c r="K11" s="17"/>
      <c r="L11" s="103"/>
      <c r="M11" s="143"/>
      <c r="N11" s="147"/>
    </row>
    <row r="12" spans="2:14" x14ac:dyDescent="0.2">
      <c r="B12" s="227"/>
      <c r="C12" s="38"/>
      <c r="D12" s="220"/>
      <c r="E12" s="37"/>
      <c r="F12" s="37"/>
      <c r="G12" s="33" t="s">
        <v>81</v>
      </c>
      <c r="H12" s="32">
        <f>Geometry!H54</f>
        <v>20</v>
      </c>
      <c r="I12" s="178"/>
      <c r="J12" s="39"/>
      <c r="K12" s="17"/>
      <c r="L12" s="103"/>
      <c r="M12" s="143"/>
      <c r="N12" s="147"/>
    </row>
    <row r="13" spans="2:14" x14ac:dyDescent="0.2">
      <c r="B13" s="227"/>
      <c r="C13" s="38"/>
      <c r="D13" s="220"/>
      <c r="E13" s="37"/>
      <c r="F13" s="37"/>
      <c r="G13" s="39"/>
      <c r="H13" s="33"/>
      <c r="I13" s="216"/>
      <c r="J13" s="39"/>
      <c r="K13" s="17"/>
      <c r="L13" s="103"/>
      <c r="M13" s="143"/>
      <c r="N13" s="147"/>
    </row>
    <row r="14" spans="2:14" x14ac:dyDescent="0.2">
      <c r="B14" s="227"/>
      <c r="C14" s="173"/>
      <c r="D14" s="173"/>
      <c r="E14" s="37"/>
      <c r="F14" s="37"/>
      <c r="G14" s="39"/>
      <c r="H14" s="33"/>
      <c r="I14" s="173"/>
      <c r="J14" s="39"/>
      <c r="K14" s="17"/>
      <c r="L14" s="103"/>
      <c r="M14" s="143"/>
      <c r="N14" s="147"/>
    </row>
    <row r="15" spans="2:14" x14ac:dyDescent="0.2">
      <c r="B15" s="96"/>
      <c r="C15" s="498" t="s">
        <v>334</v>
      </c>
      <c r="D15" s="498"/>
      <c r="E15" s="498"/>
      <c r="F15" s="498"/>
      <c r="G15" s="55"/>
      <c r="H15" s="37"/>
      <c r="I15" s="39"/>
      <c r="J15" s="39"/>
      <c r="K15" s="17"/>
      <c r="L15" s="103"/>
      <c r="M15" s="143"/>
      <c r="N15" s="147"/>
    </row>
    <row r="16" spans="2:14" x14ac:dyDescent="0.2">
      <c r="B16" s="96"/>
      <c r="C16" s="226"/>
      <c r="D16" s="226"/>
      <c r="E16" s="226"/>
      <c r="F16" s="226"/>
      <c r="G16" s="55"/>
      <c r="H16" s="37"/>
      <c r="I16" s="39"/>
      <c r="J16" s="39"/>
      <c r="K16" s="17"/>
      <c r="L16" s="103"/>
      <c r="M16" s="143"/>
      <c r="N16" s="147"/>
    </row>
    <row r="17" spans="2:14" x14ac:dyDescent="0.2">
      <c r="B17" s="227"/>
      <c r="C17" s="173" t="s">
        <v>315</v>
      </c>
      <c r="D17" s="56"/>
      <c r="E17" s="56"/>
      <c r="F17" s="15"/>
      <c r="G17" s="15"/>
      <c r="H17" s="15"/>
      <c r="I17" s="15"/>
      <c r="J17" s="39"/>
      <c r="K17" s="17"/>
      <c r="L17" s="103"/>
      <c r="M17" s="143"/>
      <c r="N17" s="147"/>
    </row>
    <row r="18" spans="2:14" x14ac:dyDescent="0.2">
      <c r="B18" s="96"/>
      <c r="C18" s="54" t="s">
        <v>322</v>
      </c>
      <c r="D18" s="46"/>
      <c r="E18" s="39"/>
      <c r="F18" s="15"/>
      <c r="G18" s="15"/>
      <c r="H18" s="15"/>
      <c r="I18" s="15"/>
      <c r="J18" s="262" t="s">
        <v>26</v>
      </c>
      <c r="K18" s="39"/>
      <c r="L18" s="103"/>
      <c r="N18" s="148"/>
    </row>
    <row r="19" spans="2:14" x14ac:dyDescent="0.2">
      <c r="B19" s="96"/>
      <c r="C19" s="12"/>
      <c r="D19" s="106" t="s">
        <v>302</v>
      </c>
      <c r="E19" s="39"/>
      <c r="F19" s="15"/>
      <c r="G19" s="15"/>
      <c r="H19" s="15"/>
      <c r="I19" s="15"/>
      <c r="J19" s="224" t="str">
        <f>IF(C19=0,"",K19)</f>
        <v/>
      </c>
      <c r="K19" s="259" t="e">
        <f>IF(AND(C19&lt;&gt;0,C19&lt;=1),1,1/C19)</f>
        <v>#DIV/0!</v>
      </c>
      <c r="L19" s="97"/>
      <c r="N19" s="148"/>
    </row>
    <row r="20" spans="2:14" x14ac:dyDescent="0.2">
      <c r="B20" s="96"/>
      <c r="C20" s="12"/>
      <c r="D20" s="106" t="s">
        <v>303</v>
      </c>
      <c r="E20" s="39"/>
      <c r="F20" s="15"/>
      <c r="G20" s="15"/>
      <c r="H20" s="15"/>
      <c r="I20" s="15"/>
      <c r="J20" s="224" t="str">
        <f t="shared" ref="J20:J23" si="0">IF(C20=0,"",K20)</f>
        <v/>
      </c>
      <c r="K20" s="259" t="e">
        <f t="shared" ref="K20:K23" si="1">IF(AND(C20&lt;&gt;0,C20&lt;=1),1,1/C20)</f>
        <v>#DIV/0!</v>
      </c>
      <c r="L20" s="97"/>
      <c r="N20" s="148"/>
    </row>
    <row r="21" spans="2:14" x14ac:dyDescent="0.2">
      <c r="B21" s="96"/>
      <c r="C21" s="12"/>
      <c r="D21" s="106" t="s">
        <v>304</v>
      </c>
      <c r="E21" s="39"/>
      <c r="F21" s="15"/>
      <c r="G21" s="15"/>
      <c r="H21" s="15"/>
      <c r="I21" s="15"/>
      <c r="J21" s="224" t="str">
        <f t="shared" si="0"/>
        <v/>
      </c>
      <c r="K21" s="259" t="e">
        <f t="shared" si="1"/>
        <v>#DIV/0!</v>
      </c>
      <c r="L21" s="97"/>
      <c r="N21" s="148"/>
    </row>
    <row r="22" spans="2:14" x14ac:dyDescent="0.2">
      <c r="B22" s="96"/>
      <c r="C22" s="12"/>
      <c r="D22" s="28" t="s">
        <v>305</v>
      </c>
      <c r="E22" s="39"/>
      <c r="F22" s="15"/>
      <c r="G22" s="15"/>
      <c r="H22" s="15"/>
      <c r="I22" s="15"/>
      <c r="J22" s="224" t="str">
        <f t="shared" si="0"/>
        <v/>
      </c>
      <c r="K22" s="259" t="e">
        <f t="shared" si="1"/>
        <v>#DIV/0!</v>
      </c>
      <c r="L22" s="97"/>
      <c r="N22" s="148"/>
    </row>
    <row r="23" spans="2:14" ht="13.5" thickBot="1" x14ac:dyDescent="0.25">
      <c r="B23" s="96"/>
      <c r="C23" s="12"/>
      <c r="D23" s="106" t="s">
        <v>306</v>
      </c>
      <c r="E23" s="39"/>
      <c r="F23" s="15"/>
      <c r="G23" s="15"/>
      <c r="H23" s="15"/>
      <c r="I23" s="15"/>
      <c r="J23" s="224" t="str">
        <f t="shared" si="0"/>
        <v/>
      </c>
      <c r="K23" s="259" t="e">
        <f t="shared" si="1"/>
        <v>#DIV/0!</v>
      </c>
      <c r="L23" s="97"/>
      <c r="N23" s="148"/>
    </row>
    <row r="24" spans="2:14" ht="13.5" thickTop="1" x14ac:dyDescent="0.2">
      <c r="B24" s="96"/>
      <c r="C24" s="138"/>
      <c r="D24" s="106"/>
      <c r="E24" s="39"/>
      <c r="F24" s="15"/>
      <c r="G24" s="15"/>
      <c r="H24" s="15"/>
      <c r="I24" s="221" t="s">
        <v>331</v>
      </c>
      <c r="J24" s="225">
        <f>SUM(J19:J23)</f>
        <v>0</v>
      </c>
      <c r="K24" s="29"/>
      <c r="L24" s="97"/>
      <c r="N24" s="148"/>
    </row>
    <row r="25" spans="2:14" x14ac:dyDescent="0.2">
      <c r="B25" s="96"/>
      <c r="C25" s="138"/>
      <c r="D25" s="106"/>
      <c r="E25" s="39"/>
      <c r="F25" s="15"/>
      <c r="G25" s="15"/>
      <c r="H25" s="15"/>
      <c r="I25" s="52"/>
      <c r="J25" s="11"/>
      <c r="K25" s="39"/>
      <c r="L25" s="97"/>
      <c r="N25" s="148"/>
    </row>
    <row r="26" spans="2:14" x14ac:dyDescent="0.2">
      <c r="B26" s="228"/>
      <c r="C26" s="105" t="s">
        <v>316</v>
      </c>
      <c r="D26" s="22"/>
      <c r="E26" s="39"/>
      <c r="F26" s="35"/>
      <c r="G26" s="35"/>
      <c r="H26" s="35"/>
      <c r="I26" s="52"/>
      <c r="J26" s="1"/>
      <c r="K26" s="35"/>
      <c r="L26" s="182"/>
    </row>
    <row r="27" spans="2:14" x14ac:dyDescent="0.2">
      <c r="B27" s="96"/>
      <c r="C27" s="54" t="s">
        <v>322</v>
      </c>
      <c r="D27" s="260"/>
      <c r="E27" s="39"/>
      <c r="F27" s="35"/>
      <c r="G27" s="35"/>
      <c r="H27" s="35"/>
      <c r="I27" s="52"/>
      <c r="J27" s="262" t="s">
        <v>26</v>
      </c>
      <c r="K27" s="35"/>
      <c r="L27" s="182"/>
    </row>
    <row r="28" spans="2:14" x14ac:dyDescent="0.2">
      <c r="B28" s="96"/>
      <c r="C28" s="12"/>
      <c r="D28" s="261" t="s">
        <v>317</v>
      </c>
      <c r="E28" s="39"/>
      <c r="F28" s="35"/>
      <c r="G28" s="35"/>
      <c r="H28" s="35"/>
      <c r="I28" s="52"/>
      <c r="J28" s="224" t="str">
        <f>IF(C28=0,"",K28)</f>
        <v/>
      </c>
      <c r="K28" s="259" t="e">
        <f>IF(AND(C28&lt;&gt;0,C28&lt;=1),1,1/C28)</f>
        <v>#DIV/0!</v>
      </c>
      <c r="L28" s="182"/>
    </row>
    <row r="29" spans="2:14" x14ac:dyDescent="0.2">
      <c r="B29" s="96"/>
      <c r="C29" s="12"/>
      <c r="D29" s="106" t="s">
        <v>318</v>
      </c>
      <c r="E29" s="39"/>
      <c r="F29" s="35"/>
      <c r="G29" s="35"/>
      <c r="H29" s="35"/>
      <c r="I29" s="52"/>
      <c r="J29" s="224" t="str">
        <f t="shared" ref="J29:J32" si="2">IF(C29=0,"",K29)</f>
        <v/>
      </c>
      <c r="K29" s="259" t="e">
        <f t="shared" ref="K29:K32" si="3">IF(AND(C29&lt;&gt;0,C29&lt;=1),1,1/C29)</f>
        <v>#DIV/0!</v>
      </c>
      <c r="L29" s="182"/>
    </row>
    <row r="30" spans="2:14" x14ac:dyDescent="0.2">
      <c r="B30" s="229"/>
      <c r="C30" s="12"/>
      <c r="D30" s="106" t="s">
        <v>307</v>
      </c>
      <c r="E30" s="39"/>
      <c r="F30" s="35"/>
      <c r="G30" s="35"/>
      <c r="H30" s="35"/>
      <c r="I30" s="52"/>
      <c r="J30" s="224" t="str">
        <f t="shared" si="2"/>
        <v/>
      </c>
      <c r="K30" s="259" t="e">
        <f t="shared" si="3"/>
        <v>#DIV/0!</v>
      </c>
      <c r="L30" s="182"/>
    </row>
    <row r="31" spans="2:14" x14ac:dyDescent="0.2">
      <c r="B31" s="229"/>
      <c r="C31" s="12"/>
      <c r="D31" s="106" t="s">
        <v>308</v>
      </c>
      <c r="E31" s="39"/>
      <c r="F31" s="35"/>
      <c r="G31" s="35"/>
      <c r="H31" s="35"/>
      <c r="I31" s="52"/>
      <c r="J31" s="224" t="str">
        <f t="shared" si="2"/>
        <v/>
      </c>
      <c r="K31" s="259" t="e">
        <f t="shared" si="3"/>
        <v>#DIV/0!</v>
      </c>
      <c r="L31" s="182"/>
    </row>
    <row r="32" spans="2:14" ht="13.5" thickBot="1" x14ac:dyDescent="0.25">
      <c r="B32" s="229"/>
      <c r="C32" s="12"/>
      <c r="D32" s="106" t="s">
        <v>309</v>
      </c>
      <c r="E32" s="39"/>
      <c r="F32" s="35"/>
      <c r="G32" s="35"/>
      <c r="H32" s="35"/>
      <c r="I32" s="52"/>
      <c r="J32" s="224" t="str">
        <f t="shared" si="2"/>
        <v/>
      </c>
      <c r="K32" s="259" t="e">
        <f t="shared" si="3"/>
        <v>#DIV/0!</v>
      </c>
      <c r="L32" s="182"/>
    </row>
    <row r="33" spans="2:14" ht="13.5" thickTop="1" x14ac:dyDescent="0.2">
      <c r="B33" s="181"/>
      <c r="C33" s="35"/>
      <c r="D33" s="35"/>
      <c r="E33" s="35"/>
      <c r="F33" s="35"/>
      <c r="G33" s="35"/>
      <c r="H33" s="35"/>
      <c r="I33" s="2" t="s">
        <v>332</v>
      </c>
      <c r="J33" s="225">
        <f>SUM(J28:J32)</f>
        <v>0</v>
      </c>
      <c r="K33" s="35"/>
      <c r="L33" s="182"/>
    </row>
    <row r="34" spans="2:14" x14ac:dyDescent="0.2">
      <c r="B34" s="181"/>
      <c r="C34" s="35"/>
      <c r="D34" s="35"/>
      <c r="E34" s="35"/>
      <c r="F34" s="35"/>
      <c r="G34" s="35"/>
      <c r="H34" s="35"/>
      <c r="I34" s="35"/>
      <c r="J34" s="35"/>
      <c r="K34" s="35"/>
      <c r="L34" s="182"/>
    </row>
    <row r="35" spans="2:14" ht="13.5" thickBot="1" x14ac:dyDescent="0.25">
      <c r="B35" s="181"/>
      <c r="C35" s="35"/>
      <c r="D35" s="35"/>
      <c r="E35" s="35"/>
      <c r="F35" s="35"/>
      <c r="G35" s="35"/>
      <c r="H35" s="35"/>
      <c r="I35" s="35"/>
      <c r="J35" s="35"/>
      <c r="K35" s="35"/>
      <c r="L35" s="182"/>
    </row>
    <row r="36" spans="2:14" ht="14.25" thickTop="1" thickBot="1" x14ac:dyDescent="0.25">
      <c r="B36" s="181"/>
      <c r="C36" s="35"/>
      <c r="D36" s="35"/>
      <c r="E36" s="35"/>
      <c r="F36" s="35"/>
      <c r="G36" s="35"/>
      <c r="H36" s="39"/>
      <c r="I36" s="222" t="s">
        <v>333</v>
      </c>
      <c r="J36" s="223">
        <f>J24+J33</f>
        <v>0</v>
      </c>
      <c r="K36" s="35"/>
      <c r="L36" s="182"/>
    </row>
    <row r="37" spans="2:14" ht="13.5" thickTop="1" x14ac:dyDescent="0.2">
      <c r="B37" s="181"/>
      <c r="C37" s="35"/>
      <c r="D37" s="35"/>
      <c r="E37" s="35"/>
      <c r="F37" s="35"/>
      <c r="G37" s="35"/>
      <c r="H37" s="35"/>
      <c r="I37" s="35"/>
      <c r="J37" s="35"/>
      <c r="K37" s="35"/>
      <c r="L37" s="182"/>
    </row>
    <row r="38" spans="2:14" ht="13.5" thickBot="1" x14ac:dyDescent="0.25">
      <c r="B38" s="183"/>
      <c r="C38" s="184"/>
      <c r="D38" s="184"/>
      <c r="E38" s="184"/>
      <c r="F38" s="184"/>
      <c r="G38" s="184"/>
      <c r="H38" s="184"/>
      <c r="I38" s="184"/>
      <c r="J38" s="184"/>
      <c r="K38" s="184"/>
      <c r="L38" s="185"/>
    </row>
    <row r="43" spans="2:14" x14ac:dyDescent="0.2">
      <c r="B43" s="186" t="s">
        <v>13</v>
      </c>
      <c r="C43" s="187"/>
      <c r="D43" s="187"/>
      <c r="E43" s="187"/>
      <c r="F43" s="187"/>
      <c r="G43" s="187"/>
      <c r="H43" s="187"/>
      <c r="I43" s="188"/>
      <c r="J43" s="187"/>
      <c r="K43" s="188"/>
      <c r="L43" s="187"/>
      <c r="M43" s="187"/>
      <c r="N43" s="187"/>
    </row>
    <row r="44" spans="2:14" x14ac:dyDescent="0.2">
      <c r="B44" s="187"/>
      <c r="C44" s="187"/>
      <c r="D44" s="187"/>
      <c r="E44" s="187"/>
      <c r="F44" s="187"/>
      <c r="G44" s="187"/>
      <c r="H44" s="187"/>
      <c r="I44" s="188"/>
      <c r="J44" s="187"/>
      <c r="K44" s="188"/>
      <c r="L44" s="187"/>
      <c r="M44" s="187"/>
      <c r="N44" s="187"/>
    </row>
    <row r="45" spans="2:14" x14ac:dyDescent="0.2">
      <c r="B45" s="187"/>
      <c r="C45" s="187"/>
      <c r="D45" s="187"/>
      <c r="E45" s="187"/>
      <c r="F45" s="187"/>
      <c r="G45" s="187"/>
      <c r="H45" s="187"/>
      <c r="I45" s="188"/>
      <c r="J45" s="187"/>
      <c r="K45" s="188"/>
      <c r="L45" s="187"/>
      <c r="M45" s="187"/>
      <c r="N45" s="187"/>
    </row>
    <row r="46" spans="2:14" x14ac:dyDescent="0.2">
      <c r="B46" s="187"/>
      <c r="C46" s="187" t="s">
        <v>14</v>
      </c>
      <c r="D46" s="187"/>
      <c r="E46" s="187"/>
      <c r="F46" s="189">
        <f>'Traffic &amp; Accidents'!D8</f>
        <v>0</v>
      </c>
      <c r="H46" s="187" t="s">
        <v>15</v>
      </c>
      <c r="I46" s="187"/>
      <c r="J46" s="189">
        <f>'Traffic &amp; Accidents'!E8</f>
        <v>0</v>
      </c>
      <c r="L46" s="190" t="s">
        <v>168</v>
      </c>
      <c r="M46" s="191"/>
      <c r="N46" s="192"/>
    </row>
    <row r="47" spans="2:14" x14ac:dyDescent="0.2">
      <c r="B47" s="187"/>
      <c r="C47" s="187"/>
      <c r="D47" s="187" t="s">
        <v>16</v>
      </c>
      <c r="E47" s="187"/>
      <c r="F47" s="187"/>
      <c r="G47" s="187"/>
      <c r="I47" s="187"/>
      <c r="J47" s="187"/>
      <c r="K47" s="188"/>
      <c r="L47" s="193"/>
      <c r="M47" s="143"/>
      <c r="N47" s="194"/>
    </row>
    <row r="48" spans="2:14" x14ac:dyDescent="0.2">
      <c r="B48" s="187"/>
      <c r="C48" s="187" t="s">
        <v>17</v>
      </c>
      <c r="D48" s="187"/>
      <c r="E48" s="187"/>
      <c r="F48" s="189">
        <f>'Traffic &amp; Accidents'!D9</f>
        <v>0</v>
      </c>
      <c r="H48" s="187" t="s">
        <v>18</v>
      </c>
      <c r="I48" s="187"/>
      <c r="J48" s="189">
        <f>'Traffic &amp; Accidents'!E9</f>
        <v>0</v>
      </c>
      <c r="L48" s="195" t="s">
        <v>169</v>
      </c>
      <c r="M48" s="196" t="s">
        <v>169</v>
      </c>
      <c r="N48" s="194"/>
    </row>
    <row r="49" spans="2:14" x14ac:dyDescent="0.2">
      <c r="B49" s="187"/>
      <c r="K49" s="188"/>
      <c r="L49" s="195" t="s">
        <v>126</v>
      </c>
      <c r="M49" s="196" t="s">
        <v>170</v>
      </c>
      <c r="N49" s="194"/>
    </row>
    <row r="50" spans="2:14" x14ac:dyDescent="0.2">
      <c r="B50" s="187"/>
      <c r="C50" s="187"/>
      <c r="D50" s="187" t="s">
        <v>19</v>
      </c>
      <c r="E50" s="187"/>
      <c r="F50" s="187"/>
      <c r="G50" s="187"/>
      <c r="H50" s="187"/>
      <c r="I50" s="188"/>
      <c r="J50" s="187"/>
      <c r="K50" s="188"/>
      <c r="L50" s="197" t="s">
        <v>171</v>
      </c>
      <c r="M50" s="198" t="s">
        <v>171</v>
      </c>
      <c r="N50" s="194"/>
    </row>
    <row r="51" spans="2:14" x14ac:dyDescent="0.2">
      <c r="B51" s="187"/>
      <c r="C51" s="187"/>
      <c r="D51" s="187" t="s">
        <v>20</v>
      </c>
      <c r="E51" s="187"/>
      <c r="F51" s="187"/>
      <c r="G51" s="187"/>
      <c r="H51" s="187"/>
      <c r="I51" s="188"/>
      <c r="J51" s="187"/>
      <c r="K51" s="188"/>
      <c r="L51" s="195"/>
      <c r="M51" s="196"/>
      <c r="N51" s="194"/>
    </row>
    <row r="52" spans="2:14" x14ac:dyDescent="0.2">
      <c r="B52" s="187"/>
      <c r="C52" s="187"/>
      <c r="D52" s="187"/>
      <c r="E52" s="187"/>
      <c r="F52" s="187"/>
      <c r="G52" s="187"/>
      <c r="H52" s="187"/>
      <c r="I52" s="188"/>
      <c r="J52" s="187"/>
      <c r="K52" s="188"/>
      <c r="L52" s="199">
        <f>IF('Traffic &amp; Accidents'!F46=0,0,L53)</f>
        <v>0</v>
      </c>
      <c r="M52" s="141">
        <f>IF('Traffic &amp; Accidents'!F48=0,0,M53)</f>
        <v>0</v>
      </c>
      <c r="N52" s="194"/>
    </row>
    <row r="53" spans="2:14" x14ac:dyDescent="0.2">
      <c r="B53" s="187"/>
      <c r="C53" s="187"/>
      <c r="D53" s="187"/>
      <c r="E53" s="187"/>
      <c r="F53" s="187"/>
      <c r="G53" s="187"/>
      <c r="H53" s="187"/>
      <c r="I53" s="188"/>
      <c r="J53" s="187"/>
      <c r="K53" s="188"/>
      <c r="L53" s="200">
        <f>IF(AND('Traffic &amp; Accidents'!F46&lt;501,'Traffic &amp; Accidents'!F46&lt;&gt;0),'Traffic &amp; Accidents'!J60,L54)</f>
        <v>7</v>
      </c>
      <c r="M53" s="201">
        <f>IF(AND('Traffic &amp; Accidents'!F48&lt;51,'Traffic &amp; Accidents'!F48&lt;&gt;0),'Traffic &amp; Accidents'!J60,M54)</f>
        <v>7</v>
      </c>
      <c r="N53" s="194"/>
    </row>
    <row r="54" spans="2:14" x14ac:dyDescent="0.2">
      <c r="B54" s="187"/>
      <c r="C54" s="187"/>
      <c r="J54" s="187"/>
      <c r="L54" s="200">
        <f>IF('Traffic &amp; Accidents'!F46&lt;1001,'Traffic &amp; Accidents'!J61,L55)</f>
        <v>7</v>
      </c>
      <c r="M54" s="201">
        <f>IF('Traffic &amp; Accidents'!F48&lt;101,'Traffic &amp; Accidents'!J61,M55)</f>
        <v>7</v>
      </c>
      <c r="N54" s="194"/>
    </row>
    <row r="55" spans="2:14" x14ac:dyDescent="0.2">
      <c r="B55" s="187"/>
      <c r="C55" s="187"/>
      <c r="D55" s="187" t="s">
        <v>21</v>
      </c>
      <c r="E55" s="187"/>
      <c r="F55" s="187"/>
      <c r="G55" s="187"/>
      <c r="H55" s="187"/>
      <c r="I55" s="188"/>
      <c r="J55" s="187"/>
      <c r="K55" s="188"/>
      <c r="L55" s="200">
        <f>IF('Traffic &amp; Accidents'!F46&lt;2001,'Traffic &amp; Accidents'!J62,L56)</f>
        <v>10</v>
      </c>
      <c r="M55" s="201">
        <f>IF('Traffic &amp; Accidents'!F48&lt;201,'Traffic &amp; Accidents'!J62,M56)</f>
        <v>10</v>
      </c>
      <c r="N55" s="194"/>
    </row>
    <row r="56" spans="2:14" x14ac:dyDescent="0.2">
      <c r="C56" s="187"/>
      <c r="F56" s="187" t="s">
        <v>12</v>
      </c>
      <c r="G56" s="187"/>
      <c r="H56" s="187"/>
      <c r="I56" s="188"/>
      <c r="J56" s="187"/>
      <c r="K56" s="188"/>
      <c r="L56" s="200">
        <f>IF('Traffic &amp; Accidents'!F46&lt;5001,'Traffic &amp; Accidents'!J63,L57)</f>
        <v>15</v>
      </c>
      <c r="M56" s="201">
        <f>IF('Traffic &amp; Accidents'!F48&lt;501,'Traffic &amp; Accidents'!J63,M57)</f>
        <v>15</v>
      </c>
      <c r="N56" s="194"/>
    </row>
    <row r="57" spans="2:14" x14ac:dyDescent="0.2">
      <c r="B57" s="187"/>
      <c r="C57" s="187"/>
      <c r="D57" s="188" t="s">
        <v>22</v>
      </c>
      <c r="E57" s="188"/>
      <c r="H57" s="188" t="s">
        <v>22</v>
      </c>
      <c r="I57" s="188"/>
      <c r="J57" s="188"/>
      <c r="K57" s="188"/>
      <c r="L57" s="202" t="str">
        <f>IF('Traffic &amp; Accidents'!F46&gt;=5001,'Traffic &amp; Accidents'!J64,"")</f>
        <v/>
      </c>
      <c r="M57" s="203" t="str">
        <f>IF('Traffic &amp; Accidents'!F48&gt;=501,'Traffic &amp; Accidents'!J64,"")</f>
        <v/>
      </c>
      <c r="N57" s="204"/>
    </row>
    <row r="58" spans="2:14" x14ac:dyDescent="0.2">
      <c r="B58" s="187" t="s">
        <v>23</v>
      </c>
      <c r="C58" s="187"/>
      <c r="D58" s="205" t="s">
        <v>24</v>
      </c>
      <c r="E58" s="188"/>
      <c r="H58" s="205" t="s">
        <v>25</v>
      </c>
      <c r="J58" s="205" t="s">
        <v>26</v>
      </c>
      <c r="K58" s="188"/>
      <c r="L58" s="206"/>
      <c r="M58" s="206"/>
    </row>
    <row r="59" spans="2:14" x14ac:dyDescent="0.2">
      <c r="B59" s="187" t="s">
        <v>27</v>
      </c>
      <c r="C59" s="187"/>
      <c r="D59" s="188"/>
      <c r="E59" s="188"/>
      <c r="H59" s="188"/>
      <c r="J59" s="188"/>
      <c r="K59" s="188"/>
      <c r="L59" s="206"/>
      <c r="M59" s="206"/>
    </row>
    <row r="60" spans="2:14" x14ac:dyDescent="0.2">
      <c r="B60" s="187"/>
      <c r="C60" s="187"/>
      <c r="D60" s="207" t="s">
        <v>220</v>
      </c>
      <c r="E60" s="188"/>
      <c r="F60" s="208" t="s">
        <v>52</v>
      </c>
      <c r="H60" s="207" t="s">
        <v>219</v>
      </c>
      <c r="J60" s="188">
        <v>3</v>
      </c>
      <c r="K60" s="188"/>
      <c r="L60" s="187"/>
    </row>
    <row r="61" spans="2:14" x14ac:dyDescent="0.2">
      <c r="B61" s="187"/>
      <c r="C61" s="187"/>
      <c r="D61" s="188" t="s">
        <v>28</v>
      </c>
      <c r="E61" s="188"/>
      <c r="H61" s="188" t="s">
        <v>29</v>
      </c>
      <c r="J61" s="188">
        <v>7</v>
      </c>
      <c r="K61" s="188"/>
      <c r="L61" s="187"/>
    </row>
    <row r="62" spans="2:14" x14ac:dyDescent="0.2">
      <c r="B62" s="187"/>
      <c r="C62" s="187"/>
      <c r="D62" s="188" t="s">
        <v>30</v>
      </c>
      <c r="E62" s="188"/>
      <c r="H62" s="188" t="s">
        <v>31</v>
      </c>
      <c r="J62" s="188">
        <v>10</v>
      </c>
      <c r="K62" s="188"/>
      <c r="L62" s="187"/>
      <c r="M62" s="187"/>
      <c r="N62" s="187"/>
    </row>
    <row r="63" spans="2:14" x14ac:dyDescent="0.2">
      <c r="B63" s="187"/>
      <c r="C63" s="187"/>
      <c r="D63" s="188" t="s">
        <v>32</v>
      </c>
      <c r="E63" s="188"/>
      <c r="H63" s="188" t="s">
        <v>33</v>
      </c>
      <c r="J63" s="188">
        <v>15</v>
      </c>
      <c r="K63" s="188"/>
      <c r="L63" s="187"/>
      <c r="M63" s="187"/>
      <c r="N63" s="187"/>
    </row>
    <row r="64" spans="2:14" x14ac:dyDescent="0.2">
      <c r="B64" s="187"/>
      <c r="C64" s="187"/>
      <c r="D64" s="207" t="s">
        <v>217</v>
      </c>
      <c r="E64" s="188"/>
      <c r="H64" s="207" t="s">
        <v>218</v>
      </c>
      <c r="J64" s="188">
        <v>20</v>
      </c>
      <c r="K64" s="188"/>
      <c r="L64" s="187"/>
      <c r="M64" s="187"/>
      <c r="N64" s="187"/>
    </row>
    <row r="65" spans="2:14" x14ac:dyDescent="0.2">
      <c r="B65" s="187"/>
      <c r="C65" s="187"/>
      <c r="J65" s="187"/>
      <c r="K65" s="188"/>
      <c r="L65" s="187"/>
      <c r="M65" s="187"/>
      <c r="N65" s="187"/>
    </row>
    <row r="66" spans="2:14" x14ac:dyDescent="0.2">
      <c r="B66" s="187"/>
      <c r="C66" s="187"/>
      <c r="J66" s="187"/>
      <c r="K66" s="188"/>
      <c r="L66" s="187"/>
      <c r="M66" s="187"/>
      <c r="N66" s="187"/>
    </row>
    <row r="67" spans="2:14" x14ac:dyDescent="0.2">
      <c r="B67" s="187"/>
      <c r="C67" s="187"/>
      <c r="D67" s="187"/>
      <c r="E67" s="187"/>
      <c r="F67" s="187"/>
      <c r="G67" s="209" t="s">
        <v>34</v>
      </c>
      <c r="H67" s="187"/>
      <c r="I67" s="188"/>
      <c r="J67" s="187"/>
      <c r="K67" s="210">
        <f>IF(F48&gt;(F46/10),'Traffic &amp; Accidents'!M52,'Traffic &amp; Accidents'!L52)</f>
        <v>0</v>
      </c>
      <c r="L67" s="187"/>
      <c r="M67" s="187"/>
    </row>
    <row r="76" spans="2:14" x14ac:dyDescent="0.2">
      <c r="B76" s="186" t="s">
        <v>35</v>
      </c>
      <c r="C76" s="187"/>
      <c r="D76" s="187"/>
      <c r="E76" s="187"/>
      <c r="F76" s="187"/>
      <c r="G76" s="187"/>
      <c r="H76" s="187"/>
      <c r="I76" s="188"/>
      <c r="J76" s="187"/>
      <c r="K76" s="188"/>
      <c r="L76" s="187"/>
      <c r="M76" s="187"/>
      <c r="N76" s="187"/>
    </row>
    <row r="77" spans="2:14" x14ac:dyDescent="0.2">
      <c r="B77" s="187"/>
      <c r="C77" s="187"/>
      <c r="D77" s="187"/>
      <c r="E77" s="187"/>
      <c r="F77" s="187"/>
      <c r="G77" s="187"/>
      <c r="H77" s="187"/>
      <c r="I77" s="188"/>
      <c r="J77" s="187"/>
      <c r="K77" s="188"/>
      <c r="L77" s="187"/>
      <c r="M77" s="187"/>
      <c r="N77" s="187"/>
    </row>
    <row r="78" spans="2:14" x14ac:dyDescent="0.2">
      <c r="B78" s="187"/>
      <c r="C78" s="187"/>
      <c r="D78" s="187"/>
      <c r="E78" s="187"/>
      <c r="F78" s="187"/>
      <c r="G78" s="187"/>
      <c r="H78" s="187"/>
      <c r="I78" s="188"/>
      <c r="J78" s="187"/>
      <c r="K78" s="188"/>
      <c r="L78" s="187"/>
      <c r="M78" s="187"/>
      <c r="N78" s="187"/>
    </row>
    <row r="79" spans="2:14" x14ac:dyDescent="0.2">
      <c r="B79" s="187"/>
      <c r="C79" s="187" t="s">
        <v>36</v>
      </c>
      <c r="D79" s="187"/>
      <c r="E79" s="187"/>
      <c r="F79" s="187"/>
      <c r="G79" s="187"/>
      <c r="H79" s="187"/>
      <c r="I79" s="188"/>
      <c r="J79" s="187"/>
      <c r="K79" s="188"/>
      <c r="L79" s="187"/>
      <c r="M79" s="187"/>
      <c r="N79" s="187"/>
    </row>
    <row r="80" spans="2:14" x14ac:dyDescent="0.2">
      <c r="B80" s="187"/>
      <c r="C80" s="187"/>
      <c r="D80" s="187"/>
      <c r="E80" s="187"/>
      <c r="F80" s="187" t="s">
        <v>37</v>
      </c>
      <c r="G80" s="187"/>
      <c r="H80" s="187"/>
      <c r="I80" s="188"/>
      <c r="J80" s="187"/>
      <c r="K80" s="188"/>
      <c r="L80" s="187"/>
      <c r="M80" s="187"/>
      <c r="N80" s="187"/>
    </row>
    <row r="81" spans="2:14" x14ac:dyDescent="0.2">
      <c r="B81" s="187"/>
      <c r="C81" s="187"/>
      <c r="D81" s="187"/>
      <c r="E81" s="187"/>
      <c r="F81" s="187" t="s">
        <v>38</v>
      </c>
      <c r="G81" s="187"/>
      <c r="H81" s="188"/>
      <c r="I81" s="187"/>
      <c r="J81" s="188"/>
      <c r="K81" s="187"/>
      <c r="L81" s="187"/>
      <c r="N81" s="187"/>
    </row>
    <row r="82" spans="2:14" x14ac:dyDescent="0.2">
      <c r="B82" s="187"/>
      <c r="C82" s="211"/>
      <c r="D82" s="146" t="s">
        <v>39</v>
      </c>
      <c r="E82" s="187" t="s">
        <v>12</v>
      </c>
      <c r="F82" s="212" t="s">
        <v>40</v>
      </c>
      <c r="G82" s="187"/>
      <c r="H82" s="212" t="s">
        <v>41</v>
      </c>
      <c r="J82" s="212" t="s">
        <v>42</v>
      </c>
      <c r="K82" s="187"/>
      <c r="N82" s="187"/>
    </row>
    <row r="83" spans="2:14" x14ac:dyDescent="0.2">
      <c r="B83" s="187" t="s">
        <v>12</v>
      </c>
      <c r="C83" s="187"/>
      <c r="D83" s="187"/>
      <c r="E83" s="187"/>
      <c r="F83" s="187"/>
      <c r="G83" s="187"/>
      <c r="H83" s="188"/>
      <c r="I83" s="187"/>
      <c r="J83" s="188"/>
      <c r="K83" s="187"/>
      <c r="L83" s="187"/>
      <c r="N83" s="187"/>
    </row>
    <row r="84" spans="2:14" x14ac:dyDescent="0.2">
      <c r="B84" s="187"/>
      <c r="C84" s="187"/>
      <c r="D84" s="187"/>
      <c r="E84" s="187"/>
      <c r="F84" s="187"/>
      <c r="G84" s="187"/>
      <c r="H84" s="188"/>
      <c r="I84" s="187"/>
      <c r="J84" s="188"/>
      <c r="K84" s="187"/>
      <c r="L84" s="187"/>
      <c r="N84" s="187"/>
    </row>
    <row r="85" spans="2:14" x14ac:dyDescent="0.2">
      <c r="B85" s="187"/>
      <c r="C85" s="179">
        <f ca="1">C87-730</f>
        <v>43639</v>
      </c>
      <c r="D85" s="189"/>
      <c r="E85" s="188"/>
      <c r="F85" s="189">
        <v>0</v>
      </c>
      <c r="G85" s="188"/>
      <c r="H85" s="189">
        <v>0</v>
      </c>
      <c r="I85" s="188"/>
      <c r="J85" s="189">
        <v>0</v>
      </c>
      <c r="K85" s="187"/>
      <c r="L85" s="187"/>
      <c r="N85" s="187"/>
    </row>
    <row r="86" spans="2:14" x14ac:dyDescent="0.2">
      <c r="B86" s="187"/>
      <c r="C86" s="179">
        <f ca="1">C87-365</f>
        <v>44004</v>
      </c>
      <c r="D86" s="189"/>
      <c r="E86" s="188"/>
      <c r="F86" s="189">
        <v>0</v>
      </c>
      <c r="G86" s="188"/>
      <c r="H86" s="189">
        <v>0</v>
      </c>
      <c r="I86" s="188"/>
      <c r="J86" s="189">
        <v>0</v>
      </c>
      <c r="K86" s="187"/>
      <c r="L86" s="187"/>
      <c r="N86" s="187"/>
    </row>
    <row r="87" spans="2:14" x14ac:dyDescent="0.2">
      <c r="B87" s="187"/>
      <c r="C87" s="180">
        <f ca="1">(TODAY()-365)</f>
        <v>44369</v>
      </c>
      <c r="D87" s="189"/>
      <c r="E87" s="188"/>
      <c r="F87" s="189">
        <v>0</v>
      </c>
      <c r="G87" s="188"/>
      <c r="H87" s="189">
        <v>0</v>
      </c>
      <c r="I87" s="188"/>
      <c r="J87" s="189">
        <v>0</v>
      </c>
      <c r="K87" s="187"/>
      <c r="L87" s="187"/>
      <c r="N87" s="187"/>
    </row>
    <row r="88" spans="2:14" x14ac:dyDescent="0.2">
      <c r="B88" s="187"/>
      <c r="C88" s="187"/>
      <c r="D88" s="188"/>
      <c r="E88" s="188"/>
      <c r="F88" s="188"/>
      <c r="G88" s="188"/>
      <c r="H88" s="188"/>
      <c r="I88" s="188"/>
      <c r="J88" s="188"/>
      <c r="K88" s="187"/>
      <c r="L88" s="187"/>
      <c r="N88" s="187"/>
    </row>
    <row r="89" spans="2:14" x14ac:dyDescent="0.2">
      <c r="D89" s="187" t="s">
        <v>43</v>
      </c>
      <c r="E89" s="188"/>
      <c r="F89" s="213">
        <f>'Traffic &amp; Accidents'!I7</f>
        <v>0</v>
      </c>
      <c r="G89" s="188"/>
      <c r="H89" s="213">
        <f>'Traffic &amp; Accidents'!I8</f>
        <v>0</v>
      </c>
      <c r="I89" s="188"/>
      <c r="J89" s="213">
        <f>'Traffic &amp; Accidents'!I9</f>
        <v>0</v>
      </c>
      <c r="K89" s="187"/>
      <c r="L89" s="187"/>
      <c r="N89" s="187"/>
    </row>
    <row r="90" spans="2:14" x14ac:dyDescent="0.2">
      <c r="C90" s="187"/>
      <c r="D90" s="187"/>
      <c r="E90" s="188"/>
      <c r="F90" s="214" t="s">
        <v>44</v>
      </c>
      <c r="G90" s="188"/>
      <c r="H90" s="214" t="s">
        <v>45</v>
      </c>
      <c r="I90" s="188"/>
      <c r="J90" s="214" t="s">
        <v>46</v>
      </c>
      <c r="N90" s="187"/>
    </row>
    <row r="91" spans="2:14" x14ac:dyDescent="0.2">
      <c r="C91" s="187"/>
      <c r="D91" s="187"/>
      <c r="E91" s="188"/>
      <c r="F91" s="188"/>
      <c r="G91" s="188"/>
      <c r="H91" s="188"/>
      <c r="I91" s="188"/>
      <c r="J91" s="188"/>
      <c r="K91" s="187"/>
      <c r="L91" s="187"/>
      <c r="N91" s="187"/>
    </row>
    <row r="92" spans="2:14" x14ac:dyDescent="0.2">
      <c r="D92" s="187" t="s">
        <v>47</v>
      </c>
      <c r="E92" s="188"/>
      <c r="F92" s="210">
        <f>F89*1</f>
        <v>0</v>
      </c>
      <c r="G92" s="188" t="s">
        <v>48</v>
      </c>
      <c r="H92" s="210">
        <f>H89*2</f>
        <v>0</v>
      </c>
      <c r="I92" s="188" t="s">
        <v>48</v>
      </c>
      <c r="J92" s="210">
        <f>J89*5</f>
        <v>0</v>
      </c>
      <c r="K92" s="188"/>
      <c r="N92" s="187"/>
    </row>
    <row r="93" spans="2:14" x14ac:dyDescent="0.2">
      <c r="B93" s="187"/>
      <c r="C93" s="187"/>
      <c r="D93" s="187"/>
      <c r="E93" s="187"/>
      <c r="F93" s="187"/>
      <c r="G93" s="187"/>
      <c r="H93" s="187"/>
      <c r="I93" s="188"/>
      <c r="J93" s="187"/>
      <c r="K93" s="188"/>
      <c r="L93" s="187"/>
      <c r="M93" s="187"/>
      <c r="N93" s="187"/>
    </row>
    <row r="94" spans="2:14" x14ac:dyDescent="0.2">
      <c r="B94" s="187"/>
      <c r="C94" s="187"/>
      <c r="D94" s="187"/>
      <c r="E94" s="187"/>
      <c r="F94" s="187"/>
      <c r="G94" s="187"/>
      <c r="H94" s="187"/>
      <c r="I94" s="188"/>
      <c r="J94" s="187"/>
      <c r="K94" s="188"/>
      <c r="L94" s="187"/>
      <c r="M94" s="187"/>
      <c r="N94" s="187"/>
    </row>
    <row r="95" spans="2:14" x14ac:dyDescent="0.2">
      <c r="B95" s="187"/>
      <c r="D95" s="187"/>
      <c r="E95" s="187"/>
      <c r="F95" s="187"/>
      <c r="G95" s="187"/>
      <c r="H95" s="187"/>
      <c r="N95" s="187"/>
    </row>
    <row r="96" spans="2:14" x14ac:dyDescent="0.2">
      <c r="B96" s="187"/>
      <c r="C96" s="187"/>
      <c r="D96" s="187"/>
      <c r="E96" s="187"/>
      <c r="F96" s="187"/>
      <c r="G96" s="209" t="s">
        <v>49</v>
      </c>
      <c r="H96" s="187"/>
      <c r="K96" s="210">
        <f>SUM(F92,H92,J92)</f>
        <v>0</v>
      </c>
    </row>
    <row r="97" spans="2:14" x14ac:dyDescent="0.2">
      <c r="B97" s="187" t="s">
        <v>12</v>
      </c>
      <c r="C97" s="187"/>
      <c r="D97" s="187"/>
      <c r="E97" s="187"/>
      <c r="F97" s="187"/>
      <c r="G97" s="187"/>
      <c r="H97" s="215" t="s">
        <v>50</v>
      </c>
      <c r="I97" s="188"/>
      <c r="K97" s="188"/>
      <c r="L97" s="187"/>
      <c r="M97" s="187"/>
      <c r="N97" s="187"/>
    </row>
  </sheetData>
  <sheetProtection password="EC65" sheet="1" objects="1" scenarios="1" selectLockedCells="1"/>
  <mergeCells count="4">
    <mergeCell ref="C3:D3"/>
    <mergeCell ref="C15:F15"/>
    <mergeCell ref="G3:H3"/>
    <mergeCell ref="H5:J6"/>
  </mergeCells>
  <conditionalFormatting sqref="J33">
    <cfRule type="expression" dxfId="6" priority="1" stopIfTrue="1">
      <formula>ISERROR($M$239)</formula>
    </cfRule>
  </conditionalFormatting>
  <conditionalFormatting sqref="J24:J25">
    <cfRule type="expression" dxfId="5" priority="2" stopIfTrue="1">
      <formula>ISERROR($M$229)</formula>
    </cfRule>
  </conditionalFormatting>
  <pageMargins left="0.7" right="0.7" top="0.75" bottom="0.75" header="0.3" footer="0.3"/>
  <pageSetup orientation="portrait"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5"/>
  <sheetViews>
    <sheetView showGridLines="0" workbookViewId="0">
      <selection activeCell="D9" sqref="D9"/>
    </sheetView>
  </sheetViews>
  <sheetFormatPr defaultRowHeight="12.75" x14ac:dyDescent="0.2"/>
  <cols>
    <col min="1" max="1" width="9.140625" style="139"/>
    <col min="2" max="2" width="6.5703125" style="139" customWidth="1"/>
    <col min="3" max="3" width="6.42578125" style="139" customWidth="1"/>
    <col min="4" max="4" width="7.5703125" style="139" customWidth="1"/>
    <col min="5" max="5" width="6.5703125" style="139" customWidth="1"/>
    <col min="6" max="6" width="6" style="139" customWidth="1"/>
    <col min="7" max="7" width="9.140625" style="139"/>
    <col min="8" max="8" width="6.42578125" style="139" customWidth="1"/>
    <col min="9" max="9" width="6.140625" style="139" customWidth="1"/>
    <col min="10" max="10" width="8.140625" style="139" customWidth="1"/>
    <col min="11" max="11" width="9.140625" style="139"/>
    <col min="12" max="12" width="5.7109375" style="139" customWidth="1"/>
    <col min="13" max="13" width="8.140625" style="139" customWidth="1"/>
    <col min="14" max="16384" width="9.140625" style="139"/>
  </cols>
  <sheetData>
    <row r="2" spans="2:15" ht="13.5" thickBot="1" x14ac:dyDescent="0.25"/>
    <row r="3" spans="2:15" x14ac:dyDescent="0.2">
      <c r="B3" s="93"/>
      <c r="C3" s="94"/>
      <c r="D3" s="127"/>
      <c r="E3" s="94"/>
      <c r="F3" s="94"/>
      <c r="G3" s="347"/>
      <c r="H3" s="347"/>
      <c r="I3" s="94"/>
      <c r="J3" s="94"/>
      <c r="K3" s="94"/>
      <c r="L3" s="94"/>
      <c r="M3" s="95"/>
      <c r="O3" s="148"/>
    </row>
    <row r="4" spans="2:15" ht="12.75" customHeight="1" x14ac:dyDescent="0.2">
      <c r="B4" s="96"/>
      <c r="C4" s="507" t="s">
        <v>327</v>
      </c>
      <c r="D4" s="507"/>
      <c r="E4" s="507"/>
      <c r="F4" s="514" t="s">
        <v>354</v>
      </c>
      <c r="G4" s="514"/>
      <c r="H4" s="514"/>
      <c r="I4" s="506" t="s">
        <v>325</v>
      </c>
      <c r="J4" s="506"/>
      <c r="K4" s="506"/>
      <c r="L4" s="464"/>
      <c r="M4" s="97"/>
      <c r="O4" s="148"/>
    </row>
    <row r="5" spans="2:15" ht="12.75" customHeight="1" x14ac:dyDescent="0.2">
      <c r="B5" s="465"/>
      <c r="C5" s="507"/>
      <c r="D5" s="507"/>
      <c r="E5" s="507"/>
      <c r="F5" s="514"/>
      <c r="G5" s="514"/>
      <c r="H5" s="514"/>
      <c r="I5" s="506"/>
      <c r="J5" s="506"/>
      <c r="K5" s="506"/>
      <c r="L5" s="464"/>
      <c r="M5" s="97"/>
      <c r="N5" s="149"/>
      <c r="O5" s="150"/>
    </row>
    <row r="6" spans="2:15" ht="12.75" customHeight="1" x14ac:dyDescent="0.2">
      <c r="B6" s="466"/>
      <c r="C6" s="467"/>
      <c r="D6" s="467"/>
      <c r="E6" s="464"/>
      <c r="F6" s="468"/>
      <c r="G6" s="468"/>
      <c r="H6" s="468"/>
      <c r="I6" s="464"/>
      <c r="J6" s="464"/>
      <c r="K6" s="464"/>
      <c r="L6" s="464"/>
      <c r="M6" s="97"/>
      <c r="N6" s="149"/>
      <c r="O6" s="150"/>
    </row>
    <row r="7" spans="2:15" ht="12.75" customHeight="1" x14ac:dyDescent="0.2">
      <c r="B7" s="466"/>
      <c r="C7" s="467"/>
      <c r="D7" s="467"/>
      <c r="E7" s="464"/>
      <c r="F7" s="468"/>
      <c r="G7" s="468"/>
      <c r="H7" s="468"/>
      <c r="I7" s="464"/>
      <c r="J7" s="464"/>
      <c r="K7" s="464"/>
      <c r="L7" s="464"/>
      <c r="M7" s="97"/>
      <c r="N7" s="149"/>
      <c r="O7" s="150"/>
    </row>
    <row r="8" spans="2:15" ht="12" customHeight="1" x14ac:dyDescent="0.2">
      <c r="B8" s="96"/>
      <c r="C8" s="513" t="s">
        <v>348</v>
      </c>
      <c r="D8" s="513"/>
      <c r="E8" s="504" t="s">
        <v>345</v>
      </c>
      <c r="F8" s="505"/>
      <c r="G8" s="505"/>
      <c r="H8" s="469"/>
      <c r="I8" s="504" t="s">
        <v>346</v>
      </c>
      <c r="J8" s="505"/>
      <c r="K8" s="505"/>
      <c r="L8" s="464"/>
      <c r="M8" s="136"/>
      <c r="N8" s="140"/>
      <c r="O8" s="151"/>
    </row>
    <row r="9" spans="2:15" ht="15.75" x14ac:dyDescent="0.25">
      <c r="B9" s="96"/>
      <c r="C9" s="108"/>
      <c r="D9" s="12"/>
      <c r="E9" s="15"/>
      <c r="F9" s="32">
        <f>H22</f>
        <v>0</v>
      </c>
      <c r="G9" s="341"/>
      <c r="H9" s="341"/>
      <c r="I9" s="342"/>
      <c r="J9" s="36">
        <f>IF(D9&lt;&gt;"","",'BR Rehab.'!J58)</f>
        <v>0</v>
      </c>
      <c r="K9" s="510" t="s">
        <v>347</v>
      </c>
      <c r="L9" s="511"/>
      <c r="M9" s="512"/>
      <c r="N9" s="140"/>
      <c r="O9" s="151"/>
    </row>
    <row r="10" spans="2:15" ht="13.5" thickBot="1" x14ac:dyDescent="0.25">
      <c r="B10" s="98"/>
      <c r="C10" s="101"/>
      <c r="D10" s="99"/>
      <c r="E10" s="99"/>
      <c r="F10" s="99"/>
      <c r="G10" s="99"/>
      <c r="H10" s="99"/>
      <c r="I10" s="99"/>
      <c r="J10" s="99"/>
      <c r="K10" s="99" t="s">
        <v>357</v>
      </c>
      <c r="L10" s="99"/>
      <c r="M10" s="107"/>
      <c r="N10" s="140"/>
      <c r="O10" s="151"/>
    </row>
    <row r="12" spans="2:15" x14ac:dyDescent="0.2">
      <c r="J12" s="479"/>
    </row>
    <row r="15" spans="2:15" x14ac:dyDescent="0.2">
      <c r="B15" s="186" t="s">
        <v>320</v>
      </c>
      <c r="C15" s="187"/>
      <c r="D15" s="187"/>
      <c r="E15" s="187"/>
      <c r="F15" s="187"/>
      <c r="G15" s="187"/>
      <c r="H15" s="187"/>
      <c r="I15" s="188"/>
      <c r="J15" s="187"/>
      <c r="K15" s="188"/>
      <c r="L15" s="187"/>
    </row>
    <row r="16" spans="2:15" x14ac:dyDescent="0.2">
      <c r="B16" s="187"/>
      <c r="C16" s="187"/>
      <c r="D16" s="187"/>
      <c r="E16" s="187"/>
      <c r="F16" s="187"/>
      <c r="G16" s="187"/>
      <c r="H16" s="188"/>
      <c r="I16" s="188"/>
      <c r="J16" s="187"/>
    </row>
    <row r="17" spans="2:12" x14ac:dyDescent="0.2">
      <c r="B17" s="187" t="s">
        <v>12</v>
      </c>
      <c r="C17" s="187" t="s">
        <v>51</v>
      </c>
      <c r="D17" s="187"/>
      <c r="E17" s="187"/>
      <c r="F17" s="187"/>
      <c r="G17" s="188"/>
      <c r="H17" s="187"/>
      <c r="I17" s="187"/>
    </row>
    <row r="18" spans="2:12" x14ac:dyDescent="0.2">
      <c r="B18" s="187"/>
      <c r="C18" s="187"/>
      <c r="D18" s="187"/>
      <c r="E18" s="187"/>
      <c r="F18" s="187"/>
      <c r="G18" s="188"/>
      <c r="H18" s="187"/>
      <c r="I18" s="187"/>
    </row>
    <row r="19" spans="2:12" ht="12.75" customHeight="1" x14ac:dyDescent="0.2">
      <c r="B19" s="143"/>
      <c r="C19" s="502" t="s">
        <v>324</v>
      </c>
      <c r="D19" s="508" t="s">
        <v>326</v>
      </c>
      <c r="E19" s="508"/>
      <c r="F19" s="508"/>
      <c r="G19" s="500">
        <v>4</v>
      </c>
      <c r="I19" s="143"/>
    </row>
    <row r="20" spans="2:12" ht="12.75" customHeight="1" x14ac:dyDescent="0.2">
      <c r="B20" s="143"/>
      <c r="C20" s="503"/>
      <c r="D20" s="509"/>
      <c r="E20" s="509"/>
      <c r="F20" s="509"/>
      <c r="G20" s="501"/>
      <c r="H20" s="143"/>
      <c r="I20" s="143"/>
    </row>
    <row r="21" spans="2:12" ht="12.75" customHeight="1" x14ac:dyDescent="0.2">
      <c r="B21" s="143"/>
      <c r="C21" s="470"/>
      <c r="D21" s="471"/>
      <c r="E21" s="471"/>
      <c r="F21" s="471"/>
      <c r="G21" s="472"/>
      <c r="H21" s="143"/>
      <c r="I21" s="143"/>
    </row>
    <row r="22" spans="2:12" x14ac:dyDescent="0.2">
      <c r="B22" s="143"/>
      <c r="C22" s="140"/>
      <c r="D22" s="143"/>
      <c r="E22" s="140"/>
      <c r="F22" s="143"/>
      <c r="G22" s="211" t="s">
        <v>344</v>
      </c>
      <c r="H22" s="473">
        <f>IF(Structure!D9&lt;&gt;0,(100-Structure!D9)/4,0)</f>
        <v>0</v>
      </c>
    </row>
    <row r="24" spans="2:12" x14ac:dyDescent="0.2">
      <c r="I24" s="140"/>
      <c r="J24" s="140"/>
    </row>
    <row r="25" spans="2:12" x14ac:dyDescent="0.2">
      <c r="J25" s="474"/>
      <c r="K25" s="475"/>
      <c r="L25" s="140"/>
    </row>
  </sheetData>
  <sheetProtection algorithmName="SHA-512" hashValue="cqrgge10PCYcEWEK1whpL6Q9a1x6NHxdklhwg3rdA2ZiVqmF+kOot5X09wjfRs0D/x3E4G24QPkXgNiAK/2vMw==" saltValue="SWMgUDClcRxIRI8dKfGFTw==" spinCount="100000" sheet="1" selectLockedCells="1"/>
  <mergeCells count="10">
    <mergeCell ref="G19:G20"/>
    <mergeCell ref="C19:C20"/>
    <mergeCell ref="E8:G8"/>
    <mergeCell ref="I4:K5"/>
    <mergeCell ref="I8:K8"/>
    <mergeCell ref="C4:E5"/>
    <mergeCell ref="D19:F20"/>
    <mergeCell ref="K9:M9"/>
    <mergeCell ref="C8:D8"/>
    <mergeCell ref="F4:H5"/>
  </mergeCells>
  <hyperlinks>
    <hyperlink ref="K9:M9" location="'BR Rehab.'!A1" display="Fill out the BR Rehab. Worksheet" xr:uid="{00000000-0004-0000-0200-000000000000}"/>
  </hyperlinks>
  <pageMargins left="0.7" right="0.7"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Equation" shapeId="16385" r:id="rId4">
          <objectPr defaultSize="0" autoLine="0" dde="1" r:id="rId5">
            <anchor moveWithCells="1">
              <from>
                <xdr:col>5</xdr:col>
                <xdr:colOff>581025</xdr:colOff>
                <xdr:row>18</xdr:row>
                <xdr:rowOff>66675</xdr:rowOff>
              </from>
              <to>
                <xdr:col>6</xdr:col>
                <xdr:colOff>209550</xdr:colOff>
                <xdr:row>19</xdr:row>
                <xdr:rowOff>85725</xdr:rowOff>
              </to>
            </anchor>
          </objectPr>
        </oleObject>
      </mc:Choice>
      <mc:Fallback>
        <oleObject progId="Equation" shapeId="1638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T135"/>
  <sheetViews>
    <sheetView showGridLines="0" workbookViewId="0">
      <selection activeCell="H8" sqref="H8"/>
    </sheetView>
  </sheetViews>
  <sheetFormatPr defaultColWidth="7.7109375" defaultRowHeight="12.75" x14ac:dyDescent="0.2"/>
  <cols>
    <col min="1" max="16384" width="7.7109375" style="154"/>
  </cols>
  <sheetData>
    <row r="2" spans="2:72" ht="13.5" thickBot="1" x14ac:dyDescent="0.25"/>
    <row r="3" spans="2:72" x14ac:dyDescent="0.2">
      <c r="B3" s="93"/>
      <c r="C3" s="133"/>
      <c r="D3" s="94"/>
      <c r="E3" s="94"/>
      <c r="F3" s="94"/>
      <c r="G3" s="94"/>
      <c r="H3" s="94"/>
      <c r="I3" s="94"/>
      <c r="J3" s="94"/>
      <c r="K3" s="94"/>
      <c r="L3" s="95"/>
      <c r="M3" s="152"/>
      <c r="N3" s="153"/>
    </row>
    <row r="4" spans="2:72" x14ac:dyDescent="0.2">
      <c r="B4" s="96"/>
      <c r="C4" s="520" t="s">
        <v>212</v>
      </c>
      <c r="D4" s="520"/>
      <c r="E4" s="520"/>
      <c r="F4" s="522" t="s">
        <v>297</v>
      </c>
      <c r="G4" s="522"/>
      <c r="H4" s="522"/>
      <c r="I4" s="522"/>
      <c r="J4" s="522"/>
      <c r="K4" s="176"/>
      <c r="L4" s="97"/>
      <c r="M4" s="152"/>
      <c r="N4" s="153"/>
    </row>
    <row r="5" spans="2:72" x14ac:dyDescent="0.2">
      <c r="B5" s="96"/>
      <c r="C5" s="343"/>
      <c r="D5" s="343"/>
      <c r="E5" s="343"/>
      <c r="F5" s="345"/>
      <c r="G5" s="345"/>
      <c r="H5" s="345"/>
      <c r="I5" s="345"/>
      <c r="J5" s="345"/>
      <c r="K5" s="176"/>
      <c r="L5" s="97"/>
      <c r="M5" s="152"/>
      <c r="N5" s="153"/>
    </row>
    <row r="6" spans="2:72" x14ac:dyDescent="0.2">
      <c r="B6" s="96"/>
      <c r="C6" s="39"/>
      <c r="D6" s="39"/>
      <c r="E6" s="39"/>
      <c r="F6" s="14"/>
      <c r="G6" s="39"/>
      <c r="H6" s="39"/>
      <c r="I6" s="39"/>
      <c r="J6" s="39"/>
      <c r="K6" s="39"/>
      <c r="L6" s="97"/>
    </row>
    <row r="7" spans="2:72" x14ac:dyDescent="0.2">
      <c r="B7" s="96"/>
      <c r="C7" s="39"/>
      <c r="D7" s="38"/>
      <c r="E7" s="39"/>
      <c r="F7" s="39"/>
      <c r="G7" s="39"/>
      <c r="H7" s="523" t="s">
        <v>310</v>
      </c>
      <c r="I7" s="523"/>
      <c r="J7" s="523"/>
      <c r="K7" s="39"/>
      <c r="L7" s="97"/>
    </row>
    <row r="8" spans="2:72" x14ac:dyDescent="0.2">
      <c r="B8" s="96"/>
      <c r="C8" s="38" t="s">
        <v>161</v>
      </c>
      <c r="D8" s="36">
        <f>'BR Summary'!D11</f>
        <v>0</v>
      </c>
      <c r="E8" s="39" t="s">
        <v>312</v>
      </c>
      <c r="F8" s="39"/>
      <c r="G8" s="39"/>
      <c r="H8" s="232"/>
      <c r="I8" s="232"/>
      <c r="J8" s="233"/>
      <c r="K8" s="39"/>
      <c r="L8" s="97"/>
    </row>
    <row r="9" spans="2:72" x14ac:dyDescent="0.2">
      <c r="B9" s="96"/>
      <c r="C9" s="39"/>
      <c r="D9" s="39"/>
      <c r="E9" s="39"/>
      <c r="F9" s="39"/>
      <c r="G9" s="39"/>
      <c r="H9" s="177" t="s">
        <v>65</v>
      </c>
      <c r="I9" s="19" t="s">
        <v>66</v>
      </c>
      <c r="J9" s="19" t="s">
        <v>67</v>
      </c>
      <c r="K9" s="39"/>
      <c r="L9" s="97"/>
      <c r="AI9" s="297"/>
      <c r="AJ9" s="297"/>
      <c r="AK9" s="297"/>
      <c r="AL9" s="297"/>
      <c r="AM9" s="297"/>
      <c r="AN9" s="297"/>
      <c r="AO9" s="297"/>
      <c r="AP9" s="297"/>
      <c r="AQ9" s="297"/>
      <c r="AR9" s="297"/>
      <c r="AS9" s="297"/>
      <c r="AT9" s="297"/>
      <c r="AU9" s="131"/>
      <c r="AV9" s="356">
        <f>'BR Summary'!D13</f>
        <v>0</v>
      </c>
      <c r="AW9" s="357" t="s">
        <v>157</v>
      </c>
      <c r="AX9" s="131"/>
      <c r="AY9" s="131"/>
      <c r="AZ9" s="131"/>
      <c r="BA9" s="131"/>
      <c r="BB9" s="357"/>
      <c r="BC9" s="357"/>
      <c r="BD9" s="357"/>
      <c r="BE9" s="357"/>
      <c r="BF9" s="297"/>
    </row>
    <row r="10" spans="2:72" x14ac:dyDescent="0.2">
      <c r="B10" s="96"/>
      <c r="C10" s="39"/>
      <c r="D10" s="39"/>
      <c r="E10" s="39"/>
      <c r="F10" s="39"/>
      <c r="G10" s="39"/>
      <c r="H10" s="39"/>
      <c r="I10" s="39"/>
      <c r="J10" s="39"/>
      <c r="K10" s="39"/>
      <c r="L10" s="97"/>
      <c r="AI10" s="297"/>
      <c r="AJ10" s="297"/>
      <c r="AK10" s="297"/>
      <c r="AL10" s="297"/>
      <c r="AM10" s="297"/>
      <c r="AN10" s="297"/>
      <c r="AO10" s="297"/>
      <c r="AP10" s="297"/>
      <c r="AQ10" s="297"/>
      <c r="AR10" s="297"/>
      <c r="AS10" s="297"/>
      <c r="AT10" s="297"/>
      <c r="AU10" s="131"/>
      <c r="AV10" s="137"/>
      <c r="AW10" s="357"/>
      <c r="AX10" s="131"/>
      <c r="AY10" s="131"/>
      <c r="AZ10" s="131"/>
      <c r="BA10" s="131"/>
      <c r="BB10" s="357"/>
      <c r="BC10" s="357"/>
      <c r="BD10" s="357"/>
      <c r="BE10" s="357"/>
      <c r="BF10" s="297"/>
      <c r="BI10" s="297"/>
      <c r="BJ10" s="297"/>
      <c r="BK10" s="297"/>
      <c r="BL10" s="297"/>
      <c r="BM10" s="297"/>
      <c r="BN10" s="297"/>
      <c r="BO10" s="297"/>
      <c r="BP10" s="297"/>
      <c r="BQ10" s="297"/>
      <c r="BR10" s="297"/>
      <c r="BS10" s="297"/>
      <c r="BT10" s="297"/>
    </row>
    <row r="11" spans="2:72" x14ac:dyDescent="0.2">
      <c r="B11" s="96"/>
      <c r="C11" s="521" t="s">
        <v>285</v>
      </c>
      <c r="D11" s="521"/>
      <c r="E11" s="109"/>
      <c r="F11" s="109"/>
      <c r="G11" s="521" t="s">
        <v>158</v>
      </c>
      <c r="H11" s="521"/>
      <c r="I11" s="521"/>
      <c r="J11" s="39"/>
      <c r="K11" s="39"/>
      <c r="L11" s="97"/>
      <c r="N11" s="155"/>
      <c r="AI11" s="297"/>
      <c r="AJ11" s="297"/>
      <c r="AK11" s="297"/>
      <c r="AL11" s="297"/>
      <c r="AM11" s="297"/>
      <c r="AN11" s="297"/>
      <c r="AO11" s="297"/>
      <c r="AP11" s="297"/>
      <c r="AQ11" s="297"/>
      <c r="AR11" s="297"/>
      <c r="AS11" s="297"/>
      <c r="AT11" s="297"/>
      <c r="AU11" s="358"/>
      <c r="AV11" s="358"/>
      <c r="AW11" s="358"/>
      <c r="AX11" s="358"/>
      <c r="AY11" s="358"/>
      <c r="AZ11" s="358"/>
      <c r="BA11" s="358"/>
      <c r="BB11" s="358"/>
      <c r="BC11" s="358"/>
      <c r="BD11" s="358"/>
      <c r="BE11" s="357"/>
      <c r="BF11" s="297"/>
      <c r="BI11" s="297"/>
      <c r="BJ11" s="297"/>
      <c r="BK11" s="297"/>
      <c r="BL11" s="297"/>
      <c r="BM11" s="297"/>
      <c r="BN11" s="297"/>
      <c r="BO11" s="297"/>
      <c r="BP11" s="297"/>
      <c r="BQ11" s="297"/>
      <c r="BR11" s="297"/>
      <c r="BS11" s="297"/>
      <c r="BT11" s="297"/>
    </row>
    <row r="12" spans="2:72" x14ac:dyDescent="0.2">
      <c r="B12" s="96"/>
      <c r="C12" s="51">
        <f>Geometry!W46</f>
        <v>115</v>
      </c>
      <c r="D12" s="20" t="s">
        <v>287</v>
      </c>
      <c r="E12" s="39"/>
      <c r="F12" s="39"/>
      <c r="G12" s="39"/>
      <c r="H12" s="32">
        <f>Geometry!P93</f>
        <v>0</v>
      </c>
      <c r="I12" s="20" t="s">
        <v>288</v>
      </c>
      <c r="J12" s="39"/>
      <c r="K12" s="39"/>
      <c r="L12" s="97"/>
      <c r="N12" s="155"/>
      <c r="AI12" s="297"/>
      <c r="AJ12" s="297"/>
      <c r="AK12" s="297"/>
      <c r="AL12" s="297"/>
      <c r="AM12" s="297"/>
      <c r="AN12" s="297"/>
      <c r="AO12" s="297"/>
      <c r="AP12" s="297"/>
      <c r="AQ12" s="297"/>
      <c r="AR12" s="297"/>
      <c r="AS12" s="297"/>
      <c r="AT12" s="297"/>
      <c r="AU12" s="359"/>
      <c r="AV12" s="359" t="s">
        <v>264</v>
      </c>
      <c r="AW12" s="359"/>
      <c r="AX12" s="359"/>
      <c r="AY12" s="359"/>
      <c r="AZ12" s="360">
        <f>IF(OR(AV9=7,AV9=8),AU17,BA17)</f>
        <v>22</v>
      </c>
      <c r="BA12" s="359" t="s">
        <v>265</v>
      </c>
      <c r="BB12" s="359"/>
      <c r="BC12" s="358"/>
      <c r="BD12" s="358"/>
      <c r="BE12" s="357"/>
      <c r="BF12" s="297"/>
      <c r="BI12" s="357"/>
      <c r="BJ12" s="131"/>
      <c r="BK12" s="361" t="s">
        <v>267</v>
      </c>
      <c r="BL12" s="131"/>
      <c r="BM12" s="131"/>
      <c r="BN12" s="357"/>
      <c r="BO12" s="357"/>
      <c r="BP12" s="131"/>
      <c r="BQ12" s="361" t="s">
        <v>267</v>
      </c>
      <c r="BR12" s="131"/>
      <c r="BS12" s="131"/>
      <c r="BT12" s="297"/>
    </row>
    <row r="13" spans="2:72" x14ac:dyDescent="0.2">
      <c r="B13" s="96"/>
      <c r="C13" s="34"/>
      <c r="D13" s="20"/>
      <c r="E13" s="39"/>
      <c r="F13" s="39"/>
      <c r="G13" s="39"/>
      <c r="H13" s="346"/>
      <c r="I13" s="20"/>
      <c r="J13" s="39"/>
      <c r="K13" s="39"/>
      <c r="L13" s="97"/>
      <c r="N13" s="155"/>
      <c r="AI13" s="297"/>
      <c r="AJ13" s="297"/>
      <c r="AK13" s="297"/>
      <c r="AL13" s="297"/>
      <c r="AM13" s="297"/>
      <c r="AN13" s="297"/>
      <c r="AO13" s="297"/>
      <c r="AP13" s="297"/>
      <c r="AQ13" s="297"/>
      <c r="AR13" s="297"/>
      <c r="AS13" s="297"/>
      <c r="AT13" s="297"/>
      <c r="AU13" s="362"/>
      <c r="AV13" s="363"/>
      <c r="AW13" s="359"/>
      <c r="AX13" s="359"/>
      <c r="AY13" s="359"/>
      <c r="AZ13" s="359"/>
      <c r="BA13" s="359"/>
      <c r="BB13" s="359"/>
      <c r="BC13" s="358"/>
      <c r="BD13" s="358"/>
      <c r="BE13" s="357"/>
      <c r="BF13" s="297"/>
      <c r="BI13" s="357"/>
      <c r="BJ13" s="357"/>
      <c r="BK13" s="357"/>
      <c r="BL13" s="357"/>
      <c r="BM13" s="357"/>
      <c r="BN13" s="357"/>
      <c r="BO13" s="357"/>
      <c r="BP13" s="357"/>
      <c r="BQ13" s="357"/>
      <c r="BR13" s="357"/>
      <c r="BS13" s="357"/>
      <c r="BT13" s="297"/>
    </row>
    <row r="14" spans="2:72" x14ac:dyDescent="0.2">
      <c r="B14" s="110"/>
      <c r="C14" s="46"/>
      <c r="D14" s="177" t="s">
        <v>293</v>
      </c>
      <c r="E14" s="39"/>
      <c r="F14" s="39"/>
      <c r="G14" s="39"/>
      <c r="H14" s="39"/>
      <c r="I14" s="177" t="s">
        <v>293</v>
      </c>
      <c r="J14" s="172" t="e">
        <f>IF(#REF!&lt;0.005,"",#REF!)</f>
        <v>#REF!</v>
      </c>
      <c r="K14" s="39"/>
      <c r="L14" s="97"/>
      <c r="M14" s="156"/>
      <c r="N14" s="156"/>
      <c r="AI14" s="297"/>
      <c r="AJ14" s="297"/>
      <c r="AK14" s="297"/>
      <c r="AL14" s="297"/>
      <c r="AM14" s="297"/>
      <c r="AN14" s="297"/>
      <c r="AO14" s="297"/>
      <c r="AP14" s="297"/>
      <c r="AQ14" s="297"/>
      <c r="AR14" s="297"/>
      <c r="AS14" s="297"/>
      <c r="AT14" s="297"/>
      <c r="AU14" s="362"/>
      <c r="AV14" s="525" t="s">
        <v>266</v>
      </c>
      <c r="AW14" s="526"/>
      <c r="AX14" s="359"/>
      <c r="AY14" s="359"/>
      <c r="AZ14" s="358"/>
      <c r="BA14" s="525" t="s">
        <v>267</v>
      </c>
      <c r="BB14" s="525"/>
      <c r="BC14" s="525"/>
      <c r="BD14" s="358"/>
      <c r="BE14" s="357"/>
      <c r="BF14" s="297"/>
      <c r="BI14" s="132" t="s">
        <v>275</v>
      </c>
      <c r="BJ14" s="357"/>
      <c r="BK14" s="131" t="s">
        <v>276</v>
      </c>
      <c r="BL14" s="364"/>
      <c r="BM14" s="364"/>
      <c r="BN14" s="357"/>
      <c r="BO14" s="132" t="s">
        <v>275</v>
      </c>
      <c r="BP14" s="357"/>
      <c r="BQ14" s="131" t="s">
        <v>277</v>
      </c>
      <c r="BR14" s="364"/>
      <c r="BS14" s="364"/>
      <c r="BT14" s="297"/>
    </row>
    <row r="15" spans="2:72" ht="12.75" customHeight="1" x14ac:dyDescent="0.2">
      <c r="B15" s="518" t="s">
        <v>167</v>
      </c>
      <c r="C15" s="349" t="s">
        <v>351</v>
      </c>
      <c r="D15" s="36">
        <f>Geometry!N85*E29</f>
        <v>0</v>
      </c>
      <c r="E15" s="39"/>
      <c r="F15" s="39"/>
      <c r="G15" s="39"/>
      <c r="H15" s="350" t="s">
        <v>351</v>
      </c>
      <c r="I15" s="36">
        <f>Geometry!N119*J29</f>
        <v>0</v>
      </c>
      <c r="J15" s="39"/>
      <c r="K15" s="18"/>
      <c r="L15" s="111"/>
      <c r="M15" s="157"/>
      <c r="N15" s="157"/>
      <c r="AI15" s="297"/>
      <c r="AJ15" s="297"/>
      <c r="AK15" s="297"/>
      <c r="AL15" s="297"/>
      <c r="AM15" s="365"/>
      <c r="AN15" s="360">
        <f>AM19</f>
        <v>6</v>
      </c>
      <c r="AO15" s="365" t="s">
        <v>172</v>
      </c>
      <c r="AP15" s="365"/>
      <c r="AQ15" s="297"/>
      <c r="AR15" s="297"/>
      <c r="AS15" s="297"/>
      <c r="AT15" s="297"/>
      <c r="AU15" s="362"/>
      <c r="AV15" s="363"/>
      <c r="AW15" s="359"/>
      <c r="AX15" s="359"/>
      <c r="AY15" s="359"/>
      <c r="AZ15" s="358"/>
      <c r="BA15" s="359"/>
      <c r="BB15" s="359"/>
      <c r="BC15" s="359"/>
      <c r="BD15" s="358"/>
      <c r="BE15" s="357"/>
      <c r="BF15" s="297"/>
      <c r="BI15" s="132" t="s">
        <v>278</v>
      </c>
      <c r="BJ15" s="366" t="s">
        <v>62</v>
      </c>
      <c r="BK15" s="366" t="s">
        <v>268</v>
      </c>
      <c r="BL15" s="366" t="s">
        <v>269</v>
      </c>
      <c r="BM15" s="366" t="s">
        <v>64</v>
      </c>
      <c r="BN15" s="357"/>
      <c r="BO15" s="132" t="s">
        <v>278</v>
      </c>
      <c r="BP15" s="366" t="s">
        <v>62</v>
      </c>
      <c r="BQ15" s="366" t="s">
        <v>268</v>
      </c>
      <c r="BR15" s="366" t="s">
        <v>269</v>
      </c>
      <c r="BS15" s="366" t="s">
        <v>64</v>
      </c>
      <c r="BT15" s="297"/>
    </row>
    <row r="16" spans="2:72" x14ac:dyDescent="0.2">
      <c r="B16" s="518"/>
      <c r="C16" s="46"/>
      <c r="D16" s="48"/>
      <c r="E16" s="39"/>
      <c r="F16" s="39"/>
      <c r="G16" s="19"/>
      <c r="H16" s="39"/>
      <c r="I16" s="56"/>
      <c r="J16" s="48"/>
      <c r="K16" s="39"/>
      <c r="L16" s="111"/>
      <c r="M16" s="157"/>
      <c r="N16" s="157"/>
      <c r="S16" s="367" t="s">
        <v>90</v>
      </c>
      <c r="T16" s="357"/>
      <c r="U16" s="357"/>
      <c r="V16" s="357"/>
      <c r="W16" s="357"/>
      <c r="X16" s="357"/>
      <c r="Y16" s="357"/>
      <c r="Z16" s="131"/>
      <c r="AA16" s="357"/>
      <c r="AB16" s="131"/>
      <c r="AC16" s="357"/>
      <c r="AD16" s="357"/>
      <c r="AE16" s="357"/>
      <c r="AF16" s="357"/>
      <c r="AI16" s="297"/>
      <c r="AJ16" s="297"/>
      <c r="AK16" s="297"/>
      <c r="AL16" s="297"/>
      <c r="AM16" s="365"/>
      <c r="AN16" s="365"/>
      <c r="AO16" s="365"/>
      <c r="AP16" s="365"/>
      <c r="AQ16" s="297"/>
      <c r="AR16" s="297"/>
      <c r="AS16" s="297"/>
      <c r="AT16" s="297"/>
      <c r="AU16" s="368" t="s">
        <v>62</v>
      </c>
      <c r="AV16" s="368" t="s">
        <v>268</v>
      </c>
      <c r="AW16" s="368" t="s">
        <v>269</v>
      </c>
      <c r="AX16" s="368" t="s">
        <v>64</v>
      </c>
      <c r="AY16" s="359"/>
      <c r="AZ16" s="358"/>
      <c r="BA16" s="368" t="s">
        <v>270</v>
      </c>
      <c r="BB16" s="368" t="s">
        <v>271</v>
      </c>
      <c r="BC16" s="368" t="s">
        <v>64</v>
      </c>
      <c r="BD16" s="358"/>
      <c r="BE16" s="357"/>
      <c r="BF16" s="297"/>
      <c r="BI16" s="357"/>
      <c r="BJ16" s="357"/>
      <c r="BK16" s="357"/>
      <c r="BL16" s="357"/>
      <c r="BM16" s="357"/>
      <c r="BN16" s="357"/>
      <c r="BO16" s="357"/>
      <c r="BP16" s="357"/>
      <c r="BQ16" s="357"/>
      <c r="BR16" s="357"/>
      <c r="BS16" s="357"/>
      <c r="BT16" s="297"/>
    </row>
    <row r="17" spans="2:72" x14ac:dyDescent="0.2">
      <c r="B17" s="518"/>
      <c r="C17" s="20" t="s">
        <v>130</v>
      </c>
      <c r="D17" s="22" t="s">
        <v>289</v>
      </c>
      <c r="E17" s="19" t="s">
        <v>299</v>
      </c>
      <c r="F17" s="19"/>
      <c r="G17" s="39"/>
      <c r="H17" s="344" t="s">
        <v>159</v>
      </c>
      <c r="I17" s="37" t="s">
        <v>289</v>
      </c>
      <c r="J17" s="19" t="s">
        <v>299</v>
      </c>
      <c r="K17" s="39"/>
      <c r="L17" s="112"/>
      <c r="M17" s="152"/>
      <c r="N17" s="158"/>
      <c r="S17" s="357"/>
      <c r="T17" s="357"/>
      <c r="U17" s="357"/>
      <c r="V17" s="357"/>
      <c r="W17" s="357"/>
      <c r="X17" s="357"/>
      <c r="Y17" s="357"/>
      <c r="Z17" s="131"/>
      <c r="AA17" s="357"/>
      <c r="AB17" s="131"/>
      <c r="AC17" s="357"/>
      <c r="AD17" s="357"/>
      <c r="AE17" s="357"/>
      <c r="AF17" s="357"/>
      <c r="AI17" s="297"/>
      <c r="AJ17" s="297"/>
      <c r="AK17" s="297"/>
      <c r="AL17" s="297"/>
      <c r="AM17" s="365"/>
      <c r="AN17" s="369" t="s">
        <v>173</v>
      </c>
      <c r="AO17" s="369"/>
      <c r="AP17" s="370"/>
      <c r="AQ17" s="297"/>
      <c r="AR17" s="297"/>
      <c r="AS17" s="297"/>
      <c r="AT17" s="297"/>
      <c r="AU17" s="363">
        <f>IF(AND(Geometry!T50&lt;=50,'Traffic &amp; Accidents'!D8&lt;400),20,AU18)</f>
        <v>20</v>
      </c>
      <c r="AV17" s="363">
        <f>IF(AND(Geometry!T50&lt;=30,'Traffic &amp; Accidents'!D8&lt;1501),20,AV18)</f>
        <v>20</v>
      </c>
      <c r="AW17" s="363">
        <f>IF(AND(Geometry!T50&lt;=50,'Traffic &amp; Accidents'!D8&lt;=2000),22,AW18)</f>
        <v>22</v>
      </c>
      <c r="AX17" s="363">
        <f>IF('Traffic &amp; Accidents'!D8&gt;2000,24,0)</f>
        <v>0</v>
      </c>
      <c r="AY17" s="359"/>
      <c r="AZ17" s="358"/>
      <c r="BA17" s="363">
        <f>IF(AND(Geometry!T50&lt;60,'Traffic &amp; Accidents'!D8&lt;1501),22,BA18)</f>
        <v>22</v>
      </c>
      <c r="BB17" s="363">
        <f>IF(AND(Geometry!T50&lt;50,'Traffic &amp; Accidents'!D8&lt;2001),22,BB18)</f>
        <v>22</v>
      </c>
      <c r="BC17" s="363">
        <f>IF('Traffic &amp; Accidents'!D8&gt;2000,24,0)</f>
        <v>0</v>
      </c>
      <c r="BD17" s="358"/>
      <c r="BE17" s="357"/>
      <c r="BF17" s="297"/>
      <c r="BI17" s="131">
        <v>40</v>
      </c>
      <c r="BJ17" s="131">
        <v>22</v>
      </c>
      <c r="BK17" s="131">
        <v>22</v>
      </c>
      <c r="BL17" s="131">
        <v>22</v>
      </c>
      <c r="BM17" s="131">
        <v>24</v>
      </c>
      <c r="BN17" s="357"/>
      <c r="BO17" s="132" t="s">
        <v>279</v>
      </c>
      <c r="BP17" s="131">
        <v>4</v>
      </c>
      <c r="BQ17" s="131">
        <v>6</v>
      </c>
      <c r="BR17" s="131">
        <v>6</v>
      </c>
      <c r="BS17" s="131">
        <v>8</v>
      </c>
      <c r="BT17" s="297"/>
    </row>
    <row r="18" spans="2:72" ht="15" customHeight="1" x14ac:dyDescent="0.2">
      <c r="B18" s="518"/>
      <c r="C18" s="113" t="s">
        <v>143</v>
      </c>
      <c r="D18" s="58" t="s">
        <v>143</v>
      </c>
      <c r="E18" s="21" t="s">
        <v>290</v>
      </c>
      <c r="F18" s="21"/>
      <c r="G18" s="114" t="s">
        <v>323</v>
      </c>
      <c r="H18" s="115" t="s">
        <v>221</v>
      </c>
      <c r="I18" s="116" t="s">
        <v>159</v>
      </c>
      <c r="J18" s="21" t="s">
        <v>290</v>
      </c>
      <c r="K18" s="21"/>
      <c r="L18" s="117"/>
      <c r="M18" s="152"/>
      <c r="N18" s="159"/>
      <c r="S18" s="357" t="s">
        <v>91</v>
      </c>
      <c r="T18" s="357"/>
      <c r="U18" s="357"/>
      <c r="V18" s="357"/>
      <c r="W18" s="357"/>
      <c r="X18" s="357"/>
      <c r="Y18" s="357"/>
      <c r="Z18" s="131"/>
      <c r="AA18" s="357"/>
      <c r="AB18" s="131"/>
      <c r="AC18" s="357"/>
      <c r="AD18" s="357"/>
      <c r="AE18" s="357"/>
      <c r="AF18" s="357"/>
      <c r="AI18" s="297"/>
      <c r="AJ18" s="297"/>
      <c r="AK18" s="297"/>
      <c r="AL18" s="297"/>
      <c r="AM18" s="365"/>
      <c r="AN18" s="363"/>
      <c r="AO18" s="371"/>
      <c r="AP18" s="371"/>
      <c r="AQ18" s="297"/>
      <c r="AR18" s="297"/>
      <c r="AS18" s="297"/>
      <c r="AT18" s="297"/>
      <c r="AU18" s="363">
        <f>IF(AND(Geometry!T50&gt;50,'Traffic &amp; Accidents'!D8&lt;400),22,AV17)</f>
        <v>20</v>
      </c>
      <c r="AV18" s="363">
        <f>IF(AND(Geometry!T50&gt;=35,'Traffic &amp; Accidents'!D8&lt;=1500),22,AW17)</f>
        <v>22</v>
      </c>
      <c r="AW18" s="363">
        <f>IF(AND(Geometry!T50&gt;=55,'Traffic &amp; Accidents'!D8&lt;=2001),24,AX17)</f>
        <v>0</v>
      </c>
      <c r="AX18" s="362"/>
      <c r="AY18" s="359"/>
      <c r="AZ18" s="358"/>
      <c r="BA18" s="363">
        <f>IF(AND(Geometry!T50&gt;55,'Traffic &amp; Accidents'!D8&lt;1501),24,BB17)</f>
        <v>22</v>
      </c>
      <c r="BB18" s="363">
        <f>IF(AND(Geometry!T50&gt;=50,'Traffic &amp; Accidents'!D8&lt;=2001),24,BC17)</f>
        <v>0</v>
      </c>
      <c r="BC18" s="363"/>
      <c r="BD18" s="358"/>
      <c r="BE18" s="357"/>
      <c r="BF18" s="297"/>
      <c r="BI18" s="131">
        <v>45</v>
      </c>
      <c r="BJ18" s="131">
        <v>22</v>
      </c>
      <c r="BK18" s="131">
        <v>22</v>
      </c>
      <c r="BL18" s="131">
        <v>22</v>
      </c>
      <c r="BM18" s="131">
        <v>24</v>
      </c>
      <c r="BN18" s="357"/>
      <c r="BO18" s="131"/>
      <c r="BP18" s="131"/>
      <c r="BQ18" s="131"/>
      <c r="BR18" s="131"/>
      <c r="BS18" s="131"/>
      <c r="BT18" s="297"/>
    </row>
    <row r="19" spans="2:72" x14ac:dyDescent="0.2">
      <c r="B19" s="118">
        <v>1</v>
      </c>
      <c r="C19" s="233"/>
      <c r="D19" s="233"/>
      <c r="E19" s="162" t="str">
        <f>IF(AND(D19&gt;=C19,C19&lt;C12,D19&lt;&gt;0),F19,"")</f>
        <v/>
      </c>
      <c r="F19" s="230">
        <f>IF(D19&gt;C12,1,(D19-C19)/(C12-C19))</f>
        <v>0</v>
      </c>
      <c r="G19" s="233"/>
      <c r="H19" s="233"/>
      <c r="I19" s="233"/>
      <c r="J19" s="23" t="str">
        <f>IF(AND(I19&lt;=G19,G19&gt;H12,I19&lt;&gt;0),K19,"")</f>
        <v/>
      </c>
      <c r="K19" s="231" t="e">
        <f>IF(I19&lt;H12,1,(G19-I19)/(G19-H12)*(H19/H29))</f>
        <v>#DIV/0!</v>
      </c>
      <c r="L19" s="119"/>
      <c r="M19" s="160"/>
      <c r="N19" s="159"/>
      <c r="S19" s="357" t="s">
        <v>92</v>
      </c>
      <c r="T19" s="357"/>
      <c r="U19" s="357"/>
      <c r="V19" s="357"/>
      <c r="W19" s="357"/>
      <c r="X19" s="357"/>
      <c r="Y19" s="357"/>
      <c r="Z19" s="131"/>
      <c r="AA19" s="357"/>
      <c r="AB19" s="131"/>
      <c r="AC19" s="357"/>
      <c r="AD19" s="357"/>
      <c r="AE19" s="357"/>
      <c r="AF19" s="357"/>
      <c r="AI19" s="32">
        <f>Geometry!E33</f>
        <v>0</v>
      </c>
      <c r="AJ19" s="372" t="s">
        <v>216</v>
      </c>
      <c r="AK19" s="297"/>
      <c r="AL19" s="297"/>
      <c r="AM19" s="360">
        <f>IF(Geometry!P44&lt;400,AN19,AM20)</f>
        <v>6</v>
      </c>
      <c r="AN19" s="373">
        <f>IF(AI19&lt;20,6,AO19)</f>
        <v>6</v>
      </c>
      <c r="AO19" s="373">
        <f>IF(AI19&lt;=22,3,AP19)</f>
        <v>3</v>
      </c>
      <c r="AP19" s="373" t="str">
        <f>IF(AI19&gt;22,0,"")</f>
        <v/>
      </c>
      <c r="AQ19" s="297"/>
      <c r="AR19" s="297"/>
      <c r="AS19" s="297"/>
      <c r="AT19" s="297"/>
      <c r="AU19" s="363"/>
      <c r="AV19" s="363"/>
      <c r="AW19" s="363"/>
      <c r="AX19" s="362"/>
      <c r="AY19" s="359"/>
      <c r="AZ19" s="358"/>
      <c r="BA19" s="363"/>
      <c r="BB19" s="363"/>
      <c r="BC19" s="363"/>
      <c r="BD19" s="358"/>
      <c r="BE19" s="357"/>
      <c r="BF19" s="297"/>
      <c r="BI19" s="131">
        <v>50</v>
      </c>
      <c r="BJ19" s="131">
        <v>22</v>
      </c>
      <c r="BK19" s="131">
        <v>22</v>
      </c>
      <c r="BL19" s="131">
        <v>24</v>
      </c>
      <c r="BM19" s="131">
        <v>24</v>
      </c>
      <c r="BN19" s="357"/>
      <c r="BO19" s="131"/>
      <c r="BP19" s="131"/>
      <c r="BQ19" s="131"/>
      <c r="BR19" s="131"/>
      <c r="BS19" s="131"/>
      <c r="BT19" s="297"/>
    </row>
    <row r="20" spans="2:72" x14ac:dyDescent="0.2">
      <c r="B20" s="118">
        <v>2</v>
      </c>
      <c r="C20" s="233"/>
      <c r="D20" s="233"/>
      <c r="E20" s="23" t="str">
        <f>IF(AND(D20&gt;=C20,C20&lt;C12,D20&lt;&gt;0),F20,"")</f>
        <v/>
      </c>
      <c r="F20" s="230">
        <f>IF(D20&gt;C12,1,(D20-C20)/(C12-C20))</f>
        <v>0</v>
      </c>
      <c r="G20" s="233"/>
      <c r="H20" s="233"/>
      <c r="I20" s="233"/>
      <c r="J20" s="23" t="str">
        <f>IF(AND(I20&lt;=G20,G20&gt;H12,I20&lt;&gt;0),K20,"")</f>
        <v/>
      </c>
      <c r="K20" s="231" t="e">
        <f>IF(I20&lt;H12,1,(G20-I20)/(G20-H12)*(H20/H29))</f>
        <v>#DIV/0!</v>
      </c>
      <c r="L20" s="120"/>
      <c r="M20" s="160"/>
      <c r="N20" s="159"/>
      <c r="S20" s="357"/>
      <c r="T20" s="357"/>
      <c r="U20" s="357"/>
      <c r="V20" s="357"/>
      <c r="W20" s="357"/>
      <c r="X20" s="357"/>
      <c r="Y20" s="357"/>
      <c r="Z20" s="131"/>
      <c r="AA20" s="357"/>
      <c r="AB20" s="131"/>
      <c r="AC20" s="357"/>
      <c r="AD20" s="357"/>
      <c r="AE20" s="357"/>
      <c r="AF20" s="357"/>
      <c r="AI20" s="32">
        <f>Geometry!E34</f>
        <v>0</v>
      </c>
      <c r="AJ20" s="372" t="s">
        <v>215</v>
      </c>
      <c r="AK20" s="297"/>
      <c r="AL20" s="297"/>
      <c r="AM20" s="371">
        <f>IF(Geometry!P44&lt;2001,AN20,AM21)</f>
        <v>6</v>
      </c>
      <c r="AN20" s="373">
        <f>IF(AI19&lt;20,6,AO19)</f>
        <v>6</v>
      </c>
      <c r="AO20" s="373">
        <f>IF(AI19&lt;=22,3,AP19)</f>
        <v>3</v>
      </c>
      <c r="AP20" s="373" t="str">
        <f>IF(AI19&gt;22,0,"")</f>
        <v/>
      </c>
      <c r="AQ20" s="297"/>
      <c r="AR20" s="297"/>
      <c r="AS20" s="297"/>
      <c r="AT20" s="297"/>
      <c r="AU20" s="137"/>
      <c r="AV20" s="137"/>
      <c r="AW20" s="137"/>
      <c r="AX20" s="374"/>
      <c r="AY20" s="375"/>
      <c r="AZ20" s="357"/>
      <c r="BA20" s="137"/>
      <c r="BB20" s="137"/>
      <c r="BC20" s="137"/>
      <c r="BD20" s="357"/>
      <c r="BE20" s="357"/>
      <c r="BF20" s="297"/>
      <c r="BI20" s="131">
        <v>55</v>
      </c>
      <c r="BJ20" s="131">
        <v>22</v>
      </c>
      <c r="BK20" s="131">
        <v>22</v>
      </c>
      <c r="BL20" s="131">
        <v>24</v>
      </c>
      <c r="BM20" s="131">
        <v>24</v>
      </c>
      <c r="BN20" s="357"/>
      <c r="BO20" s="131"/>
      <c r="BP20" s="131"/>
      <c r="BQ20" s="131"/>
      <c r="BR20" s="131"/>
      <c r="BS20" s="131"/>
      <c r="BT20" s="297"/>
    </row>
    <row r="21" spans="2:72" x14ac:dyDescent="0.2">
      <c r="B21" s="118">
        <v>3</v>
      </c>
      <c r="C21" s="233"/>
      <c r="D21" s="233"/>
      <c r="E21" s="23" t="str">
        <f>IF(AND(D21&gt;=C21,C21&lt;C12,D21&lt;&gt;0),F21,"")</f>
        <v/>
      </c>
      <c r="F21" s="230">
        <f>IF(D21&gt;C12,1,(D21-C21)/(C12-C21))</f>
        <v>0</v>
      </c>
      <c r="G21" s="233"/>
      <c r="H21" s="233"/>
      <c r="I21" s="233"/>
      <c r="J21" s="23" t="str">
        <f>IF(AND(I21&lt;=G21,G21&gt;H12,I21&lt;&gt;0),K21,"")</f>
        <v/>
      </c>
      <c r="K21" s="231" t="e">
        <f>IF(I21&lt;H12,1,(G21-I21)/(G21-H12)*(H21/H29))</f>
        <v>#DIV/0!</v>
      </c>
      <c r="L21" s="119"/>
      <c r="M21" s="160"/>
      <c r="N21" s="159"/>
      <c r="S21" s="357"/>
      <c r="T21" s="357"/>
      <c r="U21" s="357"/>
      <c r="V21" s="357"/>
      <c r="W21" s="357"/>
      <c r="X21" s="357"/>
      <c r="Y21" s="357"/>
      <c r="Z21" s="131"/>
      <c r="AA21" s="357"/>
      <c r="AB21" s="131"/>
      <c r="AC21" s="357"/>
      <c r="AD21" s="357"/>
      <c r="AE21" s="357"/>
      <c r="AF21" s="357"/>
      <c r="AI21" s="297"/>
      <c r="AJ21" s="297"/>
      <c r="AK21" s="297"/>
      <c r="AL21" s="297"/>
      <c r="AM21" s="371" t="str">
        <f>IF(Geometry!P44&gt;=2001,AN21,"")</f>
        <v/>
      </c>
      <c r="AN21" s="371">
        <f>IF(AI19&lt;22,6,AO21)</f>
        <v>6</v>
      </c>
      <c r="AO21" s="371">
        <f>IF(AI19&lt;=24,3,AP21)</f>
        <v>3</v>
      </c>
      <c r="AP21" s="371" t="str">
        <f>IF(AI19&gt;24,0,"")</f>
        <v/>
      </c>
      <c r="AQ21" s="297"/>
      <c r="AR21" s="297"/>
      <c r="AS21" s="297"/>
      <c r="AT21" s="297"/>
      <c r="AU21" s="359"/>
      <c r="AV21" s="363"/>
      <c r="AW21" s="363"/>
      <c r="AX21" s="363"/>
      <c r="AY21" s="363"/>
      <c r="AZ21" s="359"/>
      <c r="BA21" s="363"/>
      <c r="BB21" s="363"/>
      <c r="BC21" s="371"/>
      <c r="BD21" s="358"/>
      <c r="BE21" s="357"/>
      <c r="BF21" s="297"/>
      <c r="BI21" s="131">
        <v>60</v>
      </c>
      <c r="BJ21" s="131">
        <v>24</v>
      </c>
      <c r="BK21" s="131">
        <v>24</v>
      </c>
      <c r="BL21" s="131">
        <v>24</v>
      </c>
      <c r="BM21" s="131">
        <v>24</v>
      </c>
      <c r="BN21" s="357"/>
      <c r="BO21" s="131"/>
      <c r="BP21" s="131"/>
      <c r="BQ21" s="131"/>
      <c r="BR21" s="131"/>
      <c r="BS21" s="131"/>
      <c r="BT21" s="297"/>
    </row>
    <row r="22" spans="2:72" x14ac:dyDescent="0.2">
      <c r="B22" s="118">
        <v>4</v>
      </c>
      <c r="C22" s="233"/>
      <c r="D22" s="233"/>
      <c r="E22" s="23" t="str">
        <f>IF(AND(D22&gt;=C22,C22&lt;C12,D22&lt;&gt;0),F22,"")</f>
        <v/>
      </c>
      <c r="F22" s="230">
        <f>IF(D22&gt;C12,1,(D22-C22)/(C12-C22))</f>
        <v>0</v>
      </c>
      <c r="G22" s="233"/>
      <c r="H22" s="233"/>
      <c r="I22" s="233"/>
      <c r="J22" s="23" t="str">
        <f>IF(AND(I22&lt;=G22,G22&gt;H12,I22&lt;&gt;0),K22,"")</f>
        <v/>
      </c>
      <c r="K22" s="231" t="e">
        <f>IF(I22&lt;H12,1,(G22-I22)/(G22-H12)*(H22/H29))</f>
        <v>#DIV/0!</v>
      </c>
      <c r="L22" s="119"/>
      <c r="M22" s="160"/>
      <c r="N22" s="159"/>
      <c r="S22" s="357"/>
      <c r="T22" s="357"/>
      <c r="U22" s="357"/>
      <c r="V22" s="357"/>
      <c r="W22" s="357"/>
      <c r="X22" s="357"/>
      <c r="Y22" s="357"/>
      <c r="Z22" s="131"/>
      <c r="AA22" s="357"/>
      <c r="AB22" s="131"/>
      <c r="AC22" s="357"/>
      <c r="AD22" s="357"/>
      <c r="AE22" s="357"/>
      <c r="AF22" s="357"/>
      <c r="AI22" s="297"/>
      <c r="AJ22" s="297"/>
      <c r="AK22" s="297"/>
      <c r="AL22" s="297"/>
      <c r="AM22" s="365"/>
      <c r="AN22" s="365"/>
      <c r="AO22" s="365"/>
      <c r="AP22" s="365"/>
      <c r="AQ22" s="297"/>
      <c r="AR22" s="297"/>
      <c r="AS22" s="297"/>
      <c r="AT22" s="297"/>
      <c r="AU22" s="362"/>
      <c r="AV22" s="359" t="s">
        <v>272</v>
      </c>
      <c r="AW22" s="363"/>
      <c r="AX22" s="363"/>
      <c r="AY22" s="363"/>
      <c r="AZ22" s="360">
        <f>IF(OR(AV9=7,AV9=8),AU27,BA27)</f>
        <v>4</v>
      </c>
      <c r="BA22" s="359" t="s">
        <v>273</v>
      </c>
      <c r="BB22" s="363"/>
      <c r="BC22" s="371"/>
      <c r="BD22" s="358"/>
      <c r="BE22" s="357"/>
      <c r="BF22" s="297"/>
      <c r="BI22" s="131">
        <v>65</v>
      </c>
      <c r="BJ22" s="131">
        <v>24</v>
      </c>
      <c r="BK22" s="131">
        <v>24</v>
      </c>
      <c r="BL22" s="131">
        <v>24</v>
      </c>
      <c r="BM22" s="131">
        <v>24</v>
      </c>
      <c r="BN22" s="357"/>
      <c r="BO22" s="131"/>
      <c r="BP22" s="131"/>
      <c r="BQ22" s="131"/>
      <c r="BR22" s="131"/>
      <c r="BS22" s="131"/>
      <c r="BT22" s="297"/>
    </row>
    <row r="23" spans="2:72" x14ac:dyDescent="0.2">
      <c r="B23" s="118">
        <v>5</v>
      </c>
      <c r="C23" s="233"/>
      <c r="D23" s="233"/>
      <c r="E23" s="23" t="str">
        <f>IF(AND(D23&gt;=C23,C23&lt;C12,D23&lt;&gt;0),F23,"")</f>
        <v/>
      </c>
      <c r="F23" s="230">
        <f>IF(D23&gt;C12,1,(D23-C23)/(C12-C23))</f>
        <v>0</v>
      </c>
      <c r="G23" s="233"/>
      <c r="H23" s="233"/>
      <c r="I23" s="233"/>
      <c r="J23" s="23" t="str">
        <f>IF(AND(I23&lt;=G23,G23&gt;H12,I23&lt;&gt;0),K23,"")</f>
        <v/>
      </c>
      <c r="K23" s="231" t="e">
        <f>IF(I23&lt;H12,1,(G23-I23)/(G23-H12)*(H23/H29))</f>
        <v>#DIV/0!</v>
      </c>
      <c r="L23" s="119"/>
      <c r="M23" s="160"/>
      <c r="N23" s="159"/>
      <c r="S23" s="357"/>
      <c r="T23" s="297"/>
      <c r="U23" s="376"/>
      <c r="V23" s="376" t="s">
        <v>93</v>
      </c>
      <c r="W23" s="376"/>
      <c r="X23" s="377"/>
      <c r="Y23" s="376"/>
      <c r="Z23" s="131"/>
      <c r="AA23" s="376"/>
      <c r="AB23" s="376" t="s">
        <v>94</v>
      </c>
      <c r="AC23" s="376"/>
      <c r="AD23" s="376"/>
      <c r="AE23" s="376"/>
      <c r="AF23" s="357"/>
      <c r="AI23" s="297"/>
      <c r="AJ23" s="297"/>
      <c r="AK23" s="297"/>
      <c r="AL23" s="297"/>
      <c r="AM23" s="365"/>
      <c r="AN23" s="378" t="s">
        <v>214</v>
      </c>
      <c r="AO23" s="378"/>
      <c r="AP23" s="365"/>
      <c r="AQ23" s="297"/>
      <c r="AR23" s="297"/>
      <c r="AS23" s="297"/>
      <c r="AT23" s="297"/>
      <c r="AU23" s="362"/>
      <c r="AV23" s="359"/>
      <c r="AW23" s="359"/>
      <c r="AX23" s="359"/>
      <c r="AY23" s="362"/>
      <c r="AZ23" s="359"/>
      <c r="BA23" s="363"/>
      <c r="BB23" s="363"/>
      <c r="BC23" s="371"/>
      <c r="BD23" s="358"/>
      <c r="BE23" s="357"/>
      <c r="BF23" s="297"/>
      <c r="BI23" s="131">
        <v>70</v>
      </c>
      <c r="BJ23" s="131">
        <v>24</v>
      </c>
      <c r="BK23" s="131">
        <v>24</v>
      </c>
      <c r="BL23" s="131">
        <v>24</v>
      </c>
      <c r="BM23" s="131">
        <v>24</v>
      </c>
      <c r="BN23" s="357"/>
      <c r="BO23" s="131"/>
      <c r="BP23" s="131"/>
      <c r="BQ23" s="131"/>
      <c r="BR23" s="131"/>
      <c r="BS23" s="131"/>
      <c r="BT23" s="297"/>
    </row>
    <row r="24" spans="2:72" x14ac:dyDescent="0.2">
      <c r="B24" s="118">
        <v>6</v>
      </c>
      <c r="C24" s="233"/>
      <c r="D24" s="233"/>
      <c r="E24" s="23" t="str">
        <f>IF(AND(D24&gt;=C24,C24&lt;C12,D24&lt;&gt;0),F24,"")</f>
        <v/>
      </c>
      <c r="F24" s="230">
        <f>IF(D24&gt;C12,1,(D24-C24)/(C12-C24))</f>
        <v>0</v>
      </c>
      <c r="G24" s="233"/>
      <c r="H24" s="233"/>
      <c r="I24" s="233"/>
      <c r="J24" s="23" t="str">
        <f>IF(AND(I24&lt;=G24,G24&gt;H12,I24&lt;&gt;0),K24,"")</f>
        <v/>
      </c>
      <c r="K24" s="231" t="e">
        <f>IF(I24&lt;H12,1,(G24-I24)/(G24-H12)*(H24/H29))</f>
        <v>#DIV/0!</v>
      </c>
      <c r="L24" s="119"/>
      <c r="M24" s="160"/>
      <c r="N24" s="159"/>
      <c r="S24" s="357"/>
      <c r="T24" s="357"/>
      <c r="U24" s="357"/>
      <c r="V24" s="357"/>
      <c r="W24" s="357"/>
      <c r="X24" s="357"/>
      <c r="Y24" s="357"/>
      <c r="Z24" s="131"/>
      <c r="AA24" s="357"/>
      <c r="AB24" s="131"/>
      <c r="AC24" s="357"/>
      <c r="AD24" s="357"/>
      <c r="AE24" s="357"/>
      <c r="AF24" s="357"/>
      <c r="AI24" s="297"/>
      <c r="AJ24" s="297"/>
      <c r="AK24" s="297"/>
      <c r="AL24" s="297"/>
      <c r="AM24" s="365"/>
      <c r="AN24" s="363"/>
      <c r="AO24" s="371"/>
      <c r="AP24" s="371"/>
      <c r="AQ24" s="297"/>
      <c r="AR24" s="297"/>
      <c r="AS24" s="297"/>
      <c r="AT24" s="297"/>
      <c r="AU24" s="358"/>
      <c r="AV24" s="525" t="s">
        <v>266</v>
      </c>
      <c r="AW24" s="526"/>
      <c r="AX24" s="359"/>
      <c r="AY24" s="359"/>
      <c r="AZ24" s="358"/>
      <c r="BA24" s="525" t="s">
        <v>267</v>
      </c>
      <c r="BB24" s="525"/>
      <c r="BC24" s="525"/>
      <c r="BD24" s="527"/>
      <c r="BE24" s="357"/>
      <c r="BF24" s="297"/>
      <c r="BI24" s="131">
        <v>75</v>
      </c>
      <c r="BJ24" s="131">
        <v>24</v>
      </c>
      <c r="BK24" s="131">
        <v>24</v>
      </c>
      <c r="BL24" s="131">
        <v>24</v>
      </c>
      <c r="BM24" s="131">
        <v>24</v>
      </c>
      <c r="BN24" s="357"/>
      <c r="BO24" s="131"/>
      <c r="BP24" s="131"/>
      <c r="BQ24" s="131"/>
      <c r="BR24" s="131"/>
      <c r="BS24" s="131"/>
      <c r="BT24" s="297"/>
    </row>
    <row r="25" spans="2:72" x14ac:dyDescent="0.2">
      <c r="B25" s="118">
        <v>7</v>
      </c>
      <c r="C25" s="233"/>
      <c r="D25" s="233"/>
      <c r="E25" s="23" t="str">
        <f>IF(AND(D25&gt;=C25,C25&lt;C12,D25&lt;&gt;0),F25,"")</f>
        <v/>
      </c>
      <c r="F25" s="230">
        <f>IF(D25&gt;C12,1,(D25-C25)/(C12-C25))</f>
        <v>0</v>
      </c>
      <c r="G25" s="233"/>
      <c r="H25" s="233"/>
      <c r="I25" s="233"/>
      <c r="J25" s="23" t="str">
        <f>IF(AND(I25&lt;=G25,G25&gt;H12,I25&lt;&gt;0),K25,"")</f>
        <v/>
      </c>
      <c r="K25" s="231" t="e">
        <f>IF(I25&lt;H12,1,(G25-I25)/(G25-H12)*(H25/H29))</f>
        <v>#DIV/0!</v>
      </c>
      <c r="L25" s="119"/>
      <c r="M25" s="160"/>
      <c r="N25" s="159"/>
      <c r="S25" s="379" t="s">
        <v>24</v>
      </c>
      <c r="T25" s="379"/>
      <c r="U25" s="379" t="s">
        <v>95</v>
      </c>
      <c r="V25" s="379"/>
      <c r="W25" s="380" t="s">
        <v>96</v>
      </c>
      <c r="X25" s="379" t="s">
        <v>97</v>
      </c>
      <c r="Y25" s="381"/>
      <c r="Z25" s="380"/>
      <c r="AA25" s="379" t="s">
        <v>95</v>
      </c>
      <c r="AB25" s="379"/>
      <c r="AC25" s="380" t="s">
        <v>96</v>
      </c>
      <c r="AD25" s="379" t="s">
        <v>97</v>
      </c>
      <c r="AE25" s="381"/>
      <c r="AF25" s="297"/>
      <c r="AI25" s="297"/>
      <c r="AJ25" s="297"/>
      <c r="AK25" s="297"/>
      <c r="AL25" s="297"/>
      <c r="AM25" s="360">
        <f>IF(Geometry!P44&lt;400,AN25,AM26)</f>
        <v>4</v>
      </c>
      <c r="AN25" s="373">
        <f>IF(AI20&lt;2,4,AO25)</f>
        <v>4</v>
      </c>
      <c r="AO25" s="373">
        <f>IF(AI20&lt;=3,2,AP25)</f>
        <v>2</v>
      </c>
      <c r="AP25" s="373" t="str">
        <f>IF(AI20&gt;3,0,"")</f>
        <v/>
      </c>
      <c r="AQ25" s="297"/>
      <c r="AR25" s="297"/>
      <c r="AS25" s="297"/>
      <c r="AT25" s="297"/>
      <c r="AU25" s="358"/>
      <c r="AV25" s="371"/>
      <c r="AW25" s="371"/>
      <c r="AX25" s="371"/>
      <c r="AY25" s="371"/>
      <c r="AZ25" s="371"/>
      <c r="BA25" s="371"/>
      <c r="BB25" s="371"/>
      <c r="BC25" s="371"/>
      <c r="BD25" s="358"/>
      <c r="BE25" s="357"/>
      <c r="BF25" s="297"/>
      <c r="BI25" s="297"/>
      <c r="BJ25" s="297"/>
      <c r="BK25" s="297"/>
      <c r="BL25" s="297"/>
      <c r="BM25" s="297"/>
      <c r="BN25" s="297"/>
      <c r="BO25" s="297"/>
      <c r="BP25" s="297"/>
      <c r="BQ25" s="297"/>
      <c r="BR25" s="297"/>
      <c r="BS25" s="297"/>
      <c r="BT25" s="297"/>
    </row>
    <row r="26" spans="2:72" x14ac:dyDescent="0.2">
      <c r="B26" s="118">
        <v>8</v>
      </c>
      <c r="C26" s="233"/>
      <c r="D26" s="233"/>
      <c r="E26" s="23" t="str">
        <f>IF(AND(D26&gt;=C26,C26&lt;C12,D26&lt;&gt;0),F26,"")</f>
        <v/>
      </c>
      <c r="F26" s="230">
        <f>IF(D26&gt;C12,1,(D26-C26)/(C12-C26))</f>
        <v>0</v>
      </c>
      <c r="G26" s="233"/>
      <c r="H26" s="233" t="s">
        <v>355</v>
      </c>
      <c r="I26" s="233"/>
      <c r="J26" s="23" t="str">
        <f>IF(AND(I26&lt;=G26,G26&gt;H12,I26&lt;&gt;0),K26,"")</f>
        <v/>
      </c>
      <c r="K26" s="231" t="e">
        <f>IF(I26&lt;H12,1,(G26-I26)/(G26-H12)*(H26/H29))</f>
        <v>#DIV/0!</v>
      </c>
      <c r="L26" s="119"/>
      <c r="M26" s="160"/>
      <c r="N26" s="159"/>
      <c r="S26" s="357" t="s">
        <v>98</v>
      </c>
      <c r="T26" s="297"/>
      <c r="U26" s="381"/>
      <c r="V26" s="381"/>
      <c r="W26" s="357"/>
      <c r="X26" s="381"/>
      <c r="Y26" s="381"/>
      <c r="Z26" s="131"/>
      <c r="AA26" s="381"/>
      <c r="AB26" s="381"/>
      <c r="AC26" s="357"/>
      <c r="AD26" s="381"/>
      <c r="AE26" s="381"/>
      <c r="AF26" s="357"/>
      <c r="AI26" s="297"/>
      <c r="AJ26" s="297"/>
      <c r="AK26" s="297"/>
      <c r="AL26" s="297"/>
      <c r="AM26" s="371">
        <f>IF(Geometry!P44&lt;2001,AN26,AM27)</f>
        <v>4</v>
      </c>
      <c r="AN26" s="373">
        <f>IF(AI20&lt;4,4,AO25)</f>
        <v>4</v>
      </c>
      <c r="AO26" s="373">
        <f>IF(AI20&lt;=6,2,AP25)</f>
        <v>2</v>
      </c>
      <c r="AP26" s="373" t="str">
        <f>IF(AI20&gt;6,0,"")</f>
        <v/>
      </c>
      <c r="AQ26" s="297"/>
      <c r="AR26" s="297"/>
      <c r="AS26" s="297"/>
      <c r="AT26" s="297"/>
      <c r="AU26" s="368" t="s">
        <v>62</v>
      </c>
      <c r="AV26" s="368" t="s">
        <v>268</v>
      </c>
      <c r="AW26" s="368" t="s">
        <v>269</v>
      </c>
      <c r="AX26" s="368" t="s">
        <v>64</v>
      </c>
      <c r="AY26" s="358"/>
      <c r="AZ26" s="371"/>
      <c r="BA26" s="368" t="s">
        <v>62</v>
      </c>
      <c r="BB26" s="368" t="s">
        <v>268</v>
      </c>
      <c r="BC26" s="368" t="s">
        <v>64</v>
      </c>
      <c r="BD26" s="358"/>
      <c r="BE26" s="357"/>
      <c r="BF26" s="297"/>
      <c r="BI26" s="297"/>
      <c r="BJ26" s="297"/>
      <c r="BK26" s="297"/>
      <c r="BL26" s="297"/>
      <c r="BM26" s="297"/>
      <c r="BN26" s="297"/>
      <c r="BO26" s="297"/>
      <c r="BP26" s="297"/>
      <c r="BQ26" s="297"/>
      <c r="BR26" s="297"/>
      <c r="BS26" s="297"/>
      <c r="BT26" s="297"/>
    </row>
    <row r="27" spans="2:72" x14ac:dyDescent="0.2">
      <c r="B27" s="118">
        <v>9</v>
      </c>
      <c r="C27" s="233"/>
      <c r="D27" s="233"/>
      <c r="E27" s="23" t="str">
        <f>IF(AND(D27&gt;=C27,C27&lt;C12,D27&lt;&gt;0),F27,"")</f>
        <v/>
      </c>
      <c r="F27" s="230">
        <f>IF(D27&gt;C12,1,(D27-C27)/(C12-C27))</f>
        <v>0</v>
      </c>
      <c r="G27" s="233"/>
      <c r="H27" s="233"/>
      <c r="I27" s="233"/>
      <c r="J27" s="23" t="str">
        <f>IF(AND(I27&lt;=G27,G27&gt;H12,I27&lt;&gt;0),K27,"")</f>
        <v/>
      </c>
      <c r="K27" s="231" t="e">
        <f>IF(I27&lt;H12,1,(G27-I27)/(G27-H12)*(H27/H29))</f>
        <v>#DIV/0!</v>
      </c>
      <c r="L27" s="119"/>
      <c r="M27" s="160"/>
      <c r="N27" s="159"/>
      <c r="S27" s="381" t="s">
        <v>78</v>
      </c>
      <c r="T27" s="381"/>
      <c r="U27" s="381" t="s">
        <v>99</v>
      </c>
      <c r="V27" s="381"/>
      <c r="W27" s="357" t="s">
        <v>100</v>
      </c>
      <c r="X27" s="381" t="s">
        <v>101</v>
      </c>
      <c r="Y27" s="381"/>
      <c r="Z27" s="131"/>
      <c r="AA27" s="381" t="s">
        <v>102</v>
      </c>
      <c r="AB27" s="381"/>
      <c r="AC27" s="131" t="s">
        <v>103</v>
      </c>
      <c r="AD27" s="381" t="s">
        <v>104</v>
      </c>
      <c r="AE27" s="381"/>
      <c r="AF27" s="357"/>
      <c r="AI27" s="297"/>
      <c r="AJ27" s="297"/>
      <c r="AK27" s="297"/>
      <c r="AL27" s="297"/>
      <c r="AM27" s="371" t="str">
        <f>IF(Geometry!P44&gt;=2001,AN27,"")</f>
        <v/>
      </c>
      <c r="AN27" s="371">
        <f>IF(AI20&lt;6,4,AO27)</f>
        <v>4</v>
      </c>
      <c r="AO27" s="371">
        <f>IF(AI20&lt;=8,2,AP27)</f>
        <v>2</v>
      </c>
      <c r="AP27" s="371" t="str">
        <f>IF(AI20&gt;8,0,"")</f>
        <v/>
      </c>
      <c r="AQ27" s="297"/>
      <c r="AR27" s="297"/>
      <c r="AS27" s="297"/>
      <c r="AT27" s="297"/>
      <c r="AU27" s="363">
        <f>IF('Traffic &amp; Accidents'!D8&lt;400,2,AV27)</f>
        <v>2</v>
      </c>
      <c r="AV27" s="363">
        <f>IF('Traffic &amp; Accidents'!D8&lt;1501,4,AW27)</f>
        <v>4</v>
      </c>
      <c r="AW27" s="363">
        <f>IF('Traffic &amp; Accidents'!D8&lt;2001,6,AX27)</f>
        <v>6</v>
      </c>
      <c r="AX27" s="363">
        <f>IF('Traffic &amp; Accidents'!D8&gt;2000,8,0)</f>
        <v>0</v>
      </c>
      <c r="AY27" s="358"/>
      <c r="AZ27" s="371"/>
      <c r="BA27" s="363">
        <f>IF('Traffic &amp; Accidents'!D8&lt;400,4,BB27)</f>
        <v>4</v>
      </c>
      <c r="BB27" s="363">
        <f>IF('Traffic &amp; Accidents'!D8&lt;2001,6,BC27)</f>
        <v>6</v>
      </c>
      <c r="BC27" s="363">
        <f>IF('Traffic &amp; Accidents'!D8&gt;2000,8,0)</f>
        <v>0</v>
      </c>
      <c r="BD27" s="358"/>
      <c r="BE27" s="357"/>
      <c r="BF27" s="297"/>
      <c r="BI27" s="297"/>
      <c r="BJ27" s="297"/>
      <c r="BK27" s="297"/>
      <c r="BL27" s="297"/>
      <c r="BM27" s="297"/>
      <c r="BN27" s="297"/>
      <c r="BO27" s="297"/>
      <c r="BP27" s="297"/>
      <c r="BQ27" s="297"/>
      <c r="BR27" s="297"/>
      <c r="BS27" s="297"/>
      <c r="BT27" s="297"/>
    </row>
    <row r="28" spans="2:72" x14ac:dyDescent="0.2">
      <c r="B28" s="121">
        <v>10</v>
      </c>
      <c r="C28" s="233"/>
      <c r="D28" s="233"/>
      <c r="E28" s="23" t="str">
        <f>IF(AND(D28&gt;=C28,C28&lt;C12,D28&lt;&gt;0),F28,"")</f>
        <v/>
      </c>
      <c r="F28" s="230">
        <f>IF(D28&gt;C12,1,(D28-C28)/(C12-C28))</f>
        <v>0</v>
      </c>
      <c r="G28" s="233"/>
      <c r="H28" s="233"/>
      <c r="I28" s="233"/>
      <c r="J28" s="23" t="str">
        <f>IF(AND(I28&lt;=G28,G28&gt;H12,I28&lt;&gt;0),K28,"")</f>
        <v/>
      </c>
      <c r="K28" s="231" t="e">
        <f>IF(I28&lt;H12,1,(G28-I28)/(G28-H12)*(H28/H29))</f>
        <v>#DIV/0!</v>
      </c>
      <c r="L28" s="119"/>
      <c r="M28" s="160"/>
      <c r="N28" s="159"/>
      <c r="S28" s="381" t="s">
        <v>63</v>
      </c>
      <c r="T28" s="381"/>
      <c r="U28" s="381" t="s">
        <v>99</v>
      </c>
      <c r="V28" s="381"/>
      <c r="W28" s="357" t="s">
        <v>100</v>
      </c>
      <c r="X28" s="381" t="s">
        <v>101</v>
      </c>
      <c r="Y28" s="381"/>
      <c r="Z28" s="297"/>
      <c r="AA28" s="381" t="s">
        <v>105</v>
      </c>
      <c r="AB28" s="381"/>
      <c r="AC28" s="131" t="s">
        <v>106</v>
      </c>
      <c r="AD28" s="381" t="s">
        <v>107</v>
      </c>
      <c r="AE28" s="381"/>
      <c r="AF28" s="357"/>
      <c r="AI28" s="297"/>
      <c r="AJ28" s="297"/>
      <c r="AK28" s="297"/>
      <c r="AL28" s="297"/>
      <c r="AM28" s="297"/>
      <c r="AN28" s="297"/>
      <c r="AO28" s="297"/>
      <c r="AP28" s="297"/>
      <c r="AQ28" s="297"/>
      <c r="AR28" s="297"/>
      <c r="AS28" s="297"/>
      <c r="AT28" s="297"/>
      <c r="AU28" s="359"/>
      <c r="AV28" s="358"/>
      <c r="AW28" s="358"/>
      <c r="AX28" s="363"/>
      <c r="AY28" s="363"/>
      <c r="AZ28" s="371"/>
      <c r="BA28" s="363"/>
      <c r="BB28" s="371"/>
      <c r="BC28" s="371"/>
      <c r="BD28" s="358"/>
      <c r="BE28" s="357"/>
      <c r="BF28" s="297"/>
      <c r="BI28" s="297"/>
      <c r="BJ28" s="297"/>
      <c r="BK28" s="297"/>
      <c r="BL28" s="297"/>
      <c r="BM28" s="297"/>
      <c r="BN28" s="297"/>
      <c r="BO28" s="297"/>
      <c r="BP28" s="297"/>
      <c r="BQ28" s="297"/>
      <c r="BR28" s="297"/>
      <c r="BS28" s="297"/>
      <c r="BT28" s="297"/>
    </row>
    <row r="29" spans="2:72" x14ac:dyDescent="0.2">
      <c r="B29" s="96"/>
      <c r="C29" s="346"/>
      <c r="D29" s="52" t="s">
        <v>292</v>
      </c>
      <c r="E29" s="122">
        <f>IF(SUM(F19:F28)=0,0,AVERAGE(E19:E28))</f>
        <v>0</v>
      </c>
      <c r="F29" s="346"/>
      <c r="G29" s="346"/>
      <c r="H29" s="346">
        <f>SUM(H19:H28)</f>
        <v>0</v>
      </c>
      <c r="I29" s="52" t="s">
        <v>298</v>
      </c>
      <c r="J29" s="24">
        <f>IF(SUM(J19:J28)=0,0.0000001,(SUM(J19:J28)))</f>
        <v>9.9999999999999995E-8</v>
      </c>
      <c r="K29" s="39"/>
      <c r="L29" s="123"/>
      <c r="M29" s="152"/>
      <c r="N29" s="158"/>
      <c r="P29" s="154" t="s">
        <v>282</v>
      </c>
      <c r="S29" s="381" t="s">
        <v>79</v>
      </c>
      <c r="T29" s="381"/>
      <c r="U29" s="381" t="s">
        <v>108</v>
      </c>
      <c r="V29" s="381"/>
      <c r="W29" s="357" t="s">
        <v>109</v>
      </c>
      <c r="X29" s="381" t="s">
        <v>110</v>
      </c>
      <c r="Y29" s="381"/>
      <c r="Z29" s="297"/>
      <c r="AA29" s="381" t="s">
        <v>111</v>
      </c>
      <c r="AB29" s="381"/>
      <c r="AC29" s="131" t="s">
        <v>112</v>
      </c>
      <c r="AD29" s="381" t="s">
        <v>113</v>
      </c>
      <c r="AE29" s="381"/>
      <c r="AF29" s="357"/>
      <c r="AI29" s="297"/>
      <c r="AJ29" s="297"/>
      <c r="AK29" s="297"/>
      <c r="AL29" s="297"/>
      <c r="AM29" s="297"/>
      <c r="AN29" s="297"/>
      <c r="AO29" s="297"/>
      <c r="AP29" s="297"/>
      <c r="AQ29" s="297"/>
      <c r="AR29" s="297"/>
      <c r="AS29" s="297"/>
      <c r="AT29" s="297"/>
      <c r="AU29" s="359"/>
      <c r="AV29" s="358"/>
      <c r="AW29" s="358"/>
      <c r="AX29" s="363"/>
      <c r="AY29" s="363"/>
      <c r="AZ29" s="371"/>
      <c r="BA29" s="363"/>
      <c r="BB29" s="371"/>
      <c r="BC29" s="371"/>
      <c r="BD29" s="358"/>
      <c r="BE29" s="357"/>
      <c r="BF29" s="297"/>
    </row>
    <row r="30" spans="2:72" x14ac:dyDescent="0.2">
      <c r="B30" s="96"/>
      <c r="C30" s="346"/>
      <c r="D30" s="52"/>
      <c r="E30" s="122"/>
      <c r="F30" s="346"/>
      <c r="G30" s="346"/>
      <c r="H30" s="346"/>
      <c r="I30" s="52"/>
      <c r="J30" s="24"/>
      <c r="K30" s="346" t="s">
        <v>349</v>
      </c>
      <c r="L30" s="123"/>
      <c r="N30" s="158"/>
      <c r="P30" s="251" t="s">
        <v>281</v>
      </c>
      <c r="S30" s="357"/>
      <c r="T30" s="357" t="s">
        <v>98</v>
      </c>
      <c r="U30" s="357"/>
      <c r="V30" s="357"/>
      <c r="W30" s="357"/>
      <c r="X30" s="357"/>
      <c r="Y30" s="357"/>
      <c r="Z30" s="131"/>
      <c r="AA30" s="357"/>
      <c r="AB30" s="131"/>
      <c r="AC30" s="357"/>
      <c r="AD30" s="357"/>
      <c r="AE30" s="357"/>
      <c r="AF30" s="357"/>
      <c r="AI30" s="297"/>
      <c r="AJ30" s="297"/>
      <c r="AK30" s="297"/>
      <c r="AL30" s="297"/>
      <c r="AM30" s="297"/>
      <c r="AN30" s="297"/>
      <c r="AO30" s="297"/>
      <c r="AP30" s="297"/>
      <c r="AQ30" s="297"/>
      <c r="AR30" s="297"/>
      <c r="AS30" s="297"/>
      <c r="AT30" s="297"/>
      <c r="AU30" s="357"/>
      <c r="AV30" s="357"/>
      <c r="AW30" s="357"/>
      <c r="AX30" s="357"/>
      <c r="AY30" s="357"/>
      <c r="AZ30" s="357"/>
      <c r="BA30" s="357"/>
      <c r="BB30" s="357"/>
      <c r="BC30" s="357"/>
      <c r="BD30" s="357"/>
      <c r="BE30" s="357"/>
      <c r="BF30" s="297"/>
    </row>
    <row r="31" spans="2:72" x14ac:dyDescent="0.2">
      <c r="B31" s="96"/>
      <c r="C31" s="53" t="s">
        <v>294</v>
      </c>
      <c r="D31" s="39"/>
      <c r="E31" s="39"/>
      <c r="F31" s="39"/>
      <c r="G31" s="39"/>
      <c r="H31" s="39"/>
      <c r="I31" s="39"/>
      <c r="J31" s="39"/>
      <c r="K31" s="36">
        <f>SUM(O31,O32)</f>
        <v>0</v>
      </c>
      <c r="L31" s="97"/>
      <c r="N31" s="158"/>
      <c r="O31" s="253">
        <f>IF(Geometry!G33&lt;Geometry!H33,P31,Geometry!AB33)</f>
        <v>0</v>
      </c>
      <c r="P31" s="253">
        <f>Geometry!AB33*((Geometry!G33-Geometry!E33)/(Geometry!H33-Geometry!E33))</f>
        <v>0</v>
      </c>
      <c r="S31" s="357"/>
      <c r="T31" s="357"/>
      <c r="U31" s="357"/>
      <c r="V31" s="357"/>
      <c r="W31" s="357"/>
      <c r="X31" s="357"/>
      <c r="Y31" s="357"/>
      <c r="Z31" s="131"/>
      <c r="AA31" s="357"/>
      <c r="AB31" s="131"/>
      <c r="AC31" s="357"/>
      <c r="AD31" s="357" t="s">
        <v>114</v>
      </c>
      <c r="AE31" s="357" t="s">
        <v>115</v>
      </c>
      <c r="AF31" s="357"/>
      <c r="AI31" s="297"/>
      <c r="AJ31" s="297"/>
      <c r="AK31" s="297"/>
      <c r="AL31" s="297"/>
      <c r="AM31" s="297"/>
      <c r="AN31" s="297"/>
      <c r="AO31" s="297"/>
      <c r="AP31" s="297"/>
      <c r="AQ31" s="297"/>
      <c r="AR31" s="297"/>
      <c r="AS31" s="297"/>
      <c r="AT31" s="297"/>
      <c r="AU31" s="357"/>
      <c r="AV31" s="357"/>
      <c r="AW31" s="357"/>
      <c r="AX31" s="357"/>
      <c r="AY31" s="357"/>
      <c r="AZ31" s="357"/>
      <c r="BA31" s="357"/>
      <c r="BB31" s="357"/>
      <c r="BC31" s="357"/>
      <c r="BD31" s="357"/>
      <c r="BE31" s="357"/>
      <c r="BF31" s="297"/>
    </row>
    <row r="32" spans="2:72" x14ac:dyDescent="0.2">
      <c r="B32" s="96"/>
      <c r="C32" s="39"/>
      <c r="D32" s="39"/>
      <c r="E32" s="174" t="s">
        <v>296</v>
      </c>
      <c r="F32" s="174"/>
      <c r="G32" s="348" t="s">
        <v>295</v>
      </c>
      <c r="H32" s="174" t="s">
        <v>350</v>
      </c>
      <c r="I32" s="39"/>
      <c r="J32" s="15"/>
      <c r="K32" s="174"/>
      <c r="L32" s="97"/>
      <c r="N32" s="158"/>
      <c r="O32" s="253">
        <f>IF(Geometry!G34&lt;Geometry!H34,P32,Geometry!AB35)</f>
        <v>0</v>
      </c>
      <c r="P32" s="257">
        <f>Geometry!AB35*((Geometry!G34-Geometry!E34)/(Geometry!H34-Geometry!E34))</f>
        <v>0</v>
      </c>
      <c r="S32" s="357"/>
      <c r="T32" s="357"/>
      <c r="U32" s="357"/>
      <c r="V32" s="357"/>
      <c r="W32" s="357"/>
      <c r="X32" s="357"/>
      <c r="Y32" s="357"/>
      <c r="Z32" s="131"/>
      <c r="AA32" s="357"/>
      <c r="AB32" s="131"/>
      <c r="AC32" s="357"/>
      <c r="AD32" s="357"/>
      <c r="AE32" s="357"/>
      <c r="AF32" s="357"/>
      <c r="AI32" s="297"/>
      <c r="AJ32" s="297"/>
      <c r="AK32" s="297"/>
      <c r="AL32" s="297"/>
      <c r="AM32" s="297"/>
      <c r="AN32" s="297"/>
      <c r="AO32" s="297"/>
      <c r="AP32" s="297"/>
      <c r="AQ32" s="297"/>
      <c r="AR32" s="297"/>
      <c r="AS32" s="297"/>
      <c r="AT32" s="297"/>
      <c r="AU32" s="357"/>
      <c r="AV32" s="357"/>
      <c r="AW32" s="357"/>
      <c r="AX32" s="357"/>
      <c r="AY32" s="357"/>
      <c r="AZ32" s="357"/>
      <c r="BA32" s="357"/>
      <c r="BB32" s="357"/>
      <c r="BC32" s="357"/>
      <c r="BD32" s="357"/>
      <c r="BE32" s="357"/>
      <c r="BF32" s="297"/>
    </row>
    <row r="33" spans="2:58" x14ac:dyDescent="0.2">
      <c r="B33" s="96"/>
      <c r="C33" s="39"/>
      <c r="D33" s="175" t="s">
        <v>328</v>
      </c>
      <c r="E33" s="233"/>
      <c r="F33" s="346"/>
      <c r="G33" s="234"/>
      <c r="H33" s="258">
        <f>Geometry!AZ12</f>
        <v>22</v>
      </c>
      <c r="I33" s="57" t="str">
        <f>IF(AND(G33&lt;&gt;0,G33&lt;H33),"May require WSDOT Approval","")</f>
        <v/>
      </c>
      <c r="J33" s="15"/>
      <c r="K33" s="135"/>
      <c r="L33" s="97"/>
      <c r="N33" s="158"/>
      <c r="S33" s="357"/>
      <c r="T33" s="297"/>
      <c r="U33" s="357"/>
      <c r="V33" s="357" t="s">
        <v>123</v>
      </c>
      <c r="W33" s="357"/>
      <c r="X33" s="357"/>
      <c r="Y33" s="131">
        <f>Geometry!AI19</f>
        <v>0</v>
      </c>
      <c r="Z33" s="131"/>
      <c r="AA33" s="297"/>
      <c r="AB33" s="32">
        <f>Geometry!AM19</f>
        <v>6</v>
      </c>
      <c r="AC33" s="30" t="s">
        <v>116</v>
      </c>
      <c r="AD33" s="30"/>
      <c r="AE33" s="30"/>
      <c r="AF33" s="357"/>
      <c r="AI33" s="297"/>
      <c r="AJ33" s="297"/>
      <c r="AK33" s="297"/>
      <c r="AL33" s="297"/>
      <c r="AM33" s="297"/>
      <c r="AN33" s="297"/>
      <c r="AO33" s="297"/>
      <c r="AP33" s="297"/>
      <c r="AQ33" s="297"/>
      <c r="AR33" s="297"/>
      <c r="AS33" s="297"/>
      <c r="AT33" s="297"/>
      <c r="AU33" s="357"/>
      <c r="AV33" s="357"/>
      <c r="AW33" s="357"/>
      <c r="AX33" s="524" t="s">
        <v>274</v>
      </c>
      <c r="AY33" s="524"/>
      <c r="AZ33" s="524"/>
      <c r="BA33" s="524"/>
      <c r="BB33" s="357"/>
      <c r="BC33" s="357"/>
      <c r="BD33" s="357"/>
      <c r="BE33" s="357"/>
      <c r="BF33" s="297"/>
    </row>
    <row r="34" spans="2:58" x14ac:dyDescent="0.2">
      <c r="B34" s="96"/>
      <c r="C34" s="39"/>
      <c r="D34" s="38" t="s">
        <v>280</v>
      </c>
      <c r="E34" s="233"/>
      <c r="F34" s="346"/>
      <c r="G34" s="234"/>
      <c r="H34" s="258">
        <f>Geometry!AZ22</f>
        <v>4</v>
      </c>
      <c r="I34" s="57" t="str">
        <f>IF(AND(G34&lt;&gt;0,G34&lt;H34),"May require WSDOT Approval","")</f>
        <v/>
      </c>
      <c r="J34" s="15"/>
      <c r="K34" s="15"/>
      <c r="L34" s="97"/>
      <c r="N34" s="158"/>
      <c r="S34" s="357"/>
      <c r="T34" s="357"/>
      <c r="U34" s="357"/>
      <c r="V34" s="357"/>
      <c r="W34" s="357"/>
      <c r="X34" s="357"/>
      <c r="Y34" s="131"/>
      <c r="Z34" s="131"/>
      <c r="AA34" s="357"/>
      <c r="AB34" s="16"/>
      <c r="AC34" s="30"/>
      <c r="AD34" s="30"/>
      <c r="AE34" s="30"/>
      <c r="AF34" s="357"/>
      <c r="AI34" s="297"/>
      <c r="AJ34" s="297"/>
      <c r="AK34" s="297"/>
      <c r="AL34" s="297"/>
      <c r="AM34" s="297"/>
      <c r="AN34" s="297"/>
      <c r="AO34" s="297"/>
      <c r="AP34" s="297"/>
      <c r="AQ34" s="297"/>
      <c r="AR34" s="297"/>
      <c r="AS34" s="297"/>
      <c r="AT34" s="297"/>
      <c r="AU34" s="357"/>
      <c r="AV34" s="357"/>
      <c r="AW34" s="357"/>
      <c r="AX34" s="357"/>
      <c r="AY34" s="357"/>
      <c r="AZ34" s="357"/>
      <c r="BA34" s="357"/>
      <c r="BB34" s="357"/>
      <c r="BC34" s="357"/>
      <c r="BD34" s="357"/>
      <c r="BE34" s="357"/>
      <c r="BF34" s="297"/>
    </row>
    <row r="35" spans="2:58" x14ac:dyDescent="0.2">
      <c r="B35" s="96"/>
      <c r="C35" s="39"/>
      <c r="D35" s="38" t="s">
        <v>122</v>
      </c>
      <c r="E35" s="25">
        <f>(E33+(E34*2))</f>
        <v>0</v>
      </c>
      <c r="F35" s="26"/>
      <c r="G35" s="25">
        <f>(G33+(G34*2))</f>
        <v>0</v>
      </c>
      <c r="H35" s="27">
        <f>(H33+(H34*2))</f>
        <v>30</v>
      </c>
      <c r="I35" s="37" t="str">
        <f>IF(AND(G35&lt;&gt;0,H35&gt;G35),"Pts Reduced as % short of standard","")</f>
        <v/>
      </c>
      <c r="J35" s="39"/>
      <c r="K35" s="15"/>
      <c r="L35" s="97"/>
      <c r="N35" s="158"/>
      <c r="S35" s="357"/>
      <c r="T35" s="297"/>
      <c r="U35" s="357"/>
      <c r="V35" s="357" t="s">
        <v>124</v>
      </c>
      <c r="W35" s="357"/>
      <c r="X35" s="357"/>
      <c r="Y35" s="131">
        <f>Geometry!AI20</f>
        <v>0</v>
      </c>
      <c r="Z35" s="131"/>
      <c r="AA35" s="357"/>
      <c r="AB35" s="32">
        <f>Geometry!AM25</f>
        <v>4</v>
      </c>
      <c r="AC35" s="30" t="s">
        <v>117</v>
      </c>
      <c r="AD35" s="30"/>
      <c r="AE35" s="30"/>
      <c r="AF35" s="357"/>
      <c r="AI35" s="297"/>
      <c r="AJ35" s="297"/>
      <c r="AK35" s="297"/>
      <c r="AL35" s="297"/>
      <c r="AM35" s="297"/>
      <c r="AN35" s="297"/>
      <c r="AO35" s="297"/>
      <c r="AP35" s="297"/>
      <c r="AQ35" s="297"/>
      <c r="AR35" s="297"/>
      <c r="AS35" s="297"/>
      <c r="AT35" s="297"/>
      <c r="AU35" s="357"/>
      <c r="AV35" s="131"/>
      <c r="AW35" s="361" t="s">
        <v>266</v>
      </c>
      <c r="AX35" s="131"/>
      <c r="AY35" s="131"/>
      <c r="AZ35" s="357"/>
      <c r="BA35" s="357"/>
      <c r="BB35" s="131"/>
      <c r="BC35" s="361" t="s">
        <v>266</v>
      </c>
      <c r="BD35" s="131"/>
      <c r="BE35" s="131"/>
      <c r="BF35" s="297"/>
    </row>
    <row r="36" spans="2:58" ht="13.5" thickBot="1" x14ac:dyDescent="0.25">
      <c r="B36" s="98"/>
      <c r="C36" s="99"/>
      <c r="D36" s="124"/>
      <c r="E36" s="99"/>
      <c r="F36" s="99"/>
      <c r="G36" s="99"/>
      <c r="H36" s="125"/>
      <c r="I36" s="99"/>
      <c r="J36" s="99"/>
      <c r="K36" s="99"/>
      <c r="L36" s="107"/>
      <c r="M36" s="152"/>
      <c r="N36" s="161"/>
      <c r="S36" s="357"/>
      <c r="T36" s="357"/>
      <c r="U36" s="357"/>
      <c r="V36" s="357"/>
      <c r="W36" s="357"/>
      <c r="X36" s="357"/>
      <c r="Y36" s="357"/>
      <c r="Z36" s="131"/>
      <c r="AA36" s="357"/>
      <c r="AB36" s="16"/>
      <c r="AC36" s="30"/>
      <c r="AD36" s="30"/>
      <c r="AE36" s="30"/>
      <c r="AF36" s="357"/>
      <c r="AI36" s="297"/>
      <c r="AJ36" s="297"/>
      <c r="AK36" s="297"/>
      <c r="AL36" s="297"/>
      <c r="AM36" s="297"/>
      <c r="AN36" s="297"/>
      <c r="AO36" s="297"/>
      <c r="AP36" s="297"/>
      <c r="AQ36" s="297"/>
      <c r="AR36" s="297"/>
      <c r="AS36" s="297"/>
      <c r="AT36" s="297"/>
      <c r="AU36" s="357"/>
      <c r="AV36" s="357"/>
      <c r="AW36" s="357"/>
      <c r="AX36" s="357"/>
      <c r="AY36" s="357"/>
      <c r="AZ36" s="357"/>
      <c r="BA36" s="357"/>
      <c r="BB36" s="357"/>
      <c r="BC36" s="357"/>
      <c r="BD36" s="357"/>
      <c r="BE36" s="357"/>
      <c r="BF36" s="297"/>
    </row>
    <row r="37" spans="2:58" x14ac:dyDescent="0.2">
      <c r="S37" s="357"/>
      <c r="T37" s="357"/>
      <c r="U37" s="357"/>
      <c r="V37" s="357"/>
      <c r="W37" s="357"/>
      <c r="X37" s="357"/>
      <c r="Y37" s="357"/>
      <c r="Z37" s="131"/>
      <c r="AA37" s="357"/>
      <c r="AB37" s="16"/>
      <c r="AC37" s="30"/>
      <c r="AD37" s="30"/>
      <c r="AE37" s="30"/>
      <c r="AF37" s="357"/>
      <c r="AI37" s="297"/>
      <c r="AJ37" s="297"/>
      <c r="AK37" s="297"/>
      <c r="AL37" s="297"/>
      <c r="AM37" s="297"/>
      <c r="AN37" s="297"/>
      <c r="AO37" s="297"/>
      <c r="AP37" s="297"/>
      <c r="AQ37" s="297"/>
      <c r="AR37" s="297"/>
      <c r="AS37" s="297"/>
      <c r="AT37" s="297"/>
      <c r="AU37" s="132" t="s">
        <v>275</v>
      </c>
      <c r="AV37" s="357"/>
      <c r="AW37" s="131" t="s">
        <v>276</v>
      </c>
      <c r="AX37" s="364"/>
      <c r="AY37" s="364"/>
      <c r="AZ37" s="357"/>
      <c r="BA37" s="132" t="s">
        <v>275</v>
      </c>
      <c r="BB37" s="357"/>
      <c r="BC37" s="131" t="s">
        <v>277</v>
      </c>
      <c r="BD37" s="364"/>
      <c r="BE37" s="364"/>
      <c r="BF37" s="297"/>
    </row>
    <row r="38" spans="2:58" x14ac:dyDescent="0.2">
      <c r="S38" s="357"/>
      <c r="T38" s="297"/>
      <c r="U38" s="357"/>
      <c r="V38" s="357"/>
      <c r="W38" s="357"/>
      <c r="X38" s="382" t="s">
        <v>118</v>
      </c>
      <c r="Y38" s="297"/>
      <c r="Z38" s="297"/>
      <c r="AA38" s="297"/>
      <c r="AB38" s="16"/>
      <c r="AC38" s="30"/>
      <c r="AD38" s="30"/>
      <c r="AE38" s="383">
        <f>SUM(AB33,AB35)</f>
        <v>10</v>
      </c>
      <c r="AF38" s="357"/>
      <c r="AI38" s="297"/>
      <c r="AJ38" s="297"/>
      <c r="AK38" s="297"/>
      <c r="AL38" s="297"/>
      <c r="AM38" s="297"/>
      <c r="AN38" s="297"/>
      <c r="AO38" s="297"/>
      <c r="AP38" s="297"/>
      <c r="AQ38" s="297"/>
      <c r="AR38" s="297"/>
      <c r="AS38" s="297"/>
      <c r="AT38" s="297"/>
      <c r="AU38" s="132" t="s">
        <v>278</v>
      </c>
      <c r="AV38" s="366" t="s">
        <v>62</v>
      </c>
      <c r="AW38" s="366" t="s">
        <v>268</v>
      </c>
      <c r="AX38" s="366" t="s">
        <v>269</v>
      </c>
      <c r="AY38" s="366" t="s">
        <v>64</v>
      </c>
      <c r="AZ38" s="357"/>
      <c r="BA38" s="132" t="s">
        <v>278</v>
      </c>
      <c r="BB38" s="366" t="s">
        <v>62</v>
      </c>
      <c r="BC38" s="366" t="s">
        <v>268</v>
      </c>
      <c r="BD38" s="366" t="s">
        <v>269</v>
      </c>
      <c r="BE38" s="366" t="s">
        <v>64</v>
      </c>
      <c r="BF38" s="297"/>
    </row>
    <row r="39" spans="2:58" ht="13.5" customHeight="1" x14ac:dyDescent="0.2">
      <c r="L39" s="163"/>
      <c r="M39" s="164"/>
      <c r="N39" s="165"/>
      <c r="O39" s="157"/>
      <c r="P39" s="152"/>
      <c r="Q39" s="159"/>
      <c r="AI39" s="297"/>
      <c r="AJ39" s="297"/>
      <c r="AK39" s="297"/>
      <c r="AL39" s="297"/>
      <c r="AM39" s="297"/>
      <c r="AN39" s="297"/>
      <c r="AO39" s="297"/>
      <c r="AP39" s="297"/>
      <c r="AQ39" s="297"/>
      <c r="AR39" s="297"/>
      <c r="AS39" s="297"/>
      <c r="AT39" s="297"/>
      <c r="AU39" s="357"/>
      <c r="AV39" s="357"/>
      <c r="AW39" s="357"/>
      <c r="AX39" s="357"/>
      <c r="AY39" s="357"/>
      <c r="AZ39" s="357"/>
      <c r="BA39" s="357"/>
      <c r="BB39" s="357"/>
      <c r="BC39" s="357"/>
      <c r="BD39" s="357"/>
      <c r="BE39" s="357"/>
      <c r="BF39" s="297"/>
    </row>
    <row r="40" spans="2:58" x14ac:dyDescent="0.2">
      <c r="L40" s="166"/>
      <c r="M40" s="166"/>
      <c r="N40" s="167"/>
      <c r="O40" s="168"/>
      <c r="P40" s="160"/>
      <c r="Q40" s="159"/>
      <c r="AI40" s="297"/>
      <c r="AJ40" s="297"/>
      <c r="AK40" s="297"/>
      <c r="AL40" s="297"/>
      <c r="AM40" s="297"/>
      <c r="AN40" s="297"/>
      <c r="AO40" s="297"/>
      <c r="AP40" s="297"/>
      <c r="AQ40" s="297"/>
      <c r="AR40" s="297"/>
      <c r="AS40" s="297"/>
      <c r="AT40" s="297"/>
      <c r="AU40" s="131">
        <v>20</v>
      </c>
      <c r="AV40" s="131">
        <v>20</v>
      </c>
      <c r="AW40" s="131">
        <v>20</v>
      </c>
      <c r="AX40" s="131">
        <v>22</v>
      </c>
      <c r="AY40" s="131">
        <v>24</v>
      </c>
      <c r="AZ40" s="357"/>
      <c r="BA40" s="132" t="s">
        <v>279</v>
      </c>
      <c r="BB40" s="131">
        <v>2</v>
      </c>
      <c r="BC40" s="131">
        <v>4</v>
      </c>
      <c r="BD40" s="131">
        <v>6</v>
      </c>
      <c r="BE40" s="131">
        <v>8</v>
      </c>
      <c r="BF40" s="297"/>
    </row>
    <row r="41" spans="2:58" x14ac:dyDescent="0.2">
      <c r="L41" s="166"/>
      <c r="M41" s="166"/>
      <c r="N41" s="167"/>
      <c r="O41" s="169"/>
      <c r="P41" s="384"/>
      <c r="Q41" s="385"/>
      <c r="R41" s="385"/>
      <c r="S41" s="385"/>
      <c r="T41" s="385"/>
      <c r="U41" s="385"/>
      <c r="V41" s="385"/>
      <c r="W41" s="385"/>
      <c r="X41" s="386"/>
      <c r="Y41" s="385"/>
      <c r="Z41" s="387"/>
      <c r="AI41" s="297"/>
      <c r="AJ41" s="297"/>
      <c r="AK41" s="297"/>
      <c r="AL41" s="297"/>
      <c r="AM41" s="297"/>
      <c r="AN41" s="297"/>
      <c r="AO41" s="297"/>
      <c r="AP41" s="297"/>
      <c r="AQ41" s="297"/>
      <c r="AR41" s="297"/>
      <c r="AS41" s="297"/>
      <c r="AT41" s="297"/>
      <c r="AU41" s="131">
        <v>25</v>
      </c>
      <c r="AV41" s="131">
        <v>20</v>
      </c>
      <c r="AW41" s="131">
        <v>20</v>
      </c>
      <c r="AX41" s="131">
        <v>22</v>
      </c>
      <c r="AY41" s="131">
        <v>24</v>
      </c>
      <c r="AZ41" s="357"/>
      <c r="BA41" s="131"/>
      <c r="BB41" s="131"/>
      <c r="BC41" s="131"/>
      <c r="BD41" s="131"/>
      <c r="BE41" s="131"/>
      <c r="BF41" s="297"/>
    </row>
    <row r="42" spans="2:58" x14ac:dyDescent="0.2">
      <c r="L42" s="166"/>
      <c r="M42" s="166"/>
      <c r="N42" s="167"/>
      <c r="O42" s="168"/>
      <c r="P42" s="388"/>
      <c r="Q42" s="389" t="s">
        <v>133</v>
      </c>
      <c r="R42" s="390"/>
      <c r="S42" s="390"/>
      <c r="T42" s="390"/>
      <c r="U42" s="390"/>
      <c r="V42" s="390"/>
      <c r="W42" s="390"/>
      <c r="X42" s="390"/>
      <c r="Y42" s="391"/>
      <c r="Z42" s="392"/>
      <c r="AI42" s="297"/>
      <c r="AJ42" s="297"/>
      <c r="AK42" s="297"/>
      <c r="AL42" s="297"/>
      <c r="AM42" s="297"/>
      <c r="AN42" s="297"/>
      <c r="AO42" s="297"/>
      <c r="AP42" s="297"/>
      <c r="AQ42" s="297"/>
      <c r="AR42" s="297"/>
      <c r="AS42" s="297"/>
      <c r="AT42" s="297"/>
      <c r="AU42" s="131">
        <v>30</v>
      </c>
      <c r="AV42" s="131">
        <v>20</v>
      </c>
      <c r="AW42" s="131">
        <v>20</v>
      </c>
      <c r="AX42" s="131">
        <v>22</v>
      </c>
      <c r="AY42" s="131">
        <v>24</v>
      </c>
      <c r="AZ42" s="357"/>
      <c r="BA42" s="131"/>
      <c r="BB42" s="131"/>
      <c r="BC42" s="131"/>
      <c r="BD42" s="131"/>
      <c r="BE42" s="131"/>
      <c r="BF42" s="297"/>
    </row>
    <row r="43" spans="2:58" x14ac:dyDescent="0.2">
      <c r="L43" s="166"/>
      <c r="M43" s="166"/>
      <c r="N43" s="167"/>
      <c r="O43" s="168"/>
      <c r="P43" s="388"/>
      <c r="Q43" s="391"/>
      <c r="R43" s="391"/>
      <c r="S43" s="391"/>
      <c r="T43" s="391"/>
      <c r="U43" s="391"/>
      <c r="V43" s="391"/>
      <c r="W43" s="391"/>
      <c r="X43" s="393"/>
      <c r="Y43" s="391"/>
      <c r="Z43" s="392"/>
      <c r="AI43" s="297"/>
      <c r="AJ43" s="297"/>
      <c r="AK43" s="297"/>
      <c r="AL43" s="297"/>
      <c r="AM43" s="297"/>
      <c r="AN43" s="297"/>
      <c r="AO43" s="297"/>
      <c r="AP43" s="297"/>
      <c r="AQ43" s="297"/>
      <c r="AR43" s="297"/>
      <c r="AS43" s="297"/>
      <c r="AT43" s="297"/>
      <c r="AU43" s="137">
        <v>35</v>
      </c>
      <c r="AV43" s="131">
        <v>20</v>
      </c>
      <c r="AW43" s="131">
        <v>22</v>
      </c>
      <c r="AX43" s="131">
        <v>22</v>
      </c>
      <c r="AY43" s="131">
        <v>24</v>
      </c>
      <c r="AZ43" s="357"/>
      <c r="BA43" s="137"/>
      <c r="BB43" s="131"/>
      <c r="BC43" s="131"/>
      <c r="BD43" s="131"/>
      <c r="BE43" s="131"/>
      <c r="BF43" s="297"/>
    </row>
    <row r="44" spans="2:58" x14ac:dyDescent="0.2">
      <c r="L44" s="166"/>
      <c r="M44" s="166"/>
      <c r="N44" s="167"/>
      <c r="O44" s="168"/>
      <c r="P44" s="394">
        <f>'Traffic &amp; Accidents'!D8</f>
        <v>0</v>
      </c>
      <c r="Q44" s="391" t="s">
        <v>126</v>
      </c>
      <c r="R44" s="391"/>
      <c r="S44" s="395" t="s">
        <v>129</v>
      </c>
      <c r="T44" s="395"/>
      <c r="U44" s="395"/>
      <c r="V44" s="393"/>
      <c r="W44" s="391" t="s">
        <v>134</v>
      </c>
      <c r="X44" s="396"/>
      <c r="Y44" s="393"/>
      <c r="Z44" s="392"/>
      <c r="AI44" s="297"/>
      <c r="AJ44" s="297"/>
      <c r="AK44" s="297"/>
      <c r="AL44" s="297"/>
      <c r="AM44" s="297"/>
      <c r="AN44" s="297"/>
      <c r="AO44" s="297"/>
      <c r="AP44" s="297"/>
      <c r="AQ44" s="297"/>
      <c r="AR44" s="297"/>
      <c r="AS44" s="297"/>
      <c r="AT44" s="297"/>
      <c r="AU44" s="131">
        <v>40</v>
      </c>
      <c r="AV44" s="131">
        <v>20</v>
      </c>
      <c r="AW44" s="131">
        <v>22</v>
      </c>
      <c r="AX44" s="131">
        <v>22</v>
      </c>
      <c r="AY44" s="131">
        <v>24</v>
      </c>
      <c r="AZ44" s="357"/>
      <c r="BA44" s="131"/>
      <c r="BB44" s="131"/>
      <c r="BC44" s="131"/>
      <c r="BD44" s="131"/>
      <c r="BE44" s="131"/>
      <c r="BF44" s="297"/>
    </row>
    <row r="45" spans="2:58" x14ac:dyDescent="0.2">
      <c r="L45" s="166"/>
      <c r="M45" s="166"/>
      <c r="N45" s="167"/>
      <c r="O45" s="168"/>
      <c r="P45" s="397"/>
      <c r="Q45" s="391"/>
      <c r="R45" s="391"/>
      <c r="S45" s="359">
        <f>IF(P47&lt;&gt;0,T45,S46)</f>
        <v>20</v>
      </c>
      <c r="T45" s="359">
        <f>IF(P44&lt;400,40,U45)</f>
        <v>40</v>
      </c>
      <c r="U45" s="359">
        <f>IF(P44&lt;(2001),50,60)</f>
        <v>50</v>
      </c>
      <c r="V45" s="393"/>
      <c r="W45" s="391"/>
      <c r="X45" s="398"/>
      <c r="Y45" s="391"/>
      <c r="Z45" s="392"/>
      <c r="AI45" s="297"/>
      <c r="AJ45" s="297"/>
      <c r="AK45" s="297"/>
      <c r="AL45" s="297"/>
      <c r="AM45" s="297"/>
      <c r="AN45" s="297"/>
      <c r="AO45" s="297"/>
      <c r="AP45" s="297"/>
      <c r="AQ45" s="297"/>
      <c r="AR45" s="297"/>
      <c r="AS45" s="297"/>
      <c r="AT45" s="297"/>
      <c r="AU45" s="131">
        <v>45</v>
      </c>
      <c r="AV45" s="131">
        <v>20</v>
      </c>
      <c r="AW45" s="131">
        <v>22</v>
      </c>
      <c r="AX45" s="131">
        <v>22</v>
      </c>
      <c r="AY45" s="131">
        <v>24</v>
      </c>
      <c r="AZ45" s="357"/>
      <c r="BA45" s="131"/>
      <c r="BB45" s="131"/>
      <c r="BC45" s="131"/>
      <c r="BD45" s="131"/>
      <c r="BE45" s="131"/>
      <c r="BF45" s="297"/>
    </row>
    <row r="46" spans="2:58" x14ac:dyDescent="0.2">
      <c r="L46" s="166"/>
      <c r="M46" s="166"/>
      <c r="N46" s="167"/>
      <c r="O46" s="168"/>
      <c r="P46" s="399" t="s">
        <v>77</v>
      </c>
      <c r="Q46" s="359"/>
      <c r="R46" s="359"/>
      <c r="S46" s="359">
        <f>IF(P48&lt;&gt;0,T46,S47)</f>
        <v>20</v>
      </c>
      <c r="T46" s="359">
        <f>IF(P44&lt;(400),30,U46)</f>
        <v>30</v>
      </c>
      <c r="U46" s="359">
        <f>IF(P44&lt;(2001),40,50)</f>
        <v>40</v>
      </c>
      <c r="V46" s="393"/>
      <c r="W46" s="400">
        <f>IF(T50=Geometry!L71,Geometry!M71,W47)</f>
        <v>115</v>
      </c>
      <c r="X46" s="401"/>
      <c r="Y46" s="391"/>
      <c r="Z46" s="392"/>
      <c r="AI46" s="297"/>
      <c r="AJ46" s="297"/>
      <c r="AK46" s="297"/>
      <c r="AL46" s="297"/>
      <c r="AM46" s="297"/>
      <c r="AN46" s="297"/>
      <c r="AO46" s="297"/>
      <c r="AP46" s="297"/>
      <c r="AQ46" s="297"/>
      <c r="AR46" s="297"/>
      <c r="AS46" s="297"/>
      <c r="AT46" s="297"/>
      <c r="AU46" s="131">
        <v>50</v>
      </c>
      <c r="AV46" s="131">
        <v>20</v>
      </c>
      <c r="AW46" s="131">
        <v>22</v>
      </c>
      <c r="AX46" s="131">
        <v>22</v>
      </c>
      <c r="AY46" s="131">
        <v>24</v>
      </c>
      <c r="AZ46" s="357"/>
      <c r="BA46" s="131"/>
      <c r="BB46" s="131"/>
      <c r="BC46" s="131"/>
      <c r="BD46" s="131"/>
      <c r="BE46" s="131"/>
      <c r="BF46" s="297"/>
    </row>
    <row r="47" spans="2:58" x14ac:dyDescent="0.2">
      <c r="L47" s="166"/>
      <c r="M47" s="166"/>
      <c r="N47" s="167"/>
      <c r="O47" s="168"/>
      <c r="P47" s="394">
        <f>Geometry!H8</f>
        <v>0</v>
      </c>
      <c r="Q47" s="359" t="s">
        <v>135</v>
      </c>
      <c r="R47" s="359"/>
      <c r="S47" s="359">
        <f>T47</f>
        <v>20</v>
      </c>
      <c r="T47" s="359">
        <f>IF(P44&lt;(400),20,U47)</f>
        <v>20</v>
      </c>
      <c r="U47" s="359">
        <f>IF(P44&lt;(2001),30,40)</f>
        <v>30</v>
      </c>
      <c r="V47" s="393"/>
      <c r="W47" s="385">
        <f>IF(T50=Geometry!L72,Geometry!M72,W48)</f>
        <v>115</v>
      </c>
      <c r="X47" s="401"/>
      <c r="Y47" s="391"/>
      <c r="Z47" s="392"/>
      <c r="AI47" s="297"/>
      <c r="AJ47" s="297"/>
      <c r="AK47" s="297"/>
      <c r="AL47" s="297"/>
      <c r="AM47" s="297"/>
      <c r="AN47" s="297"/>
      <c r="AO47" s="297"/>
      <c r="AP47" s="297"/>
      <c r="AQ47" s="297"/>
      <c r="AR47" s="297"/>
      <c r="AS47" s="297"/>
      <c r="AT47" s="297"/>
      <c r="AU47" s="131">
        <v>55</v>
      </c>
      <c r="AV47" s="131">
        <v>22</v>
      </c>
      <c r="AW47" s="131">
        <v>22</v>
      </c>
      <c r="AX47" s="131">
        <v>24</v>
      </c>
      <c r="AY47" s="131">
        <v>24</v>
      </c>
      <c r="AZ47" s="357"/>
      <c r="BA47" s="131"/>
      <c r="BB47" s="131"/>
      <c r="BC47" s="131"/>
      <c r="BD47" s="131"/>
      <c r="BE47" s="131"/>
      <c r="BF47" s="297"/>
    </row>
    <row r="48" spans="2:58" x14ac:dyDescent="0.2">
      <c r="L48" s="166"/>
      <c r="M48" s="166"/>
      <c r="N48" s="167"/>
      <c r="O48" s="168"/>
      <c r="P48" s="394">
        <f>Geometry!I8</f>
        <v>0</v>
      </c>
      <c r="Q48" s="359" t="s">
        <v>83</v>
      </c>
      <c r="R48" s="359"/>
      <c r="S48" s="393"/>
      <c r="T48" s="393"/>
      <c r="U48" s="393"/>
      <c r="V48" s="393"/>
      <c r="W48" s="391">
        <f>IF(T50=Geometry!L73,Geometry!M73,W49)</f>
        <v>115</v>
      </c>
      <c r="X48" s="401"/>
      <c r="Y48" s="391"/>
      <c r="Z48" s="392"/>
      <c r="AI48" s="297"/>
      <c r="AJ48" s="297"/>
      <c r="AK48" s="297"/>
      <c r="AL48" s="297"/>
      <c r="AM48" s="297"/>
      <c r="AN48" s="297"/>
      <c r="AO48" s="297"/>
      <c r="AP48" s="297"/>
      <c r="AQ48" s="297"/>
      <c r="AR48" s="297"/>
      <c r="AS48" s="297"/>
      <c r="AT48" s="297"/>
      <c r="AU48" s="131">
        <v>60</v>
      </c>
      <c r="AV48" s="131">
        <v>22</v>
      </c>
      <c r="AW48" s="131">
        <v>22</v>
      </c>
      <c r="AX48" s="131">
        <v>24</v>
      </c>
      <c r="AY48" s="131">
        <v>24</v>
      </c>
      <c r="AZ48" s="357"/>
      <c r="BA48" s="131"/>
      <c r="BB48" s="131"/>
      <c r="BC48" s="131"/>
      <c r="BD48" s="131"/>
      <c r="BE48" s="131"/>
      <c r="BF48" s="297"/>
    </row>
    <row r="49" spans="1:58" x14ac:dyDescent="0.2">
      <c r="L49" s="166"/>
      <c r="M49" s="166"/>
      <c r="N49" s="167"/>
      <c r="O49" s="168"/>
      <c r="P49" s="394">
        <f>Geometry!J8</f>
        <v>0</v>
      </c>
      <c r="Q49" s="359" t="s">
        <v>136</v>
      </c>
      <c r="R49" s="359"/>
      <c r="S49" s="393"/>
      <c r="T49" s="362" t="s">
        <v>137</v>
      </c>
      <c r="U49" s="393"/>
      <c r="V49" s="393"/>
      <c r="W49" s="391">
        <f>IF(T50=Geometry!L74,Geometry!M74,W50)</f>
        <v>115</v>
      </c>
      <c r="X49" s="401"/>
      <c r="Y49" s="391"/>
      <c r="Z49" s="392"/>
      <c r="AI49" s="297"/>
      <c r="AJ49" s="297"/>
      <c r="AK49" s="297"/>
      <c r="AL49" s="297"/>
      <c r="AM49" s="297"/>
      <c r="AN49" s="297"/>
      <c r="AO49" s="297"/>
      <c r="AP49" s="297"/>
      <c r="AQ49" s="297"/>
      <c r="AR49" s="297"/>
      <c r="AS49" s="297"/>
      <c r="AT49" s="297"/>
      <c r="AU49" s="357"/>
      <c r="AV49" s="357"/>
      <c r="AW49" s="357"/>
      <c r="AX49" s="357"/>
      <c r="AY49" s="357"/>
      <c r="AZ49" s="357"/>
      <c r="BA49" s="357"/>
      <c r="BB49" s="357"/>
      <c r="BC49" s="357"/>
      <c r="BD49" s="357"/>
      <c r="BE49" s="357"/>
      <c r="BF49" s="297"/>
    </row>
    <row r="50" spans="1:58" x14ac:dyDescent="0.2">
      <c r="L50" s="166"/>
      <c r="M50" s="166"/>
      <c r="N50" s="170"/>
      <c r="O50" s="171"/>
      <c r="P50" s="399"/>
      <c r="Q50" s="359"/>
      <c r="R50" s="359"/>
      <c r="S50" s="393"/>
      <c r="T50" s="360">
        <f>S45</f>
        <v>20</v>
      </c>
      <c r="U50" s="393"/>
      <c r="V50" s="393"/>
      <c r="W50" s="391">
        <f>IF(T50=Geometry!L75,Geometry!M75,0)</f>
        <v>115</v>
      </c>
      <c r="X50" s="401"/>
      <c r="Y50" s="391"/>
      <c r="Z50" s="392"/>
    </row>
    <row r="51" spans="1:58" x14ac:dyDescent="0.2">
      <c r="L51" s="166"/>
      <c r="M51" s="166"/>
      <c r="N51" s="170"/>
      <c r="O51" s="171"/>
      <c r="P51" s="399"/>
      <c r="Q51" s="359"/>
      <c r="R51" s="359"/>
      <c r="S51" s="391"/>
      <c r="T51" s="393"/>
      <c r="U51" s="393"/>
      <c r="V51" s="393"/>
      <c r="W51" s="393"/>
      <c r="X51" s="393"/>
      <c r="Y51" s="391"/>
      <c r="Z51" s="392"/>
    </row>
    <row r="52" spans="1:58" x14ac:dyDescent="0.2">
      <c r="P52" s="402"/>
      <c r="Q52" s="403"/>
      <c r="R52" s="403" t="s">
        <v>138</v>
      </c>
      <c r="S52" s="403" t="s">
        <v>139</v>
      </c>
      <c r="T52" s="404"/>
      <c r="U52" s="403"/>
      <c r="V52" s="403"/>
      <c r="W52" s="403"/>
      <c r="X52" s="403"/>
      <c r="Y52" s="391"/>
      <c r="Z52" s="392"/>
    </row>
    <row r="53" spans="1:58" x14ac:dyDescent="0.2">
      <c r="H53" s="245" t="s">
        <v>129</v>
      </c>
      <c r="I53" s="246"/>
      <c r="J53" s="247"/>
      <c r="P53" s="402"/>
      <c r="Q53" s="403" t="s">
        <v>140</v>
      </c>
      <c r="R53" s="403" t="s">
        <v>131</v>
      </c>
      <c r="S53" s="403" t="s">
        <v>141</v>
      </c>
      <c r="T53" s="403" t="s">
        <v>132</v>
      </c>
      <c r="U53" s="403"/>
      <c r="V53" s="403"/>
      <c r="W53" s="403"/>
      <c r="X53" s="403"/>
      <c r="Y53" s="391"/>
      <c r="Z53" s="392"/>
    </row>
    <row r="54" spans="1:58" x14ac:dyDescent="0.2">
      <c r="H54" s="248">
        <f>IF(Geometry!H8&lt;&gt;0,I54,H55)</f>
        <v>20</v>
      </c>
      <c r="I54" s="249">
        <f>IF('Traffic &amp; Accidents'!D8&lt;400,40,J54)</f>
        <v>40</v>
      </c>
      <c r="J54" s="250">
        <f>IF('Traffic &amp; Accidents'!D8&lt;2001,50,60)</f>
        <v>50</v>
      </c>
      <c r="P54" s="405" t="s">
        <v>142</v>
      </c>
      <c r="Q54" s="406" t="s">
        <v>143</v>
      </c>
      <c r="R54" s="406" t="s">
        <v>139</v>
      </c>
      <c r="S54" s="406" t="s">
        <v>144</v>
      </c>
      <c r="T54" s="406" t="s">
        <v>145</v>
      </c>
      <c r="U54" s="406"/>
      <c r="V54" s="406"/>
      <c r="W54" s="406"/>
      <c r="X54" s="406"/>
      <c r="Y54" s="391"/>
      <c r="Z54" s="392"/>
    </row>
    <row r="55" spans="1:58" x14ac:dyDescent="0.2">
      <c r="H55" s="252">
        <f>IF(Geometry!I8&lt;&gt;0,I55,H56)</f>
        <v>20</v>
      </c>
      <c r="I55" s="249">
        <f>IF('Traffic &amp; Accidents'!D8&lt;400,30,J55)</f>
        <v>30</v>
      </c>
      <c r="J55" s="250">
        <f>IF('Traffic &amp; Accidents'!D8&lt;2001,40,50)</f>
        <v>40</v>
      </c>
      <c r="P55" s="407">
        <v>1</v>
      </c>
      <c r="Q55" s="394">
        <f>Geometry!C19</f>
        <v>0</v>
      </c>
      <c r="R55" s="408">
        <f t="shared" ref="R55:R64" si="0">Q73</f>
        <v>90</v>
      </c>
      <c r="S55" s="408">
        <f>IF(T50&gt;R55,T50-R55,T50-R55)</f>
        <v>-70</v>
      </c>
      <c r="T55" s="409">
        <f t="shared" ref="T55:T64" si="1">IF(S55&gt;=0,1,0)</f>
        <v>0</v>
      </c>
      <c r="U55" s="409"/>
      <c r="V55" s="409"/>
      <c r="W55" s="409"/>
      <c r="X55" s="409"/>
      <c r="Y55" s="391"/>
      <c r="Z55" s="392"/>
    </row>
    <row r="56" spans="1:58" x14ac:dyDescent="0.2">
      <c r="H56" s="254">
        <f>I56</f>
        <v>20</v>
      </c>
      <c r="I56" s="255">
        <f>IF('Traffic &amp; Accidents'!D8&lt;400,20,J56)</f>
        <v>20</v>
      </c>
      <c r="J56" s="256">
        <f>IF('Traffic &amp; Accidents'!D8&lt;2001,30,40)</f>
        <v>30</v>
      </c>
      <c r="P56" s="407">
        <v>2</v>
      </c>
      <c r="Q56" s="394">
        <f>Geometry!C20</f>
        <v>0</v>
      </c>
      <c r="R56" s="408">
        <f t="shared" si="0"/>
        <v>90</v>
      </c>
      <c r="S56" s="408">
        <f>IF(T50&gt;R56,T50-R56,T50-R56)</f>
        <v>-70</v>
      </c>
      <c r="T56" s="409">
        <f t="shared" si="1"/>
        <v>0</v>
      </c>
      <c r="U56" s="409"/>
      <c r="V56" s="409"/>
      <c r="W56" s="409"/>
      <c r="X56" s="409"/>
      <c r="Y56" s="391"/>
      <c r="Z56" s="392"/>
    </row>
    <row r="57" spans="1:58" x14ac:dyDescent="0.2">
      <c r="P57" s="407">
        <v>3</v>
      </c>
      <c r="Q57" s="394">
        <f>Geometry!C21</f>
        <v>0</v>
      </c>
      <c r="R57" s="408">
        <f t="shared" si="0"/>
        <v>90</v>
      </c>
      <c r="S57" s="408">
        <f>IF(T50&gt;R57,T50-R57,T50-R57)</f>
        <v>-70</v>
      </c>
      <c r="T57" s="409">
        <f t="shared" si="1"/>
        <v>0</v>
      </c>
      <c r="U57" s="409"/>
      <c r="V57" s="409"/>
      <c r="W57" s="409"/>
      <c r="X57" s="409"/>
      <c r="Y57" s="391"/>
      <c r="Z57" s="392"/>
    </row>
    <row r="58" spans="1:58" x14ac:dyDescent="0.2">
      <c r="P58" s="407">
        <v>4</v>
      </c>
      <c r="Q58" s="394">
        <f>Geometry!C22</f>
        <v>0</v>
      </c>
      <c r="R58" s="408">
        <f t="shared" si="0"/>
        <v>90</v>
      </c>
      <c r="S58" s="408">
        <f>IF(T50&gt;R58,T50-R58,T50-R58)</f>
        <v>-70</v>
      </c>
      <c r="T58" s="409">
        <f t="shared" si="1"/>
        <v>0</v>
      </c>
      <c r="U58" s="409"/>
      <c r="V58" s="409"/>
      <c r="W58" s="409"/>
      <c r="X58" s="409"/>
      <c r="Y58" s="391"/>
      <c r="Z58" s="392"/>
    </row>
    <row r="59" spans="1:58" x14ac:dyDescent="0.2">
      <c r="P59" s="407">
        <v>5</v>
      </c>
      <c r="Q59" s="394">
        <f>Geometry!C23</f>
        <v>0</v>
      </c>
      <c r="R59" s="408">
        <f t="shared" si="0"/>
        <v>90</v>
      </c>
      <c r="S59" s="408">
        <f>IF(T50&gt;R59,T50-R59,T50-R59)</f>
        <v>-70</v>
      </c>
      <c r="T59" s="409">
        <f t="shared" si="1"/>
        <v>0</v>
      </c>
      <c r="U59" s="409"/>
      <c r="V59" s="409"/>
      <c r="W59" s="409"/>
      <c r="X59" s="409"/>
      <c r="Y59" s="391"/>
      <c r="Z59" s="392"/>
    </row>
    <row r="60" spans="1:58" x14ac:dyDescent="0.2">
      <c r="A60" s="519"/>
      <c r="B60" s="249"/>
      <c r="C60" s="249"/>
      <c r="D60" s="249"/>
      <c r="E60" s="249"/>
      <c r="F60" s="249"/>
      <c r="G60" s="249"/>
      <c r="H60" s="249"/>
      <c r="I60" s="166"/>
      <c r="J60" s="249"/>
      <c r="K60" s="166"/>
      <c r="L60" s="249"/>
      <c r="M60" s="249"/>
      <c r="N60" s="249"/>
      <c r="P60" s="407">
        <v>6</v>
      </c>
      <c r="Q60" s="394">
        <f>Geometry!C24</f>
        <v>0</v>
      </c>
      <c r="R60" s="408">
        <f t="shared" si="0"/>
        <v>90</v>
      </c>
      <c r="S60" s="408">
        <f>IF(T50&gt;R60,T50-R60,T50-R60)</f>
        <v>-70</v>
      </c>
      <c r="T60" s="409">
        <f t="shared" si="1"/>
        <v>0</v>
      </c>
      <c r="U60" s="409"/>
      <c r="V60" s="409"/>
      <c r="W60" s="409"/>
      <c r="X60" s="409"/>
      <c r="Y60" s="391"/>
      <c r="Z60" s="392"/>
    </row>
    <row r="61" spans="1:58" x14ac:dyDescent="0.2">
      <c r="A61" s="519"/>
      <c r="B61" s="410" t="s">
        <v>55</v>
      </c>
      <c r="C61" s="249"/>
      <c r="D61" s="249"/>
      <c r="E61" s="249"/>
      <c r="F61" s="249"/>
      <c r="G61" s="249"/>
      <c r="H61" s="249"/>
      <c r="I61" s="166"/>
      <c r="J61" s="249"/>
      <c r="K61" s="166"/>
      <c r="L61" s="249"/>
      <c r="M61" s="249"/>
      <c r="N61" s="249"/>
      <c r="P61" s="407">
        <v>7</v>
      </c>
      <c r="Q61" s="394">
        <f>Geometry!C25</f>
        <v>0</v>
      </c>
      <c r="R61" s="408">
        <f t="shared" si="0"/>
        <v>90</v>
      </c>
      <c r="S61" s="408">
        <f>IF(T50&gt;R61,T50-R61,T50-R61)</f>
        <v>-70</v>
      </c>
      <c r="T61" s="409">
        <f t="shared" si="1"/>
        <v>0</v>
      </c>
      <c r="U61" s="409"/>
      <c r="V61" s="409"/>
      <c r="W61" s="409"/>
      <c r="X61" s="409"/>
      <c r="Y61" s="391"/>
      <c r="Z61" s="392"/>
    </row>
    <row r="62" spans="1:58" x14ac:dyDescent="0.2">
      <c r="A62" s="519"/>
      <c r="B62" s="249"/>
      <c r="C62" s="249"/>
      <c r="D62" s="249"/>
      <c r="E62" s="249"/>
      <c r="F62" s="249"/>
      <c r="G62" s="249"/>
      <c r="H62" s="249"/>
      <c r="I62" s="166"/>
      <c r="J62" s="249"/>
      <c r="K62" s="166"/>
      <c r="L62" s="249"/>
      <c r="M62" s="249"/>
      <c r="N62" s="249"/>
      <c r="P62" s="407">
        <v>8</v>
      </c>
      <c r="Q62" s="394">
        <f>Geometry!C26</f>
        <v>0</v>
      </c>
      <c r="R62" s="408">
        <f t="shared" si="0"/>
        <v>90</v>
      </c>
      <c r="S62" s="408">
        <f>IF(T50&gt;R62,T50-R62,T50-R62)</f>
        <v>-70</v>
      </c>
      <c r="T62" s="409">
        <f t="shared" si="1"/>
        <v>0</v>
      </c>
      <c r="U62" s="409"/>
      <c r="V62" s="409"/>
      <c r="W62" s="409"/>
      <c r="X62" s="409"/>
      <c r="Y62" s="359"/>
      <c r="Z62" s="392"/>
    </row>
    <row r="63" spans="1:58" x14ac:dyDescent="0.2">
      <c r="A63" s="519"/>
      <c r="B63" s="152"/>
      <c r="C63" s="249" t="s">
        <v>56</v>
      </c>
      <c r="D63" s="249"/>
      <c r="E63" s="249"/>
      <c r="F63" s="249"/>
      <c r="G63" s="249"/>
      <c r="H63" s="249"/>
      <c r="I63" s="166"/>
      <c r="J63" s="249"/>
      <c r="K63" s="166"/>
      <c r="L63" s="249"/>
      <c r="M63" s="249"/>
      <c r="N63" s="249"/>
      <c r="P63" s="407">
        <v>9</v>
      </c>
      <c r="Q63" s="394">
        <f>Geometry!C27</f>
        <v>0</v>
      </c>
      <c r="R63" s="408">
        <f t="shared" si="0"/>
        <v>90</v>
      </c>
      <c r="S63" s="408">
        <f>IF(T50&gt;R63,T50-R63,T50-R63)</f>
        <v>-70</v>
      </c>
      <c r="T63" s="409">
        <f t="shared" si="1"/>
        <v>0</v>
      </c>
      <c r="U63" s="409"/>
      <c r="V63" s="409"/>
      <c r="W63" s="409"/>
      <c r="X63" s="409"/>
      <c r="Y63" s="363"/>
      <c r="Z63" s="392"/>
    </row>
    <row r="64" spans="1:58" ht="13.5" thickBot="1" x14ac:dyDescent="0.25">
      <c r="A64" s="519"/>
      <c r="B64" s="152"/>
      <c r="C64" s="249" t="s">
        <v>57</v>
      </c>
      <c r="D64" s="249"/>
      <c r="E64" s="249"/>
      <c r="F64" s="249"/>
      <c r="G64" s="249"/>
      <c r="H64" s="249"/>
      <c r="I64" s="166"/>
      <c r="J64" s="249"/>
      <c r="K64" s="166"/>
      <c r="L64" s="249"/>
      <c r="M64" s="249"/>
      <c r="N64" s="249"/>
      <c r="P64" s="407">
        <v>10</v>
      </c>
      <c r="Q64" s="394">
        <f>Geometry!C28</f>
        <v>0</v>
      </c>
      <c r="R64" s="408">
        <f t="shared" si="0"/>
        <v>90</v>
      </c>
      <c r="S64" s="408">
        <f>IF(T50&gt;R64,T50-R64,T50-R64)</f>
        <v>-70</v>
      </c>
      <c r="T64" s="409">
        <f t="shared" si="1"/>
        <v>0</v>
      </c>
      <c r="U64" s="409"/>
      <c r="V64" s="409"/>
      <c r="W64" s="409"/>
      <c r="X64" s="409"/>
      <c r="Y64" s="363"/>
      <c r="Z64" s="392"/>
    </row>
    <row r="65" spans="1:26" ht="13.5" thickBot="1" x14ac:dyDescent="0.25">
      <c r="A65" s="519"/>
      <c r="B65" s="411" t="s">
        <v>58</v>
      </c>
      <c r="C65" s="411"/>
      <c r="D65" s="411"/>
      <c r="E65" s="411"/>
      <c r="F65" s="411"/>
      <c r="G65" s="411"/>
      <c r="H65" s="411"/>
      <c r="I65" s="412" t="s">
        <v>222</v>
      </c>
      <c r="J65" s="411"/>
      <c r="K65" s="413"/>
      <c r="L65" s="411"/>
      <c r="M65" s="411"/>
      <c r="N65" s="411"/>
      <c r="P65" s="407"/>
      <c r="Q65" s="409"/>
      <c r="R65" s="408"/>
      <c r="S65" s="408"/>
      <c r="T65" s="414">
        <f>IF(SUM(T55:T64)&gt;0,5,0)</f>
        <v>0</v>
      </c>
      <c r="U65" s="409"/>
      <c r="V65" s="409"/>
      <c r="W65" s="409"/>
      <c r="X65" s="409"/>
      <c r="Y65" s="363"/>
      <c r="Z65" s="392"/>
    </row>
    <row r="66" spans="1:26" x14ac:dyDescent="0.2">
      <c r="A66" s="519"/>
      <c r="B66" s="411"/>
      <c r="C66" s="411"/>
      <c r="D66" s="411"/>
      <c r="F66" s="411"/>
      <c r="G66" s="411"/>
      <c r="H66" s="411"/>
      <c r="I66" s="412" t="s">
        <v>223</v>
      </c>
      <c r="J66" s="411"/>
      <c r="K66" s="413"/>
      <c r="L66" s="411"/>
      <c r="M66" s="411"/>
      <c r="N66" s="411"/>
      <c r="P66" s="407"/>
      <c r="Q66" s="409"/>
      <c r="R66" s="408"/>
      <c r="S66" s="408"/>
      <c r="T66" s="409" t="s">
        <v>321</v>
      </c>
      <c r="U66" s="409"/>
      <c r="V66" s="409"/>
      <c r="W66" s="409"/>
      <c r="X66" s="409"/>
      <c r="Y66" s="363"/>
      <c r="Z66" s="415"/>
    </row>
    <row r="67" spans="1:26" x14ac:dyDescent="0.2">
      <c r="A67" s="519"/>
      <c r="B67" s="411"/>
      <c r="C67" s="411"/>
      <c r="D67" s="411"/>
      <c r="E67" s="411" t="s">
        <v>59</v>
      </c>
      <c r="F67" s="411"/>
      <c r="G67" s="411"/>
      <c r="H67" s="411"/>
      <c r="I67" s="413"/>
      <c r="J67" s="411"/>
      <c r="K67" s="413"/>
      <c r="L67" s="411"/>
      <c r="M67" s="411"/>
      <c r="N67" s="411"/>
      <c r="P67" s="407"/>
      <c r="Q67" s="409"/>
      <c r="R67" s="408"/>
      <c r="S67" s="408"/>
      <c r="T67" s="409"/>
      <c r="U67" s="409"/>
      <c r="V67" s="409"/>
      <c r="W67" s="409"/>
      <c r="X67" s="409"/>
      <c r="Y67" s="363"/>
      <c r="Z67" s="415"/>
    </row>
    <row r="68" spans="1:26" x14ac:dyDescent="0.2">
      <c r="A68" s="519"/>
      <c r="B68" s="249"/>
      <c r="C68" s="249"/>
      <c r="D68" s="249"/>
      <c r="E68" s="249"/>
      <c r="F68" s="249"/>
      <c r="G68" s="249"/>
      <c r="H68" s="249"/>
      <c r="I68" s="166"/>
      <c r="J68" s="249"/>
      <c r="K68" s="166"/>
      <c r="L68" s="249"/>
      <c r="M68" s="249"/>
      <c r="N68" s="249"/>
      <c r="P68" s="517" t="s">
        <v>142</v>
      </c>
      <c r="Q68" s="409"/>
      <c r="R68" s="408"/>
      <c r="S68" s="408"/>
      <c r="T68" s="409"/>
      <c r="U68" s="409"/>
      <c r="V68" s="409"/>
      <c r="W68" s="409"/>
      <c r="X68" s="409"/>
      <c r="Y68" s="363"/>
      <c r="Z68" s="415"/>
    </row>
    <row r="69" spans="1:26" ht="12.75" customHeight="1" x14ac:dyDescent="0.2">
      <c r="A69" s="519"/>
      <c r="B69" s="249"/>
      <c r="C69" s="249"/>
      <c r="D69" s="249"/>
      <c r="E69" s="152"/>
      <c r="F69" s="249"/>
      <c r="G69" s="249"/>
      <c r="H69" s="416" t="s">
        <v>60</v>
      </c>
      <c r="I69" s="166"/>
      <c r="J69" s="249"/>
      <c r="K69" s="166"/>
      <c r="L69" s="417"/>
      <c r="M69" s="417" t="s">
        <v>146</v>
      </c>
      <c r="N69" s="249"/>
      <c r="P69" s="517"/>
      <c r="Q69" s="391"/>
      <c r="R69" s="391"/>
      <c r="S69" s="391"/>
      <c r="T69" s="365"/>
      <c r="U69" s="418"/>
      <c r="V69" s="418"/>
      <c r="W69" s="418"/>
      <c r="X69" s="419"/>
      <c r="Y69" s="363"/>
      <c r="Z69" s="415"/>
    </row>
    <row r="70" spans="1:26" x14ac:dyDescent="0.2">
      <c r="A70" s="519"/>
      <c r="B70" s="249"/>
      <c r="C70" s="249"/>
      <c r="D70" s="152"/>
      <c r="E70" s="152"/>
      <c r="F70" s="249"/>
      <c r="G70" s="249"/>
      <c r="H70" s="249"/>
      <c r="I70" s="152"/>
      <c r="J70" s="249"/>
      <c r="K70" s="166"/>
      <c r="L70" s="420" t="s">
        <v>139</v>
      </c>
      <c r="M70" s="421" t="s">
        <v>148</v>
      </c>
      <c r="N70" s="249"/>
      <c r="P70" s="517"/>
      <c r="Q70" s="422"/>
      <c r="R70" s="391"/>
      <c r="S70" s="391"/>
      <c r="T70" s="391"/>
      <c r="U70" s="391"/>
      <c r="V70" s="391"/>
      <c r="W70" s="391"/>
      <c r="X70" s="391"/>
      <c r="Y70" s="363"/>
      <c r="Z70" s="415"/>
    </row>
    <row r="71" spans="1:26" x14ac:dyDescent="0.2">
      <c r="A71" s="519"/>
      <c r="B71" s="249"/>
      <c r="C71" s="416" t="s">
        <v>61</v>
      </c>
      <c r="D71" s="152"/>
      <c r="E71" s="152"/>
      <c r="F71" s="423" t="s">
        <v>62</v>
      </c>
      <c r="G71" s="423"/>
      <c r="H71" s="423" t="s">
        <v>63</v>
      </c>
      <c r="I71" s="423"/>
      <c r="J71" s="423" t="s">
        <v>64</v>
      </c>
      <c r="K71" s="166"/>
      <c r="L71" s="424">
        <v>60</v>
      </c>
      <c r="M71" s="424">
        <v>1340</v>
      </c>
      <c r="N71" s="249"/>
      <c r="P71" s="517"/>
      <c r="Q71" s="425" t="s">
        <v>149</v>
      </c>
      <c r="R71" s="391"/>
      <c r="S71" s="391"/>
      <c r="T71" s="391"/>
      <c r="U71" s="391"/>
      <c r="V71" s="391"/>
      <c r="W71" s="391"/>
      <c r="X71" s="391"/>
      <c r="Y71" s="393"/>
      <c r="Z71" s="426"/>
    </row>
    <row r="72" spans="1:26" x14ac:dyDescent="0.2">
      <c r="A72" s="519"/>
      <c r="B72" s="249"/>
      <c r="C72" s="249"/>
      <c r="D72" s="152"/>
      <c r="E72" s="152"/>
      <c r="F72" s="166"/>
      <c r="G72" s="166"/>
      <c r="H72" s="166"/>
      <c r="I72" s="166"/>
      <c r="J72" s="166"/>
      <c r="K72" s="166"/>
      <c r="L72" s="424">
        <v>50</v>
      </c>
      <c r="M72" s="424">
        <v>835</v>
      </c>
      <c r="N72" s="249"/>
      <c r="P72" s="388"/>
      <c r="Q72" s="391"/>
      <c r="R72" s="391"/>
      <c r="S72" s="391"/>
      <c r="T72" s="391"/>
      <c r="U72" s="391"/>
      <c r="V72" s="391"/>
      <c r="W72" s="391"/>
      <c r="X72" s="391"/>
      <c r="Y72" s="393"/>
      <c r="Z72" s="426"/>
    </row>
    <row r="73" spans="1:26" x14ac:dyDescent="0.2">
      <c r="A73" s="519"/>
      <c r="B73" s="249"/>
      <c r="C73" s="249" t="s">
        <v>65</v>
      </c>
      <c r="D73" s="152"/>
      <c r="E73" s="152"/>
      <c r="F73" s="424">
        <v>40</v>
      </c>
      <c r="G73" s="166"/>
      <c r="H73" s="166">
        <v>50</v>
      </c>
      <c r="I73" s="166"/>
      <c r="J73" s="427">
        <v>60</v>
      </c>
      <c r="K73" s="166"/>
      <c r="L73" s="424">
        <v>40</v>
      </c>
      <c r="M73" s="424">
        <v>510</v>
      </c>
      <c r="N73" s="249"/>
      <c r="P73" s="407">
        <v>1</v>
      </c>
      <c r="Q73" s="428">
        <f t="shared" ref="Q73:Q78" si="2">IF(AND(Q55&gt;0,Q55&lt;=115),(Q55/115)*20,R73)</f>
        <v>90</v>
      </c>
      <c r="R73" s="429">
        <f t="shared" ref="R73:R78" si="3">IF(AND(Q55&gt;115,Q55&lt;=275),20+((Q55-115)/160)*10,S73)</f>
        <v>90</v>
      </c>
      <c r="S73" s="429">
        <f t="shared" ref="S73:S78" si="4">IF(AND(Q55&gt;275,Q55&lt;=510),30+((Q55-275)/235)*10,T73)</f>
        <v>90</v>
      </c>
      <c r="T73" s="429">
        <f t="shared" ref="T73:T78" si="5">IF(AND(Q55&gt;510,Q55&lt;=835),40+((Q55-510)/325)*10,U73)</f>
        <v>90</v>
      </c>
      <c r="U73" s="429">
        <f t="shared" ref="U73:U78" si="6">IF(AND(Q55&gt;835,Q55&lt;=1340),50+((Q55-835)/505)*10,V73)</f>
        <v>90</v>
      </c>
      <c r="V73" s="429">
        <f t="shared" ref="V73:V78" si="7">IF(Q55&gt;1340,65,90)</f>
        <v>90</v>
      </c>
      <c r="W73" s="391"/>
      <c r="X73" s="391"/>
      <c r="Y73" s="393"/>
      <c r="Z73" s="426"/>
    </row>
    <row r="74" spans="1:26" x14ac:dyDescent="0.2">
      <c r="A74" s="519"/>
      <c r="B74" s="249"/>
      <c r="C74" s="249" t="s">
        <v>66</v>
      </c>
      <c r="D74" s="152"/>
      <c r="E74" s="152"/>
      <c r="F74" s="424">
        <v>30</v>
      </c>
      <c r="G74" s="166"/>
      <c r="H74" s="166">
        <v>40</v>
      </c>
      <c r="I74" s="166"/>
      <c r="J74" s="430">
        <v>50</v>
      </c>
      <c r="K74" s="166"/>
      <c r="L74" s="424">
        <v>30</v>
      </c>
      <c r="M74" s="424">
        <v>275</v>
      </c>
      <c r="N74" s="249"/>
      <c r="P74" s="407">
        <v>2</v>
      </c>
      <c r="Q74" s="428">
        <f t="shared" si="2"/>
        <v>90</v>
      </c>
      <c r="R74" s="429">
        <f t="shared" si="3"/>
        <v>90</v>
      </c>
      <c r="S74" s="429">
        <f t="shared" si="4"/>
        <v>90</v>
      </c>
      <c r="T74" s="429">
        <f t="shared" si="5"/>
        <v>90</v>
      </c>
      <c r="U74" s="429">
        <f t="shared" si="6"/>
        <v>90</v>
      </c>
      <c r="V74" s="429">
        <f t="shared" si="7"/>
        <v>90</v>
      </c>
      <c r="W74" s="391"/>
      <c r="X74" s="391"/>
      <c r="Y74" s="393"/>
      <c r="Z74" s="426"/>
    </row>
    <row r="75" spans="1:26" x14ac:dyDescent="0.2">
      <c r="A75" s="519"/>
      <c r="B75" s="249"/>
      <c r="C75" s="249" t="s">
        <v>67</v>
      </c>
      <c r="D75" s="152"/>
      <c r="E75" s="152"/>
      <c r="F75" s="431">
        <v>20</v>
      </c>
      <c r="G75" s="166"/>
      <c r="H75" s="166">
        <v>30</v>
      </c>
      <c r="I75" s="166"/>
      <c r="J75" s="432">
        <v>40</v>
      </c>
      <c r="K75" s="166"/>
      <c r="L75" s="424">
        <v>20</v>
      </c>
      <c r="M75" s="424">
        <v>115</v>
      </c>
      <c r="N75" s="249"/>
      <c r="P75" s="407">
        <v>3</v>
      </c>
      <c r="Q75" s="428">
        <f t="shared" si="2"/>
        <v>90</v>
      </c>
      <c r="R75" s="429">
        <f t="shared" si="3"/>
        <v>90</v>
      </c>
      <c r="S75" s="429">
        <f t="shared" si="4"/>
        <v>90</v>
      </c>
      <c r="T75" s="429">
        <f t="shared" si="5"/>
        <v>90</v>
      </c>
      <c r="U75" s="429">
        <f t="shared" si="6"/>
        <v>90</v>
      </c>
      <c r="V75" s="429">
        <f t="shared" si="7"/>
        <v>90</v>
      </c>
      <c r="W75" s="391"/>
      <c r="X75" s="391"/>
      <c r="Y75" s="393"/>
      <c r="Z75" s="426"/>
    </row>
    <row r="76" spans="1:26" x14ac:dyDescent="0.2">
      <c r="A76" s="519"/>
      <c r="B76" s="249"/>
      <c r="C76" s="249"/>
      <c r="D76" s="249"/>
      <c r="E76" s="249"/>
      <c r="F76" s="249"/>
      <c r="G76" s="249"/>
      <c r="H76" s="249"/>
      <c r="I76" s="166"/>
      <c r="J76" s="249"/>
      <c r="K76" s="166"/>
      <c r="L76" s="249"/>
      <c r="M76" s="249"/>
      <c r="N76" s="249"/>
      <c r="P76" s="407">
        <v>4</v>
      </c>
      <c r="Q76" s="428">
        <f t="shared" si="2"/>
        <v>90</v>
      </c>
      <c r="R76" s="429">
        <f t="shared" si="3"/>
        <v>90</v>
      </c>
      <c r="S76" s="429">
        <f t="shared" si="4"/>
        <v>90</v>
      </c>
      <c r="T76" s="429">
        <f t="shared" si="5"/>
        <v>90</v>
      </c>
      <c r="U76" s="429">
        <f t="shared" si="6"/>
        <v>90</v>
      </c>
      <c r="V76" s="429">
        <f t="shared" si="7"/>
        <v>90</v>
      </c>
      <c r="W76" s="391"/>
      <c r="X76" s="391"/>
      <c r="Y76" s="393"/>
      <c r="Z76" s="426"/>
    </row>
    <row r="77" spans="1:26" x14ac:dyDescent="0.2">
      <c r="A77" s="519"/>
      <c r="B77" s="411"/>
      <c r="C77" s="433"/>
      <c r="D77" s="411"/>
      <c r="E77" s="411"/>
      <c r="F77" s="411"/>
      <c r="G77" s="411"/>
      <c r="H77" s="411"/>
      <c r="I77" s="413"/>
      <c r="J77" s="411"/>
      <c r="K77" s="413"/>
      <c r="L77" s="411"/>
      <c r="M77" s="411"/>
      <c r="N77" s="411"/>
      <c r="P77" s="407">
        <v>5</v>
      </c>
      <c r="Q77" s="428">
        <f t="shared" si="2"/>
        <v>90</v>
      </c>
      <c r="R77" s="429">
        <f t="shared" si="3"/>
        <v>90</v>
      </c>
      <c r="S77" s="429">
        <f t="shared" si="4"/>
        <v>90</v>
      </c>
      <c r="T77" s="429">
        <f t="shared" si="5"/>
        <v>90</v>
      </c>
      <c r="U77" s="429">
        <f t="shared" si="6"/>
        <v>90</v>
      </c>
      <c r="V77" s="429">
        <f t="shared" si="7"/>
        <v>90</v>
      </c>
      <c r="W77" s="391"/>
      <c r="X77" s="391"/>
      <c r="Y77" s="393"/>
      <c r="Z77" s="426"/>
    </row>
    <row r="78" spans="1:26" x14ac:dyDescent="0.2">
      <c r="A78" s="519"/>
      <c r="C78" s="433" t="s">
        <v>26</v>
      </c>
      <c r="D78" s="434" t="s">
        <v>68</v>
      </c>
      <c r="E78" s="435"/>
      <c r="F78" s="411"/>
      <c r="G78" s="411"/>
      <c r="H78" s="411"/>
      <c r="I78" s="413"/>
      <c r="J78" s="411"/>
      <c r="K78" s="413"/>
      <c r="L78" s="411"/>
      <c r="M78" s="411"/>
      <c r="N78" s="411"/>
      <c r="P78" s="407">
        <v>6</v>
      </c>
      <c r="Q78" s="428">
        <f t="shared" si="2"/>
        <v>90</v>
      </c>
      <c r="R78" s="429">
        <f t="shared" si="3"/>
        <v>90</v>
      </c>
      <c r="S78" s="429">
        <f t="shared" si="4"/>
        <v>90</v>
      </c>
      <c r="T78" s="429">
        <f t="shared" si="5"/>
        <v>90</v>
      </c>
      <c r="U78" s="429">
        <f t="shared" si="6"/>
        <v>90</v>
      </c>
      <c r="V78" s="429">
        <f t="shared" si="7"/>
        <v>90</v>
      </c>
      <c r="W78" s="391"/>
      <c r="X78" s="391"/>
      <c r="Y78" s="393"/>
      <c r="Z78" s="426"/>
    </row>
    <row r="79" spans="1:26" x14ac:dyDescent="0.2">
      <c r="A79" s="519"/>
      <c r="C79" s="411"/>
      <c r="D79" s="411"/>
      <c r="E79" s="411"/>
      <c r="F79" s="411"/>
      <c r="G79" s="411"/>
      <c r="H79" s="411"/>
      <c r="I79" s="413"/>
      <c r="J79" s="411"/>
      <c r="K79" s="413"/>
      <c r="L79" s="411"/>
      <c r="M79" s="411"/>
      <c r="N79" s="411"/>
      <c r="P79" s="407">
        <v>7</v>
      </c>
      <c r="Q79" s="428">
        <f>IF(AND(Q61&gt;0,Q61&lt;=115),(Q61/115)*20,R79)</f>
        <v>90</v>
      </c>
      <c r="R79" s="429">
        <f>IF(AND(Q57&gt;115,Q57&lt;=275),20+((Q57-115)/160)*10,S79)</f>
        <v>90</v>
      </c>
      <c r="S79" s="429">
        <f>IF(AND(Q57&gt;275,Q57&lt;=510),30+((Q57-275)/235)*10,T79)</f>
        <v>90</v>
      </c>
      <c r="T79" s="429">
        <f>IF(AND(Q57&gt;510,Q57&lt;=835),40+((Q57-510)/325)*10,U79)</f>
        <v>90</v>
      </c>
      <c r="U79" s="429">
        <f>IF(AND(Q57&gt;835,Q57&lt;=1340),50+((Q57-835)/505)*10,V79)</f>
        <v>90</v>
      </c>
      <c r="V79" s="429">
        <f>IF(Q57&gt;1340,65,90)</f>
        <v>90</v>
      </c>
      <c r="W79" s="391"/>
      <c r="X79" s="391"/>
      <c r="Y79" s="393"/>
      <c r="Z79" s="426"/>
    </row>
    <row r="80" spans="1:26" x14ac:dyDescent="0.2">
      <c r="A80" s="519"/>
      <c r="C80" s="413">
        <v>0</v>
      </c>
      <c r="D80" s="411" t="s">
        <v>69</v>
      </c>
      <c r="E80" s="411"/>
      <c r="F80" s="411"/>
      <c r="G80" s="411"/>
      <c r="H80" s="411"/>
      <c r="I80" s="413"/>
      <c r="J80" s="411"/>
      <c r="K80" s="413"/>
      <c r="L80" s="411"/>
      <c r="M80" s="411"/>
      <c r="N80" s="411"/>
      <c r="P80" s="407">
        <v>8</v>
      </c>
      <c r="Q80" s="428">
        <f t="shared" ref="Q80:Q86" si="8">IF(AND(Q62&gt;0,Q62&lt;=115),(Q62/115)*20,R80)</f>
        <v>90</v>
      </c>
      <c r="R80" s="429">
        <f t="shared" ref="R80:R86" si="9">IF(AND(Q62&gt;115,Q62&lt;=275),20+((Q62-115)/160)*10,S80)</f>
        <v>90</v>
      </c>
      <c r="S80" s="429">
        <f t="shared" ref="S80:S86" si="10">IF(AND(Q62&gt;275,Q62&lt;=510),30+((Q62-275)/235)*10,T80)</f>
        <v>90</v>
      </c>
      <c r="T80" s="429">
        <f t="shared" ref="T80:T86" si="11">IF(AND(Q62&gt;510,Q62&lt;=835),40+((Q62-510)/325)*10,U80)</f>
        <v>90</v>
      </c>
      <c r="U80" s="429">
        <f t="shared" ref="U80:U86" si="12">IF(AND(Q62&gt;835,Q62&lt;=1340),50+((Q62-835)/505)*10,V80)</f>
        <v>90</v>
      </c>
      <c r="V80" s="429">
        <f t="shared" ref="V80:V86" si="13">IF(Q62&gt;1340,65,90)</f>
        <v>90</v>
      </c>
      <c r="W80" s="391"/>
      <c r="X80" s="359"/>
      <c r="Y80" s="393"/>
      <c r="Z80" s="426"/>
    </row>
    <row r="81" spans="1:26" x14ac:dyDescent="0.2">
      <c r="A81" s="519"/>
      <c r="C81" s="413">
        <v>5</v>
      </c>
      <c r="D81" s="411" t="s">
        <v>70</v>
      </c>
      <c r="E81" s="411"/>
      <c r="F81" s="411"/>
      <c r="G81" s="411"/>
      <c r="H81" s="411"/>
      <c r="I81" s="413"/>
      <c r="J81" s="411"/>
      <c r="K81" s="413"/>
      <c r="L81" s="411"/>
      <c r="M81" s="411"/>
      <c r="N81" s="411"/>
      <c r="P81" s="407">
        <v>9</v>
      </c>
      <c r="Q81" s="428">
        <f t="shared" si="8"/>
        <v>90</v>
      </c>
      <c r="R81" s="429">
        <f t="shared" si="9"/>
        <v>90</v>
      </c>
      <c r="S81" s="429">
        <f t="shared" si="10"/>
        <v>90</v>
      </c>
      <c r="T81" s="429">
        <f t="shared" si="11"/>
        <v>90</v>
      </c>
      <c r="U81" s="429">
        <f t="shared" si="12"/>
        <v>90</v>
      </c>
      <c r="V81" s="429">
        <f t="shared" si="13"/>
        <v>90</v>
      </c>
      <c r="W81" s="391"/>
      <c r="X81" s="363"/>
      <c r="Y81" s="393"/>
      <c r="Z81" s="426"/>
    </row>
    <row r="82" spans="1:26" x14ac:dyDescent="0.2">
      <c r="A82" s="519"/>
      <c r="C82" s="413"/>
      <c r="D82" s="411"/>
      <c r="E82" s="411"/>
      <c r="F82" s="411"/>
      <c r="G82" s="411"/>
      <c r="H82" s="411"/>
      <c r="I82" s="413"/>
      <c r="J82" s="411"/>
      <c r="K82" s="413"/>
      <c r="L82" s="411"/>
      <c r="M82" s="411"/>
      <c r="N82" s="411"/>
      <c r="P82" s="407">
        <v>10</v>
      </c>
      <c r="Q82" s="428">
        <f t="shared" si="8"/>
        <v>90</v>
      </c>
      <c r="R82" s="429">
        <f t="shared" si="9"/>
        <v>90</v>
      </c>
      <c r="S82" s="429">
        <f t="shared" si="10"/>
        <v>90</v>
      </c>
      <c r="T82" s="429">
        <f t="shared" si="11"/>
        <v>90</v>
      </c>
      <c r="U82" s="429">
        <f t="shared" si="12"/>
        <v>90</v>
      </c>
      <c r="V82" s="429">
        <f t="shared" si="13"/>
        <v>90</v>
      </c>
      <c r="W82" s="391"/>
      <c r="X82" s="363"/>
      <c r="Y82" s="393"/>
      <c r="Z82" s="426"/>
    </row>
    <row r="83" spans="1:26" x14ac:dyDescent="0.2">
      <c r="A83" s="519"/>
      <c r="C83" s="413"/>
      <c r="D83" s="411"/>
      <c r="E83" s="411"/>
      <c r="F83" s="411"/>
      <c r="G83" s="411"/>
      <c r="H83" s="411"/>
      <c r="I83" s="413"/>
      <c r="J83" s="411"/>
      <c r="K83" s="413"/>
      <c r="L83" s="411"/>
      <c r="M83" s="411"/>
      <c r="N83" s="411"/>
      <c r="P83" s="407">
        <v>11</v>
      </c>
      <c r="Q83" s="428">
        <f t="shared" si="8"/>
        <v>90</v>
      </c>
      <c r="R83" s="429">
        <f t="shared" si="9"/>
        <v>90</v>
      </c>
      <c r="S83" s="429">
        <f t="shared" si="10"/>
        <v>90</v>
      </c>
      <c r="T83" s="429">
        <f t="shared" si="11"/>
        <v>90</v>
      </c>
      <c r="U83" s="429">
        <f t="shared" si="12"/>
        <v>90</v>
      </c>
      <c r="V83" s="429">
        <f t="shared" si="13"/>
        <v>90</v>
      </c>
      <c r="W83" s="391"/>
      <c r="X83" s="363"/>
      <c r="Y83" s="393"/>
      <c r="Z83" s="426"/>
    </row>
    <row r="84" spans="1:26" x14ac:dyDescent="0.2">
      <c r="A84" s="519"/>
      <c r="B84" s="411"/>
      <c r="C84" s="411"/>
      <c r="D84" s="411"/>
      <c r="E84" s="411"/>
      <c r="F84" s="411"/>
      <c r="G84" s="411"/>
      <c r="H84" s="411"/>
      <c r="I84" s="413"/>
      <c r="J84" s="411"/>
      <c r="K84" s="413"/>
      <c r="L84" s="411"/>
      <c r="M84" s="411"/>
      <c r="N84" s="411"/>
      <c r="P84" s="407">
        <v>12</v>
      </c>
      <c r="Q84" s="428">
        <f t="shared" si="8"/>
        <v>90</v>
      </c>
      <c r="R84" s="429">
        <f t="shared" si="9"/>
        <v>90</v>
      </c>
      <c r="S84" s="429">
        <f t="shared" si="10"/>
        <v>90</v>
      </c>
      <c r="T84" s="429">
        <f t="shared" si="11"/>
        <v>90</v>
      </c>
      <c r="U84" s="429">
        <f t="shared" si="12"/>
        <v>90</v>
      </c>
      <c r="V84" s="429">
        <f t="shared" si="13"/>
        <v>90</v>
      </c>
      <c r="W84" s="391"/>
      <c r="X84" s="363"/>
      <c r="Y84" s="393"/>
      <c r="Z84" s="426"/>
    </row>
    <row r="85" spans="1:26" x14ac:dyDescent="0.2">
      <c r="A85" s="519"/>
      <c r="B85" s="249"/>
      <c r="C85" s="152"/>
      <c r="D85" s="249"/>
      <c r="E85" s="249"/>
      <c r="F85" s="249"/>
      <c r="G85" s="436" t="s">
        <v>71</v>
      </c>
      <c r="I85" s="152"/>
      <c r="J85" s="249"/>
      <c r="K85" s="166"/>
      <c r="L85" s="249"/>
      <c r="M85" s="249"/>
      <c r="N85" s="437">
        <f>IF(Geometry!T65&lt;&gt;0,5,0)</f>
        <v>0</v>
      </c>
      <c r="P85" s="407">
        <v>13</v>
      </c>
      <c r="Q85" s="428">
        <f t="shared" si="8"/>
        <v>90</v>
      </c>
      <c r="R85" s="429">
        <f t="shared" si="9"/>
        <v>90</v>
      </c>
      <c r="S85" s="429">
        <f t="shared" si="10"/>
        <v>90</v>
      </c>
      <c r="T85" s="429">
        <f t="shared" si="11"/>
        <v>90</v>
      </c>
      <c r="U85" s="429">
        <f t="shared" si="12"/>
        <v>90</v>
      </c>
      <c r="V85" s="429">
        <f t="shared" si="13"/>
        <v>90</v>
      </c>
      <c r="W85" s="391"/>
      <c r="X85" s="363"/>
      <c r="Y85" s="393"/>
      <c r="Z85" s="426"/>
    </row>
    <row r="86" spans="1:26" x14ac:dyDescent="0.2">
      <c r="A86" s="519"/>
      <c r="B86" s="249"/>
      <c r="C86" s="249"/>
      <c r="D86" s="249"/>
      <c r="E86" s="249"/>
      <c r="F86" s="249"/>
      <c r="G86" s="249"/>
      <c r="H86" s="249"/>
      <c r="I86" s="166"/>
      <c r="J86" s="249"/>
      <c r="K86" s="166"/>
      <c r="L86" s="249"/>
      <c r="M86" s="249"/>
      <c r="N86" s="249"/>
      <c r="P86" s="407">
        <v>14</v>
      </c>
      <c r="Q86" s="428">
        <f t="shared" si="8"/>
        <v>90</v>
      </c>
      <c r="R86" s="429">
        <f t="shared" si="9"/>
        <v>90</v>
      </c>
      <c r="S86" s="429">
        <f t="shared" si="10"/>
        <v>90</v>
      </c>
      <c r="T86" s="429">
        <f t="shared" si="11"/>
        <v>90</v>
      </c>
      <c r="U86" s="429">
        <f t="shared" si="12"/>
        <v>90</v>
      </c>
      <c r="V86" s="429">
        <f t="shared" si="13"/>
        <v>90</v>
      </c>
      <c r="W86" s="391"/>
      <c r="X86" s="363"/>
      <c r="Y86" s="393"/>
      <c r="Z86" s="426"/>
    </row>
    <row r="87" spans="1:26" x14ac:dyDescent="0.2">
      <c r="P87" s="438"/>
      <c r="Q87" s="439"/>
      <c r="R87" s="439"/>
      <c r="S87" s="439"/>
      <c r="T87" s="439"/>
      <c r="U87" s="439"/>
      <c r="V87" s="439"/>
      <c r="W87" s="439"/>
      <c r="X87" s="439"/>
      <c r="Y87" s="440"/>
      <c r="Z87" s="441"/>
    </row>
    <row r="88" spans="1:26" x14ac:dyDescent="0.2">
      <c r="P88" s="411"/>
    </row>
    <row r="90" spans="1:26" x14ac:dyDescent="0.2">
      <c r="A90" s="519"/>
      <c r="B90" s="249"/>
      <c r="C90" s="249"/>
      <c r="D90" s="249"/>
      <c r="E90" s="249"/>
      <c r="F90" s="249"/>
      <c r="G90" s="249"/>
      <c r="H90" s="249"/>
      <c r="I90" s="166"/>
      <c r="J90" s="249"/>
      <c r="K90" s="166"/>
      <c r="L90" s="249"/>
      <c r="M90" s="249"/>
      <c r="N90" s="249"/>
    </row>
    <row r="91" spans="1:26" x14ac:dyDescent="0.2">
      <c r="A91" s="519"/>
      <c r="B91" s="410" t="s">
        <v>72</v>
      </c>
      <c r="C91" s="249"/>
      <c r="D91" s="249"/>
      <c r="E91" s="249"/>
      <c r="F91" s="249"/>
      <c r="G91" s="249"/>
      <c r="H91" s="249"/>
      <c r="I91" s="166"/>
      <c r="J91" s="249"/>
      <c r="K91" s="166"/>
      <c r="L91" s="249"/>
      <c r="M91" s="249"/>
      <c r="N91" s="249"/>
    </row>
    <row r="92" spans="1:26" x14ac:dyDescent="0.2">
      <c r="A92" s="519"/>
      <c r="B92" s="249"/>
      <c r="C92" s="249"/>
      <c r="D92" s="249"/>
      <c r="E92" s="249"/>
      <c r="F92" s="249"/>
      <c r="G92" s="249"/>
      <c r="H92" s="249"/>
      <c r="I92" s="166"/>
      <c r="J92" s="249"/>
      <c r="K92" s="166"/>
      <c r="L92" s="249"/>
      <c r="M92" s="249"/>
      <c r="N92" s="249"/>
      <c r="P92" s="411"/>
      <c r="Q92" s="152"/>
      <c r="R92" s="152"/>
      <c r="S92" s="152"/>
      <c r="T92" s="152"/>
      <c r="U92" s="152"/>
    </row>
    <row r="93" spans="1:26" x14ac:dyDescent="0.2">
      <c r="A93" s="519"/>
      <c r="B93" s="152"/>
      <c r="C93" s="152"/>
      <c r="D93" s="249" t="s">
        <v>56</v>
      </c>
      <c r="E93" s="249"/>
      <c r="F93" s="249"/>
      <c r="G93" s="249"/>
      <c r="H93" s="249"/>
      <c r="I93" s="249"/>
      <c r="J93" s="166"/>
      <c r="K93" s="249"/>
      <c r="L93" s="166"/>
      <c r="M93" s="249"/>
      <c r="N93" s="249"/>
      <c r="P93" s="442">
        <f>IF(OR('BR Summary'!D13=7,'BR Summary'!D13=8),P97,P103)</f>
        <v>0</v>
      </c>
      <c r="Q93" s="154" t="s">
        <v>343</v>
      </c>
    </row>
    <row r="94" spans="1:26" x14ac:dyDescent="0.2">
      <c r="A94" s="519"/>
      <c r="B94" s="152"/>
      <c r="C94" s="152"/>
      <c r="D94" s="152"/>
      <c r="E94" s="249" t="s">
        <v>73</v>
      </c>
      <c r="F94" s="249"/>
      <c r="G94" s="249"/>
      <c r="H94" s="249"/>
      <c r="I94" s="249"/>
      <c r="J94" s="166"/>
      <c r="K94" s="249"/>
      <c r="L94" s="166"/>
      <c r="M94" s="249"/>
      <c r="N94" s="249"/>
    </row>
    <row r="95" spans="1:26" x14ac:dyDescent="0.2">
      <c r="A95" s="519"/>
      <c r="B95" s="249"/>
      <c r="C95" s="152"/>
      <c r="D95" s="152"/>
      <c r="E95" s="249"/>
      <c r="F95" s="249"/>
      <c r="G95" s="249"/>
      <c r="H95" s="249"/>
      <c r="I95" s="249"/>
      <c r="J95" s="166"/>
      <c r="K95" s="249"/>
      <c r="L95" s="166"/>
      <c r="M95" s="249"/>
      <c r="N95" s="249"/>
      <c r="P95" s="443"/>
      <c r="Q95" s="444" t="s">
        <v>150</v>
      </c>
      <c r="R95" s="443"/>
    </row>
    <row r="96" spans="1:26" x14ac:dyDescent="0.2">
      <c r="A96" s="519"/>
      <c r="B96" s="249"/>
      <c r="C96" s="249"/>
      <c r="D96" s="410" t="s">
        <v>75</v>
      </c>
      <c r="E96" s="249"/>
      <c r="F96" s="249"/>
      <c r="G96" s="249" t="s">
        <v>74</v>
      </c>
      <c r="H96" s="249"/>
      <c r="I96" s="249"/>
      <c r="J96" s="166"/>
      <c r="K96" s="249"/>
      <c r="L96" s="166"/>
      <c r="M96" s="249"/>
      <c r="N96" s="249"/>
      <c r="P96" s="166"/>
      <c r="Q96" s="413"/>
      <c r="R96" s="413"/>
    </row>
    <row r="97" spans="1:21" x14ac:dyDescent="0.2">
      <c r="A97" s="519"/>
      <c r="B97" s="411"/>
      <c r="C97" s="249"/>
      <c r="E97" s="249"/>
      <c r="F97" s="249"/>
      <c r="G97" s="249"/>
      <c r="H97" s="249"/>
      <c r="P97" s="413">
        <f>IF(Geometry!P47&lt;&gt;0,Q97,P98)</f>
        <v>0</v>
      </c>
      <c r="Q97" s="413">
        <f>IF(Geometry!P44&lt;400,Geometry!D101,R97)</f>
        <v>7</v>
      </c>
      <c r="R97" s="413">
        <f>IF(Geometry!P44&lt;2001,Geometry!E101,Geometry!F101)</f>
        <v>6</v>
      </c>
    </row>
    <row r="98" spans="1:21" x14ac:dyDescent="0.2">
      <c r="A98" s="519"/>
      <c r="B98" s="411"/>
      <c r="C98" s="411"/>
      <c r="D98" s="443"/>
      <c r="E98" s="445" t="s">
        <v>150</v>
      </c>
      <c r="F98" s="443"/>
      <c r="G98" s="443"/>
      <c r="H98" s="411"/>
      <c r="P98" s="413">
        <f>IF(Geometry!P48&lt;&gt;0,Q98,P99)</f>
        <v>0</v>
      </c>
      <c r="Q98" s="413">
        <f>IF(Geometry!P44&lt;400,Geometry!D102,R98)</f>
        <v>9</v>
      </c>
      <c r="R98" s="413">
        <f>IF(Geometry!P44&lt;2001,Geometry!E102,Geometry!F102)</f>
        <v>8</v>
      </c>
      <c r="S98" s="152"/>
      <c r="T98" s="152"/>
      <c r="U98" s="152"/>
    </row>
    <row r="99" spans="1:21" x14ac:dyDescent="0.2">
      <c r="A99" s="519"/>
      <c r="B99" s="446" t="s">
        <v>77</v>
      </c>
      <c r="D99" s="443"/>
      <c r="E99" s="447" t="s">
        <v>224</v>
      </c>
      <c r="F99" s="443"/>
      <c r="G99" s="443"/>
      <c r="H99" s="411"/>
      <c r="P99" s="413">
        <f>IF(Geometry!P49&lt;&gt;0,Q99,0)</f>
        <v>0</v>
      </c>
      <c r="Q99" s="413">
        <f>IF(Geometry!P44&lt;400,Geometry!D103,R99)</f>
        <v>12</v>
      </c>
      <c r="R99" s="413">
        <f>IF(Geometry!P44&lt;2001,Geometry!E103,Geometry!F103)</f>
        <v>10</v>
      </c>
      <c r="S99" s="448"/>
      <c r="T99" s="448"/>
      <c r="U99" s="448"/>
    </row>
    <row r="100" spans="1:21" x14ac:dyDescent="0.2">
      <c r="A100" s="519"/>
      <c r="B100" s="411" t="s">
        <v>80</v>
      </c>
      <c r="C100" s="411"/>
      <c r="D100" s="449" t="s">
        <v>62</v>
      </c>
      <c r="E100" s="449" t="s">
        <v>147</v>
      </c>
      <c r="F100" s="449" t="s">
        <v>64</v>
      </c>
      <c r="G100" s="449"/>
      <c r="H100" s="411"/>
      <c r="S100" s="249"/>
      <c r="T100" s="249"/>
      <c r="U100" s="249"/>
    </row>
    <row r="101" spans="1:21" x14ac:dyDescent="0.2">
      <c r="A101" s="519"/>
      <c r="B101" s="411" t="s">
        <v>82</v>
      </c>
      <c r="C101" s="411"/>
      <c r="D101" s="443">
        <v>7</v>
      </c>
      <c r="E101" s="443">
        <v>6</v>
      </c>
      <c r="F101" s="445">
        <v>5</v>
      </c>
      <c r="G101" s="445"/>
      <c r="Q101" s="450" t="s">
        <v>151</v>
      </c>
      <c r="S101" s="249"/>
      <c r="T101" s="249"/>
      <c r="U101" s="249"/>
    </row>
    <row r="102" spans="1:21" x14ac:dyDescent="0.2">
      <c r="A102" s="519"/>
      <c r="B102" s="411" t="s">
        <v>83</v>
      </c>
      <c r="C102" s="411"/>
      <c r="D102" s="443">
        <v>9</v>
      </c>
      <c r="E102" s="443">
        <v>8</v>
      </c>
      <c r="F102" s="443">
        <v>7</v>
      </c>
      <c r="G102" s="443"/>
      <c r="H102" s="411"/>
      <c r="P102" s="166"/>
      <c r="Q102" s="413"/>
      <c r="R102" s="413"/>
      <c r="S102" s="249"/>
      <c r="T102" s="249"/>
      <c r="U102" s="249"/>
    </row>
    <row r="103" spans="1:21" x14ac:dyDescent="0.2">
      <c r="A103" s="519"/>
      <c r="B103" s="411" t="s">
        <v>84</v>
      </c>
      <c r="C103" s="411"/>
      <c r="D103" s="443">
        <v>12</v>
      </c>
      <c r="E103" s="443">
        <v>10</v>
      </c>
      <c r="F103" s="443">
        <v>10</v>
      </c>
      <c r="G103" s="443"/>
      <c r="H103" s="411"/>
      <c r="P103" s="413">
        <f>IF(Geometry!P47&lt;&gt;0,Q103,P104)</f>
        <v>0</v>
      </c>
      <c r="Q103" s="413">
        <f>IF(Geometry!P44&lt;400,Geometry!D108,R103)</f>
        <v>5</v>
      </c>
      <c r="R103" s="413">
        <f>IF(Geometry!P44&lt;2001,Geometry!E108,Geometry!F108)</f>
        <v>4</v>
      </c>
      <c r="S103" s="152"/>
      <c r="T103" s="152"/>
      <c r="U103" s="152"/>
    </row>
    <row r="104" spans="1:21" x14ac:dyDescent="0.2">
      <c r="A104" s="519"/>
      <c r="H104" s="411"/>
      <c r="P104" s="413">
        <f>IF(Geometry!P48&lt;&gt;0,Q104,P105)</f>
        <v>0</v>
      </c>
      <c r="Q104" s="413">
        <f>IF(Geometry!P44&lt;400,Geometry!D109,R104)</f>
        <v>6</v>
      </c>
      <c r="R104" s="413">
        <f>IF(Geometry!P44&lt;2001,Geometry!E109,Geometry!F109)</f>
        <v>5</v>
      </c>
      <c r="S104" s="152"/>
      <c r="T104" s="170"/>
      <c r="U104" s="152"/>
    </row>
    <row r="105" spans="1:21" x14ac:dyDescent="0.2">
      <c r="A105" s="519"/>
      <c r="D105" s="166"/>
      <c r="E105" s="445" t="s">
        <v>151</v>
      </c>
      <c r="F105" s="166"/>
      <c r="G105" s="166"/>
      <c r="P105" s="413">
        <f>IF(Geometry!P49&lt;&gt;0,Q105,0)</f>
        <v>0</v>
      </c>
      <c r="Q105" s="413">
        <f>IF(Geometry!P44&lt;400,Geometry!D110,R105)</f>
        <v>8</v>
      </c>
      <c r="R105" s="413">
        <f>IF(Geometry!P44&lt;2001,Geometry!E110,Geometry!F110)</f>
        <v>7</v>
      </c>
      <c r="S105" s="152"/>
      <c r="T105" s="166"/>
      <c r="U105" s="152"/>
    </row>
    <row r="106" spans="1:21" x14ac:dyDescent="0.2">
      <c r="A106" s="519"/>
      <c r="D106" s="166"/>
      <c r="E106" s="447" t="s">
        <v>225</v>
      </c>
      <c r="F106" s="166"/>
      <c r="G106" s="166"/>
      <c r="H106" s="411"/>
      <c r="P106" s="167"/>
      <c r="Q106" s="167"/>
      <c r="R106" s="167"/>
      <c r="S106" s="445"/>
      <c r="T106" s="445"/>
      <c r="U106" s="445"/>
    </row>
    <row r="107" spans="1:21" x14ac:dyDescent="0.2">
      <c r="A107" s="519"/>
      <c r="D107" s="451" t="s">
        <v>78</v>
      </c>
      <c r="E107" s="451" t="s">
        <v>63</v>
      </c>
      <c r="F107" s="451" t="s">
        <v>64</v>
      </c>
      <c r="G107" s="451"/>
      <c r="H107" s="411"/>
      <c r="P107" s="167"/>
      <c r="Q107" s="167"/>
      <c r="R107" s="167"/>
      <c r="S107" s="445"/>
      <c r="T107" s="445"/>
      <c r="U107" s="445"/>
    </row>
    <row r="108" spans="1:21" x14ac:dyDescent="0.2">
      <c r="A108" s="519"/>
      <c r="B108" s="411" t="s">
        <v>82</v>
      </c>
      <c r="D108" s="445">
        <v>5</v>
      </c>
      <c r="E108" s="445">
        <v>4</v>
      </c>
      <c r="F108" s="445">
        <v>3</v>
      </c>
      <c r="G108" s="445"/>
      <c r="H108" s="411"/>
      <c r="I108" s="411"/>
      <c r="J108" s="413"/>
      <c r="K108" s="411"/>
      <c r="L108" s="413"/>
      <c r="M108" s="411"/>
      <c r="N108" s="411"/>
      <c r="P108" s="167"/>
      <c r="Q108" s="167"/>
      <c r="R108" s="452" t="s">
        <v>165</v>
      </c>
    </row>
    <row r="109" spans="1:21" x14ac:dyDescent="0.2">
      <c r="A109" s="519"/>
      <c r="B109" s="411" t="s">
        <v>83</v>
      </c>
      <c r="D109" s="445">
        <v>6</v>
      </c>
      <c r="E109" s="445">
        <v>5</v>
      </c>
      <c r="F109" s="445">
        <v>4</v>
      </c>
      <c r="G109" s="445"/>
      <c r="H109" s="411"/>
      <c r="I109" s="411"/>
      <c r="J109" s="413"/>
      <c r="K109" s="411"/>
      <c r="L109" s="413"/>
      <c r="M109" s="411"/>
      <c r="N109" s="411"/>
      <c r="P109" s="167"/>
      <c r="Q109" s="167"/>
      <c r="R109" s="167"/>
    </row>
    <row r="110" spans="1:21" x14ac:dyDescent="0.2">
      <c r="A110" s="519"/>
      <c r="B110" s="411" t="s">
        <v>84</v>
      </c>
      <c r="D110" s="445">
        <v>8</v>
      </c>
      <c r="E110" s="445">
        <v>7</v>
      </c>
      <c r="F110" s="445">
        <v>6</v>
      </c>
      <c r="G110" s="445"/>
      <c r="H110" s="411"/>
      <c r="I110" s="411"/>
      <c r="J110" s="413"/>
      <c r="K110" s="411"/>
      <c r="L110" s="413"/>
      <c r="M110" s="411"/>
      <c r="N110" s="411"/>
      <c r="Q110" s="154" t="s">
        <v>166</v>
      </c>
      <c r="R110" s="154" t="s">
        <v>130</v>
      </c>
      <c r="S110" s="413" t="s">
        <v>162</v>
      </c>
      <c r="T110" s="154" t="s">
        <v>163</v>
      </c>
    </row>
    <row r="111" spans="1:21" x14ac:dyDescent="0.2">
      <c r="A111" s="519"/>
      <c r="B111" s="411"/>
      <c r="C111" s="411"/>
      <c r="D111" s="411"/>
      <c r="E111" s="411"/>
      <c r="F111" s="411"/>
      <c r="G111" s="411"/>
      <c r="H111" s="411"/>
      <c r="I111" s="413"/>
      <c r="J111" s="411"/>
      <c r="K111" s="413"/>
      <c r="L111" s="411"/>
      <c r="M111" s="411"/>
      <c r="N111" s="411"/>
      <c r="Q111" s="154" t="s">
        <v>161</v>
      </c>
      <c r="R111" s="154" t="s">
        <v>160</v>
      </c>
      <c r="S111" s="413" t="s">
        <v>159</v>
      </c>
      <c r="T111" s="413" t="s">
        <v>161</v>
      </c>
      <c r="U111" s="453"/>
    </row>
    <row r="112" spans="1:21" x14ac:dyDescent="0.2">
      <c r="A112" s="519"/>
      <c r="B112" s="411"/>
      <c r="C112" s="411"/>
      <c r="D112" s="411"/>
      <c r="E112" s="411"/>
      <c r="F112" s="411"/>
      <c r="G112" s="411"/>
      <c r="H112" s="411"/>
      <c r="I112" s="413"/>
      <c r="J112" s="411"/>
      <c r="K112" s="413"/>
      <c r="L112" s="411"/>
      <c r="M112" s="411"/>
      <c r="N112" s="411"/>
      <c r="P112" s="430">
        <v>1</v>
      </c>
      <c r="Q112" s="437">
        <f>Geometry!H19</f>
        <v>0</v>
      </c>
      <c r="R112" s="437">
        <f>Geometry!G19</f>
        <v>0</v>
      </c>
      <c r="S112" s="454">
        <f>P93</f>
        <v>0</v>
      </c>
      <c r="T112" s="413">
        <f t="shared" ref="T112:T121" si="14">IF(R112&gt;S112,Q112,0)</f>
        <v>0</v>
      </c>
      <c r="U112" s="251"/>
    </row>
    <row r="113" spans="1:21" x14ac:dyDescent="0.2">
      <c r="A113" s="519"/>
      <c r="C113" s="446" t="s">
        <v>4</v>
      </c>
      <c r="E113" s="446" t="s">
        <v>85</v>
      </c>
      <c r="F113" s="411"/>
      <c r="G113" s="411"/>
      <c r="H113" s="411"/>
      <c r="I113" s="413"/>
      <c r="J113" s="411"/>
      <c r="K113" s="413"/>
      <c r="L113" s="411"/>
      <c r="M113" s="411"/>
      <c r="N113" s="411"/>
      <c r="P113" s="430">
        <v>2</v>
      </c>
      <c r="Q113" s="437">
        <f>Geometry!H20</f>
        <v>0</v>
      </c>
      <c r="R113" s="437">
        <f>Geometry!G20</f>
        <v>0</v>
      </c>
      <c r="S113" s="454">
        <f>P93</f>
        <v>0</v>
      </c>
      <c r="T113" s="413">
        <f t="shared" si="14"/>
        <v>0</v>
      </c>
      <c r="U113" s="251"/>
    </row>
    <row r="114" spans="1:21" x14ac:dyDescent="0.2">
      <c r="A114" s="519"/>
      <c r="C114" s="411" t="s">
        <v>86</v>
      </c>
      <c r="D114" s="411"/>
      <c r="E114" s="411"/>
      <c r="F114" s="411"/>
      <c r="G114" s="411"/>
      <c r="H114" s="411"/>
      <c r="I114" s="413"/>
      <c r="J114" s="411"/>
      <c r="K114" s="413"/>
      <c r="L114" s="411"/>
      <c r="M114" s="411"/>
      <c r="N114" s="411"/>
      <c r="P114" s="430">
        <v>3</v>
      </c>
      <c r="Q114" s="437">
        <f>Geometry!H21</f>
        <v>0</v>
      </c>
      <c r="R114" s="437">
        <f>Geometry!G21</f>
        <v>0</v>
      </c>
      <c r="S114" s="454">
        <f>P93</f>
        <v>0</v>
      </c>
      <c r="T114" s="413">
        <f t="shared" si="14"/>
        <v>0</v>
      </c>
      <c r="U114" s="413"/>
    </row>
    <row r="115" spans="1:21" x14ac:dyDescent="0.2">
      <c r="A115" s="519"/>
      <c r="C115" s="413">
        <v>0</v>
      </c>
      <c r="D115" s="411"/>
      <c r="E115" s="411" t="s">
        <v>87</v>
      </c>
      <c r="F115" s="411"/>
      <c r="G115" s="411"/>
      <c r="H115" s="411"/>
      <c r="I115" s="413"/>
      <c r="J115" s="411"/>
      <c r="K115" s="413"/>
      <c r="L115" s="411"/>
      <c r="M115" s="411"/>
      <c r="N115" s="411"/>
      <c r="P115" s="430">
        <v>4</v>
      </c>
      <c r="Q115" s="437">
        <f>Geometry!H22</f>
        <v>0</v>
      </c>
      <c r="R115" s="437">
        <f>Geometry!G22</f>
        <v>0</v>
      </c>
      <c r="S115" s="454">
        <f>P93</f>
        <v>0</v>
      </c>
      <c r="T115" s="413">
        <f t="shared" si="14"/>
        <v>0</v>
      </c>
      <c r="U115" s="413"/>
    </row>
    <row r="116" spans="1:21" x14ac:dyDescent="0.2">
      <c r="A116" s="519"/>
      <c r="C116" s="413">
        <v>5</v>
      </c>
      <c r="D116" s="411"/>
      <c r="E116" s="411" t="s">
        <v>88</v>
      </c>
      <c r="F116" s="411"/>
      <c r="G116" s="411"/>
      <c r="H116" s="411"/>
      <c r="I116" s="413"/>
      <c r="J116" s="411"/>
      <c r="K116" s="413"/>
      <c r="L116" s="411"/>
      <c r="M116" s="411"/>
      <c r="N116" s="411"/>
      <c r="P116" s="430">
        <v>5</v>
      </c>
      <c r="Q116" s="437">
        <f>Geometry!H23</f>
        <v>0</v>
      </c>
      <c r="R116" s="437">
        <f>Geometry!G23</f>
        <v>0</v>
      </c>
      <c r="S116" s="454">
        <f>P93</f>
        <v>0</v>
      </c>
      <c r="T116" s="413">
        <f t="shared" si="14"/>
        <v>0</v>
      </c>
      <c r="U116" s="413"/>
    </row>
    <row r="117" spans="1:21" x14ac:dyDescent="0.2">
      <c r="A117" s="519"/>
      <c r="B117" s="413"/>
      <c r="C117" s="411"/>
      <c r="D117" s="411"/>
      <c r="E117" s="411"/>
      <c r="F117" s="411"/>
      <c r="G117" s="411"/>
      <c r="H117" s="411"/>
      <c r="I117" s="413"/>
      <c r="J117" s="411"/>
      <c r="K117" s="413"/>
      <c r="L117" s="411"/>
      <c r="M117" s="411"/>
      <c r="N117" s="411"/>
      <c r="P117" s="430">
        <v>6</v>
      </c>
      <c r="Q117" s="437">
        <f>Geometry!H24</f>
        <v>0</v>
      </c>
      <c r="R117" s="437">
        <f>Geometry!G24</f>
        <v>0</v>
      </c>
      <c r="S117" s="454">
        <f>P93</f>
        <v>0</v>
      </c>
      <c r="T117" s="413">
        <f t="shared" si="14"/>
        <v>0</v>
      </c>
      <c r="U117" s="413"/>
    </row>
    <row r="118" spans="1:21" x14ac:dyDescent="0.2">
      <c r="A118" s="519"/>
      <c r="B118" s="411" t="s">
        <v>12</v>
      </c>
      <c r="C118" s="411"/>
      <c r="D118" s="411"/>
      <c r="E118" s="411"/>
      <c r="F118" s="411"/>
      <c r="G118" s="411"/>
      <c r="H118" s="411"/>
      <c r="I118" s="413"/>
      <c r="J118" s="411"/>
      <c r="K118" s="413"/>
      <c r="L118" s="411"/>
      <c r="M118" s="411"/>
      <c r="N118" s="411"/>
      <c r="P118" s="430">
        <v>7</v>
      </c>
      <c r="Q118" s="437">
        <f>Geometry!H25</f>
        <v>0</v>
      </c>
      <c r="R118" s="437">
        <f>Geometry!G25</f>
        <v>0</v>
      </c>
      <c r="S118" s="454">
        <f>P93</f>
        <v>0</v>
      </c>
      <c r="T118" s="413">
        <f t="shared" si="14"/>
        <v>0</v>
      </c>
      <c r="U118" s="413"/>
    </row>
    <row r="119" spans="1:21" x14ac:dyDescent="0.2">
      <c r="A119" s="519"/>
      <c r="B119" s="411"/>
      <c r="D119" s="411"/>
      <c r="E119" s="411"/>
      <c r="F119" s="411"/>
      <c r="G119" s="455" t="s">
        <v>89</v>
      </c>
      <c r="J119" s="411"/>
      <c r="K119" s="413"/>
      <c r="L119" s="411"/>
      <c r="M119" s="411"/>
      <c r="N119" s="437">
        <f>IF(Geometry!T122&lt;&gt;0,5,0)</f>
        <v>0</v>
      </c>
      <c r="P119" s="430">
        <v>8</v>
      </c>
      <c r="Q119" s="437" t="str">
        <f>Geometry!H26</f>
        <v>crabrules</v>
      </c>
      <c r="R119" s="437">
        <f>Geometry!G26</f>
        <v>0</v>
      </c>
      <c r="S119" s="454">
        <f>P93</f>
        <v>0</v>
      </c>
      <c r="T119" s="413">
        <f t="shared" si="14"/>
        <v>0</v>
      </c>
      <c r="U119" s="413"/>
    </row>
    <row r="120" spans="1:21" x14ac:dyDescent="0.2">
      <c r="P120" s="430">
        <v>9</v>
      </c>
      <c r="Q120" s="437">
        <f>Geometry!H27</f>
        <v>0</v>
      </c>
      <c r="R120" s="437">
        <f>Geometry!G27</f>
        <v>0</v>
      </c>
      <c r="S120" s="454">
        <f>P93</f>
        <v>0</v>
      </c>
      <c r="T120" s="413">
        <f t="shared" si="14"/>
        <v>0</v>
      </c>
      <c r="U120" s="413"/>
    </row>
    <row r="121" spans="1:21" x14ac:dyDescent="0.2">
      <c r="P121" s="430">
        <v>10</v>
      </c>
      <c r="Q121" s="437">
        <f>Geometry!H28</f>
        <v>0</v>
      </c>
      <c r="R121" s="437">
        <f>Geometry!G28</f>
        <v>0</v>
      </c>
      <c r="S121" s="454">
        <f>P93</f>
        <v>0</v>
      </c>
      <c r="T121" s="413">
        <f t="shared" si="14"/>
        <v>0</v>
      </c>
      <c r="U121" s="413"/>
    </row>
    <row r="122" spans="1:21" x14ac:dyDescent="0.2">
      <c r="P122" s="166"/>
      <c r="Q122" s="166"/>
      <c r="R122" s="166"/>
      <c r="S122" s="154" t="s">
        <v>164</v>
      </c>
      <c r="T122" s="437">
        <f>SUM(T112:T121)</f>
        <v>0</v>
      </c>
      <c r="U122" s="413"/>
    </row>
    <row r="123" spans="1:21" x14ac:dyDescent="0.2">
      <c r="P123" s="166"/>
      <c r="Q123" s="166"/>
      <c r="R123" s="166"/>
      <c r="S123" s="154" t="s">
        <v>163</v>
      </c>
      <c r="U123" s="413"/>
    </row>
    <row r="124" spans="1:21" x14ac:dyDescent="0.2">
      <c r="P124" s="166"/>
      <c r="Q124" s="166"/>
      <c r="R124" s="166"/>
      <c r="S124" s="154" t="s">
        <v>161</v>
      </c>
    </row>
    <row r="125" spans="1:21" x14ac:dyDescent="0.2">
      <c r="C125" s="456"/>
      <c r="D125" s="457" t="s">
        <v>76</v>
      </c>
      <c r="E125" s="246"/>
      <c r="F125" s="458"/>
      <c r="G125" s="459"/>
      <c r="H125" s="459"/>
      <c r="I125" s="351"/>
      <c r="J125" s="351"/>
      <c r="K125" s="351"/>
      <c r="L125" s="352"/>
      <c r="P125" s="166"/>
      <c r="Q125" s="166"/>
      <c r="R125" s="166"/>
      <c r="S125" s="454"/>
      <c r="T125" s="413"/>
    </row>
    <row r="126" spans="1:21" x14ac:dyDescent="0.2">
      <c r="C126" s="252"/>
      <c r="D126" s="166"/>
      <c r="E126" s="249"/>
      <c r="F126" s="166"/>
      <c r="G126" s="249"/>
      <c r="H126" s="249"/>
      <c r="I126" s="152"/>
      <c r="J126" s="152"/>
      <c r="K126" s="152"/>
      <c r="L126" s="353"/>
    </row>
    <row r="127" spans="1:21" x14ac:dyDescent="0.2">
      <c r="C127" s="252" t="s">
        <v>152</v>
      </c>
      <c r="D127" s="249" t="s">
        <v>153</v>
      </c>
      <c r="E127" s="249"/>
      <c r="F127" s="170" t="s">
        <v>152</v>
      </c>
      <c r="G127" s="249" t="s">
        <v>153</v>
      </c>
      <c r="H127" s="249"/>
      <c r="I127" s="152"/>
      <c r="J127" s="152"/>
      <c r="K127" s="152"/>
      <c r="L127" s="353"/>
    </row>
    <row r="128" spans="1:21" x14ac:dyDescent="0.2">
      <c r="C128" s="460" t="s">
        <v>154</v>
      </c>
      <c r="D128" s="423" t="s">
        <v>155</v>
      </c>
      <c r="E128" s="166"/>
      <c r="F128" s="423" t="s">
        <v>154</v>
      </c>
      <c r="G128" s="423" t="s">
        <v>155</v>
      </c>
      <c r="H128" s="423"/>
      <c r="I128" s="152"/>
      <c r="J128" s="152"/>
      <c r="K128" s="152"/>
      <c r="L128" s="353"/>
    </row>
    <row r="129" spans="3:21" ht="12.75" customHeight="1" x14ac:dyDescent="0.2">
      <c r="C129" s="461">
        <v>10</v>
      </c>
      <c r="D129" s="462" t="s">
        <v>156</v>
      </c>
      <c r="E129" s="166"/>
      <c r="F129" s="166">
        <v>35</v>
      </c>
      <c r="G129" s="462">
        <v>250</v>
      </c>
      <c r="H129" s="462"/>
      <c r="I129" s="515" t="s">
        <v>352</v>
      </c>
      <c r="J129" s="515"/>
      <c r="K129" s="515"/>
      <c r="L129" s="516"/>
    </row>
    <row r="130" spans="3:21" ht="12.75" customHeight="1" x14ac:dyDescent="0.2">
      <c r="C130" s="461">
        <v>15</v>
      </c>
      <c r="D130" s="462">
        <v>80</v>
      </c>
      <c r="E130" s="166"/>
      <c r="F130" s="166">
        <v>40</v>
      </c>
      <c r="G130" s="462">
        <v>305</v>
      </c>
      <c r="H130" s="462"/>
      <c r="I130" s="515"/>
      <c r="J130" s="515"/>
      <c r="K130" s="515"/>
      <c r="L130" s="516"/>
      <c r="P130" s="411"/>
      <c r="Q130" s="152"/>
      <c r="R130" s="152"/>
      <c r="S130" s="152"/>
      <c r="T130" s="152"/>
      <c r="U130" s="152"/>
    </row>
    <row r="131" spans="3:21" x14ac:dyDescent="0.2">
      <c r="C131" s="461">
        <v>20</v>
      </c>
      <c r="D131" s="462">
        <v>115</v>
      </c>
      <c r="E131" s="166"/>
      <c r="F131" s="166">
        <v>45</v>
      </c>
      <c r="G131" s="462">
        <v>360</v>
      </c>
      <c r="H131" s="462"/>
      <c r="I131" s="515"/>
      <c r="J131" s="515"/>
      <c r="K131" s="515"/>
      <c r="L131" s="516"/>
    </row>
    <row r="132" spans="3:21" x14ac:dyDescent="0.2">
      <c r="C132" s="461">
        <v>25</v>
      </c>
      <c r="D132" s="462">
        <v>155</v>
      </c>
      <c r="E132" s="166"/>
      <c r="F132" s="166">
        <v>50</v>
      </c>
      <c r="G132" s="462">
        <v>425</v>
      </c>
      <c r="H132" s="462"/>
      <c r="I132" s="152"/>
      <c r="J132" s="152"/>
      <c r="K132" s="152"/>
      <c r="L132" s="353"/>
    </row>
    <row r="133" spans="3:21" x14ac:dyDescent="0.2">
      <c r="C133" s="461">
        <v>30</v>
      </c>
      <c r="D133" s="462">
        <v>200</v>
      </c>
      <c r="E133" s="166"/>
      <c r="F133" s="166">
        <v>55</v>
      </c>
      <c r="G133" s="462">
        <v>495</v>
      </c>
      <c r="H133" s="462"/>
      <c r="I133" s="152"/>
      <c r="J133" s="152"/>
      <c r="K133" s="152"/>
      <c r="L133" s="353"/>
    </row>
    <row r="134" spans="3:21" x14ac:dyDescent="0.2">
      <c r="C134" s="252"/>
      <c r="D134" s="249"/>
      <c r="E134" s="249"/>
      <c r="F134" s="166">
        <v>60</v>
      </c>
      <c r="G134" s="462">
        <v>570</v>
      </c>
      <c r="H134" s="462"/>
      <c r="I134" s="152"/>
      <c r="J134" s="152"/>
      <c r="K134" s="152"/>
      <c r="L134" s="353"/>
    </row>
    <row r="135" spans="3:21" x14ac:dyDescent="0.2">
      <c r="C135" s="254"/>
      <c r="D135" s="463"/>
      <c r="E135" s="255"/>
      <c r="F135" s="463"/>
      <c r="G135" s="255"/>
      <c r="H135" s="255"/>
      <c r="I135" s="354"/>
      <c r="J135" s="354"/>
      <c r="K135" s="354"/>
      <c r="L135" s="355"/>
    </row>
  </sheetData>
  <sheetProtection password="EC65" sheet="1" objects="1" scenarios="1" selectLockedCells="1"/>
  <mergeCells count="15">
    <mergeCell ref="AX33:BA33"/>
    <mergeCell ref="BA14:BC14"/>
    <mergeCell ref="AV24:AW24"/>
    <mergeCell ref="BA24:BD24"/>
    <mergeCell ref="AV14:AW14"/>
    <mergeCell ref="C4:E4"/>
    <mergeCell ref="G11:I11"/>
    <mergeCell ref="C11:D11"/>
    <mergeCell ref="F4:J4"/>
    <mergeCell ref="H7:J7"/>
    <mergeCell ref="I129:L131"/>
    <mergeCell ref="P68:P71"/>
    <mergeCell ref="B15:B18"/>
    <mergeCell ref="A60:A86"/>
    <mergeCell ref="A90:A119"/>
  </mergeCells>
  <conditionalFormatting sqref="J16 I15">
    <cfRule type="expression" dxfId="4" priority="6" stopIfTrue="1">
      <formula>ISERROR($I$57)</formula>
    </cfRule>
  </conditionalFormatting>
  <conditionalFormatting sqref="D15:D16">
    <cfRule type="expression" dxfId="3" priority="7" stopIfTrue="1">
      <formula>ISERROR($C$57)</formula>
    </cfRule>
  </conditionalFormatting>
  <conditionalFormatting sqref="J29:J30 O50:O51">
    <cfRule type="expression" dxfId="2" priority="8" stopIfTrue="1">
      <formula>ISERROR(#REF!)</formula>
    </cfRule>
  </conditionalFormatting>
  <conditionalFormatting sqref="L29:L30">
    <cfRule type="expression" dxfId="1" priority="4" stopIfTrue="1">
      <formula>ISERROR(#REF!)</formula>
    </cfRule>
  </conditionalFormatting>
  <conditionalFormatting sqref="I15">
    <cfRule type="containsErrors" dxfId="0" priority="1">
      <formula>ISERROR(I15)</formula>
    </cfRule>
  </conditionalFormatting>
  <hyperlinks>
    <hyperlink ref="C15" location="Geometry!A60" display="Calculation Below" xr:uid="{00000000-0004-0000-0300-000000000000}"/>
    <hyperlink ref="H15" location="Geometry!A90" display="Calc." xr:uid="{00000000-0004-0000-0300-000001000000}"/>
  </hyperlinks>
  <pageMargins left="0.7" right="0.7" top="0.75" bottom="0.75" header="0.3" footer="0.3"/>
  <pageSetup orientation="portrait" horizontalDpi="4294967295" verticalDpi="4294967295"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35"/>
  </sheetPr>
  <dimension ref="A1:K73"/>
  <sheetViews>
    <sheetView showGridLines="0" zoomScale="95" zoomScaleNormal="95" workbookViewId="0">
      <selection activeCell="G32" sqref="G32"/>
    </sheetView>
  </sheetViews>
  <sheetFormatPr defaultColWidth="7.7109375" defaultRowHeight="12.75" x14ac:dyDescent="0.2"/>
  <cols>
    <col min="1" max="16384" width="7.7109375" style="331"/>
  </cols>
  <sheetData>
    <row r="1" spans="1:10" ht="12.75" customHeight="1" x14ac:dyDescent="0.2">
      <c r="A1" s="528"/>
      <c r="C1" s="529" t="s">
        <v>291</v>
      </c>
      <c r="D1" s="530"/>
      <c r="E1" s="530"/>
      <c r="F1" s="530"/>
      <c r="G1" s="530"/>
      <c r="H1" s="531"/>
    </row>
    <row r="2" spans="1:10" ht="12.75" customHeight="1" thickBot="1" x14ac:dyDescent="0.25">
      <c r="A2" s="528"/>
      <c r="C2" s="532"/>
      <c r="D2" s="533"/>
      <c r="E2" s="533"/>
      <c r="F2" s="533"/>
      <c r="G2" s="533"/>
      <c r="H2" s="534"/>
    </row>
    <row r="3" spans="1:10" ht="12.75" customHeight="1" x14ac:dyDescent="0.2">
      <c r="A3" s="528"/>
      <c r="C3" s="340"/>
      <c r="D3" s="340"/>
      <c r="E3" s="340"/>
      <c r="F3" s="340"/>
      <c r="G3" s="340"/>
      <c r="H3" s="340"/>
    </row>
    <row r="4" spans="1:10" x14ac:dyDescent="0.2">
      <c r="A4" s="528"/>
      <c r="B4" s="60"/>
      <c r="C4" s="61"/>
      <c r="D4" s="61"/>
      <c r="E4" s="61" t="s">
        <v>174</v>
      </c>
      <c r="F4" s="61"/>
      <c r="G4" s="61"/>
      <c r="H4" s="61"/>
      <c r="I4" s="62"/>
      <c r="J4" s="333"/>
    </row>
    <row r="5" spans="1:10" x14ac:dyDescent="0.2">
      <c r="A5" s="528"/>
      <c r="B5" s="63"/>
      <c r="C5" s="64"/>
      <c r="D5" s="65"/>
      <c r="E5" s="65"/>
      <c r="F5" s="65"/>
      <c r="G5" s="65"/>
      <c r="H5" s="64"/>
      <c r="I5" s="66"/>
    </row>
    <row r="6" spans="1:10" x14ac:dyDescent="0.2">
      <c r="A6" s="528"/>
      <c r="B6" s="67" t="s">
        <v>175</v>
      </c>
      <c r="C6" s="68"/>
      <c r="D6" s="69"/>
      <c r="E6" s="65"/>
      <c r="F6" s="65"/>
      <c r="G6" s="70" t="s">
        <v>178</v>
      </c>
      <c r="H6" s="68"/>
      <c r="I6" s="71"/>
      <c r="J6" s="335"/>
    </row>
    <row r="7" spans="1:10" x14ac:dyDescent="0.2">
      <c r="A7" s="528"/>
      <c r="B7" s="72" t="s">
        <v>283</v>
      </c>
      <c r="C7" s="64"/>
      <c r="D7" s="65"/>
      <c r="E7" s="65"/>
      <c r="F7" s="65"/>
      <c r="G7" s="73" t="s">
        <v>284</v>
      </c>
      <c r="H7" s="64"/>
      <c r="I7" s="66"/>
      <c r="J7" s="335"/>
    </row>
    <row r="8" spans="1:10" x14ac:dyDescent="0.2">
      <c r="A8" s="528"/>
      <c r="B8" s="67"/>
      <c r="C8" s="70" t="s">
        <v>260</v>
      </c>
      <c r="D8" s="74" t="s">
        <v>26</v>
      </c>
      <c r="E8" s="65"/>
      <c r="F8" s="65"/>
      <c r="G8" s="64"/>
      <c r="H8" s="70" t="s">
        <v>260</v>
      </c>
      <c r="I8" s="75" t="s">
        <v>26</v>
      </c>
      <c r="J8" s="335"/>
    </row>
    <row r="9" spans="1:10" x14ac:dyDescent="0.2">
      <c r="A9" s="528"/>
      <c r="B9" s="338" t="s">
        <v>179</v>
      </c>
      <c r="C9" s="134"/>
      <c r="D9" s="64" t="str">
        <f>IF(C9&lt;&gt;"",1,"")</f>
        <v/>
      </c>
      <c r="E9" s="76">
        <f>IF(D9&lt;&gt;"",1,0)</f>
        <v>0</v>
      </c>
      <c r="F9" s="65"/>
      <c r="G9" s="337" t="s">
        <v>180</v>
      </c>
      <c r="H9" s="134"/>
      <c r="I9" s="77" t="str">
        <f>IF(H9&lt;&gt;"",1,"")</f>
        <v/>
      </c>
      <c r="J9" s="336">
        <f>IF(I9&lt;&gt;"",1,0)</f>
        <v>0</v>
      </c>
    </row>
    <row r="10" spans="1:10" x14ac:dyDescent="0.2">
      <c r="A10" s="528"/>
      <c r="B10" s="338" t="s">
        <v>181</v>
      </c>
      <c r="C10" s="134"/>
      <c r="D10" s="64" t="str">
        <f>IF(C10&lt;&gt;"",2,"")</f>
        <v/>
      </c>
      <c r="E10" s="76">
        <f>IF(D10&lt;&gt;"",1,0)</f>
        <v>0</v>
      </c>
      <c r="F10" s="65"/>
      <c r="G10" s="337" t="s">
        <v>182</v>
      </c>
      <c r="H10" s="10"/>
      <c r="I10" s="77" t="str">
        <f>IF(H10&lt;&gt;"",2,"")</f>
        <v/>
      </c>
      <c r="J10" s="336">
        <f>IF(I10&lt;&gt;"",1,0)</f>
        <v>0</v>
      </c>
    </row>
    <row r="11" spans="1:10" x14ac:dyDescent="0.2">
      <c r="A11" s="528"/>
      <c r="B11" s="338" t="s">
        <v>183</v>
      </c>
      <c r="C11" s="134"/>
      <c r="D11" s="7" t="str">
        <f>IF(C11&lt;&gt;"",3,"")</f>
        <v/>
      </c>
      <c r="E11" s="76">
        <f>IF(D11&lt;&gt;"",1,0)</f>
        <v>0</v>
      </c>
      <c r="F11" s="65"/>
      <c r="G11" s="337" t="s">
        <v>181</v>
      </c>
      <c r="H11" s="134"/>
      <c r="I11" s="77" t="str">
        <f>IF(H11&lt;&gt;"",3,"")</f>
        <v/>
      </c>
      <c r="J11" s="336">
        <f>IF(I11&lt;&gt;"",1,0)</f>
        <v>0</v>
      </c>
    </row>
    <row r="12" spans="1:10" x14ac:dyDescent="0.2">
      <c r="A12" s="528"/>
      <c r="B12" s="63"/>
      <c r="C12" s="65"/>
      <c r="D12" s="64"/>
      <c r="E12" s="76">
        <f>SUM(E9:E11)</f>
        <v>0</v>
      </c>
      <c r="F12" s="65"/>
      <c r="G12" s="337" t="s">
        <v>183</v>
      </c>
      <c r="H12" s="476"/>
      <c r="I12" s="78" t="str">
        <f>IF(H12&lt;&gt;"",4,"")</f>
        <v/>
      </c>
      <c r="J12" s="336">
        <f>IF(I12&lt;&gt;"",1,0)</f>
        <v>0</v>
      </c>
    </row>
    <row r="13" spans="1:10" x14ac:dyDescent="0.2">
      <c r="A13" s="528"/>
      <c r="B13" s="63"/>
      <c r="C13" s="79" t="s">
        <v>261</v>
      </c>
      <c r="D13" s="8">
        <f>IF(E12&gt;1,0,SUM(D9:D11))</f>
        <v>0</v>
      </c>
      <c r="E13" s="65"/>
      <c r="F13" s="65"/>
      <c r="G13" s="79" t="s">
        <v>262</v>
      </c>
      <c r="H13" s="8">
        <f>IF(J13&gt;1,0,SUM(I9:I12))</f>
        <v>0</v>
      </c>
      <c r="I13" s="77"/>
      <c r="J13" s="336">
        <f>SUM(J9:J12)</f>
        <v>0</v>
      </c>
    </row>
    <row r="14" spans="1:10" x14ac:dyDescent="0.2">
      <c r="A14" s="528"/>
      <c r="B14" s="80"/>
      <c r="C14" s="81"/>
      <c r="D14" s="81"/>
      <c r="E14" s="81"/>
      <c r="F14" s="81"/>
      <c r="G14" s="81"/>
      <c r="H14" s="81"/>
      <c r="I14" s="82"/>
      <c r="J14" s="335"/>
    </row>
    <row r="15" spans="1:10" x14ac:dyDescent="0.2">
      <c r="A15" s="528"/>
    </row>
    <row r="16" spans="1:10" x14ac:dyDescent="0.2">
      <c r="B16" s="60"/>
      <c r="C16" s="83"/>
      <c r="D16" s="61" t="s">
        <v>184</v>
      </c>
      <c r="E16" s="83"/>
      <c r="F16" s="84"/>
    </row>
    <row r="17" spans="2:9" x14ac:dyDescent="0.2">
      <c r="B17" s="63"/>
      <c r="C17" s="65"/>
      <c r="D17" s="68"/>
      <c r="E17" s="69"/>
      <c r="F17" s="66"/>
    </row>
    <row r="18" spans="2:9" x14ac:dyDescent="0.2">
      <c r="B18" s="63"/>
      <c r="C18" s="65"/>
      <c r="D18" s="70" t="s">
        <v>260</v>
      </c>
      <c r="E18" s="74" t="s">
        <v>26</v>
      </c>
      <c r="F18" s="66"/>
    </row>
    <row r="19" spans="2:9" x14ac:dyDescent="0.2">
      <c r="B19" s="339" t="s">
        <v>185</v>
      </c>
      <c r="C19" s="65"/>
      <c r="D19" s="9"/>
      <c r="E19" s="64" t="str">
        <f>IF(D19&lt;&gt;"",1,"")</f>
        <v/>
      </c>
      <c r="F19" s="85">
        <f>IF(E19&lt;&gt;"",1,0)</f>
        <v>0</v>
      </c>
    </row>
    <row r="20" spans="2:9" x14ac:dyDescent="0.2">
      <c r="B20" s="339" t="s">
        <v>186</v>
      </c>
      <c r="C20" s="65"/>
      <c r="D20" s="134"/>
      <c r="E20" s="64" t="str">
        <f>IF(D20&lt;&gt;"",2,"")</f>
        <v/>
      </c>
      <c r="F20" s="85">
        <f>IF(E20&lt;&gt;"",1,0)</f>
        <v>0</v>
      </c>
    </row>
    <row r="21" spans="2:9" x14ac:dyDescent="0.2">
      <c r="B21" s="339" t="s">
        <v>187</v>
      </c>
      <c r="C21" s="65"/>
      <c r="D21" s="134"/>
      <c r="E21" s="64" t="str">
        <f>IF(D21&lt;&gt;"",4,"")</f>
        <v/>
      </c>
      <c r="F21" s="85">
        <f>IF(E21&lt;&gt;"",1,0)</f>
        <v>0</v>
      </c>
    </row>
    <row r="22" spans="2:9" x14ac:dyDescent="0.2">
      <c r="B22" s="339" t="s">
        <v>188</v>
      </c>
      <c r="C22" s="65"/>
      <c r="D22" s="134"/>
      <c r="E22" s="7" t="str">
        <f>IF(D22&lt;&gt;"",6,"")</f>
        <v/>
      </c>
      <c r="F22" s="85">
        <f>IF(E22&lt;&gt;"",1,0)</f>
        <v>0</v>
      </c>
    </row>
    <row r="23" spans="2:9" x14ac:dyDescent="0.2">
      <c r="B23" s="339" t="s">
        <v>189</v>
      </c>
      <c r="C23" s="65"/>
      <c r="D23" s="134"/>
      <c r="E23" s="7" t="str">
        <f>IF(D23&lt;&gt;"",7,"")</f>
        <v/>
      </c>
      <c r="F23" s="85">
        <f>IF(E23&lt;&gt;"",1,0)</f>
        <v>0</v>
      </c>
    </row>
    <row r="24" spans="2:9" x14ac:dyDescent="0.2">
      <c r="B24" s="63"/>
      <c r="C24" s="65"/>
      <c r="D24" s="65"/>
      <c r="E24" s="65"/>
      <c r="F24" s="85">
        <f>SUM(F19:F23)</f>
        <v>0</v>
      </c>
    </row>
    <row r="25" spans="2:9" x14ac:dyDescent="0.2">
      <c r="B25" s="63"/>
      <c r="C25" s="65"/>
      <c r="D25" s="70" t="s">
        <v>190</v>
      </c>
      <c r="E25" s="8">
        <f>IF(F24&gt;1,0,SUM(E19:E23))</f>
        <v>0</v>
      </c>
      <c r="F25" s="66"/>
    </row>
    <row r="26" spans="2:9" x14ac:dyDescent="0.2">
      <c r="B26" s="80"/>
      <c r="C26" s="81"/>
      <c r="D26" s="81"/>
      <c r="E26" s="81"/>
      <c r="F26" s="82"/>
    </row>
    <row r="28" spans="2:9" x14ac:dyDescent="0.2">
      <c r="B28" s="60"/>
      <c r="C28" s="61"/>
      <c r="D28" s="61" t="s">
        <v>191</v>
      </c>
      <c r="E28" s="61"/>
      <c r="F28" s="61"/>
      <c r="G28" s="61"/>
      <c r="H28" s="62"/>
    </row>
    <row r="29" spans="2:9" x14ac:dyDescent="0.2">
      <c r="B29" s="63"/>
      <c r="C29" s="65"/>
      <c r="D29" s="65"/>
      <c r="E29" s="65"/>
      <c r="F29" s="64"/>
      <c r="G29" s="65"/>
      <c r="H29" s="66"/>
    </row>
    <row r="30" spans="2:9" x14ac:dyDescent="0.2">
      <c r="B30" s="63"/>
      <c r="C30" s="65"/>
      <c r="D30" s="65"/>
      <c r="E30" s="65"/>
      <c r="F30" s="68"/>
      <c r="G30" s="69"/>
      <c r="H30" s="66"/>
    </row>
    <row r="31" spans="2:9" x14ac:dyDescent="0.2">
      <c r="B31" s="63"/>
      <c r="C31" s="65"/>
      <c r="D31" s="65"/>
      <c r="E31" s="65"/>
      <c r="F31" s="64"/>
      <c r="G31" s="70" t="s">
        <v>260</v>
      </c>
      <c r="H31" s="75" t="s">
        <v>26</v>
      </c>
      <c r="I31" s="335"/>
    </row>
    <row r="32" spans="2:9" x14ac:dyDescent="0.2">
      <c r="B32" s="92" t="s">
        <v>192</v>
      </c>
      <c r="C32" s="65"/>
      <c r="D32" s="65"/>
      <c r="E32" s="65"/>
      <c r="F32" s="64">
        <v>1</v>
      </c>
      <c r="G32" s="10"/>
      <c r="H32" s="77" t="str">
        <f>IF(G32&lt;&gt;"",1,"")</f>
        <v/>
      </c>
      <c r="I32" s="336">
        <f>IF(H32&lt;&gt;"",1,0)</f>
        <v>0</v>
      </c>
    </row>
    <row r="33" spans="2:11" x14ac:dyDescent="0.2">
      <c r="B33" s="92" t="s">
        <v>193</v>
      </c>
      <c r="C33" s="65"/>
      <c r="D33" s="65"/>
      <c r="E33" s="65"/>
      <c r="F33" s="64">
        <v>2</v>
      </c>
      <c r="G33" s="10"/>
      <c r="H33" s="77" t="str">
        <f>IF(G33&lt;&gt;"",2,"")</f>
        <v/>
      </c>
      <c r="I33" s="336">
        <f t="shared" ref="I33:I38" si="0">IF(H33&lt;&gt;"",1,0)</f>
        <v>0</v>
      </c>
    </row>
    <row r="34" spans="2:11" x14ac:dyDescent="0.2">
      <c r="B34" s="92" t="s">
        <v>194</v>
      </c>
      <c r="C34" s="65"/>
      <c r="D34" s="65"/>
      <c r="E34" s="65"/>
      <c r="F34" s="64">
        <v>3</v>
      </c>
      <c r="G34" s="134"/>
      <c r="H34" s="77" t="str">
        <f>IF(G34&lt;&gt;"",3,"")</f>
        <v/>
      </c>
      <c r="I34" s="336">
        <f t="shared" si="0"/>
        <v>0</v>
      </c>
    </row>
    <row r="35" spans="2:11" x14ac:dyDescent="0.2">
      <c r="B35" s="92" t="s">
        <v>195</v>
      </c>
      <c r="C35" s="65"/>
      <c r="D35" s="65"/>
      <c r="E35" s="65"/>
      <c r="F35" s="64">
        <v>4</v>
      </c>
      <c r="G35" s="10"/>
      <c r="H35" s="78" t="str">
        <f>IF(G35&lt;&gt;"",4,"")</f>
        <v/>
      </c>
      <c r="I35" s="336">
        <f t="shared" si="0"/>
        <v>0</v>
      </c>
    </row>
    <row r="36" spans="2:11" x14ac:dyDescent="0.2">
      <c r="B36" s="92" t="s">
        <v>196</v>
      </c>
      <c r="C36" s="65"/>
      <c r="D36" s="65"/>
      <c r="E36" s="65"/>
      <c r="F36" s="64">
        <v>5</v>
      </c>
      <c r="G36" s="10"/>
      <c r="H36" s="78" t="str">
        <f>IF(G36&lt;&gt;"",5,"")</f>
        <v/>
      </c>
      <c r="I36" s="336">
        <f t="shared" si="0"/>
        <v>0</v>
      </c>
    </row>
    <row r="37" spans="2:11" x14ac:dyDescent="0.2">
      <c r="B37" s="92" t="s">
        <v>197</v>
      </c>
      <c r="C37" s="65"/>
      <c r="D37" s="65"/>
      <c r="E37" s="65"/>
      <c r="F37" s="64">
        <v>6</v>
      </c>
      <c r="G37" s="134"/>
      <c r="H37" s="78" t="str">
        <f>IF(G37&lt;&gt;"",6,"")</f>
        <v/>
      </c>
      <c r="I37" s="336">
        <f t="shared" si="0"/>
        <v>0</v>
      </c>
    </row>
    <row r="38" spans="2:11" x14ac:dyDescent="0.2">
      <c r="B38" s="92" t="s">
        <v>198</v>
      </c>
      <c r="C38" s="65"/>
      <c r="D38" s="65"/>
      <c r="E38" s="65"/>
      <c r="F38" s="64">
        <v>7</v>
      </c>
      <c r="G38" s="134"/>
      <c r="H38" s="78" t="str">
        <f>IF(G38&lt;&gt;"",7,"")</f>
        <v/>
      </c>
      <c r="I38" s="336">
        <f t="shared" si="0"/>
        <v>0</v>
      </c>
    </row>
    <row r="39" spans="2:11" x14ac:dyDescent="0.2">
      <c r="B39" s="63"/>
      <c r="C39" s="65"/>
      <c r="D39" s="65"/>
      <c r="E39" s="65"/>
      <c r="F39" s="65"/>
      <c r="G39" s="64"/>
      <c r="H39" s="77"/>
      <c r="I39" s="336">
        <f>SUM(I32:I38)</f>
        <v>0</v>
      </c>
    </row>
    <row r="40" spans="2:11" x14ac:dyDescent="0.2">
      <c r="B40" s="63"/>
      <c r="C40" s="65"/>
      <c r="D40" s="65"/>
      <c r="E40" s="65"/>
      <c r="F40" s="70" t="s">
        <v>199</v>
      </c>
      <c r="G40" s="8">
        <f>IF(I39&gt;1,0,SUM(H32:H38))</f>
        <v>0</v>
      </c>
      <c r="H40" s="77"/>
      <c r="I40" s="335"/>
    </row>
    <row r="41" spans="2:11" x14ac:dyDescent="0.2">
      <c r="B41" s="80"/>
      <c r="C41" s="81"/>
      <c r="D41" s="81"/>
      <c r="E41" s="81"/>
      <c r="F41" s="81"/>
      <c r="G41" s="81"/>
      <c r="H41" s="82"/>
    </row>
    <row r="43" spans="2:11" x14ac:dyDescent="0.2">
      <c r="B43" s="86"/>
      <c r="C43" s="61" t="s">
        <v>54</v>
      </c>
      <c r="D43" s="61"/>
      <c r="E43" s="84"/>
      <c r="G43" s="86"/>
      <c r="H43" s="61" t="s">
        <v>53</v>
      </c>
      <c r="I43" s="61"/>
      <c r="J43" s="84"/>
    </row>
    <row r="44" spans="2:11" x14ac:dyDescent="0.2">
      <c r="B44" s="63"/>
      <c r="C44" s="64" t="s">
        <v>176</v>
      </c>
      <c r="D44" s="65" t="s">
        <v>177</v>
      </c>
      <c r="E44" s="66"/>
      <c r="G44" s="67" t="s">
        <v>200</v>
      </c>
      <c r="H44" s="64" t="s">
        <v>176</v>
      </c>
      <c r="I44" s="65" t="s">
        <v>177</v>
      </c>
      <c r="J44" s="66"/>
    </row>
    <row r="45" spans="2:11" x14ac:dyDescent="0.2">
      <c r="B45" s="67" t="s">
        <v>201</v>
      </c>
      <c r="C45" s="68" t="s">
        <v>26</v>
      </c>
      <c r="D45" s="69" t="s">
        <v>26</v>
      </c>
      <c r="E45" s="66"/>
      <c r="F45" s="335"/>
      <c r="G45" s="67" t="s">
        <v>202</v>
      </c>
      <c r="H45" s="68" t="s">
        <v>26</v>
      </c>
      <c r="I45" s="69" t="s">
        <v>26</v>
      </c>
      <c r="J45" s="66"/>
      <c r="K45" s="335"/>
    </row>
    <row r="46" spans="2:11" x14ac:dyDescent="0.2">
      <c r="B46" s="87" t="s">
        <v>203</v>
      </c>
      <c r="C46" s="64"/>
      <c r="D46" s="70" t="s">
        <v>260</v>
      </c>
      <c r="E46" s="75" t="s">
        <v>26</v>
      </c>
      <c r="F46" s="335"/>
      <c r="G46" s="87" t="s">
        <v>204</v>
      </c>
      <c r="H46" s="64"/>
      <c r="I46" s="70" t="s">
        <v>260</v>
      </c>
      <c r="J46" s="75" t="s">
        <v>26</v>
      </c>
      <c r="K46" s="335"/>
    </row>
    <row r="47" spans="2:11" x14ac:dyDescent="0.2">
      <c r="B47" s="67">
        <v>1</v>
      </c>
      <c r="C47" s="64">
        <v>1</v>
      </c>
      <c r="D47" s="10"/>
      <c r="E47" s="88" t="str">
        <f>IF(D47&lt;&gt;"",1,"")</f>
        <v/>
      </c>
      <c r="F47" s="336">
        <f>IF(E47&lt;&gt;"",1,0)</f>
        <v>0</v>
      </c>
      <c r="G47" s="67" t="s">
        <v>205</v>
      </c>
      <c r="H47" s="64">
        <v>1</v>
      </c>
      <c r="I47" s="9"/>
      <c r="J47" s="77" t="str">
        <f>IF(I47&lt;&gt;"",1,"")</f>
        <v/>
      </c>
      <c r="K47" s="336">
        <f>IF(J47&lt;&gt;"",1,0)</f>
        <v>0</v>
      </c>
    </row>
    <row r="48" spans="2:11" x14ac:dyDescent="0.2">
      <c r="B48" s="67">
        <v>2</v>
      </c>
      <c r="C48" s="64">
        <v>2</v>
      </c>
      <c r="D48" s="134"/>
      <c r="E48" s="89" t="str">
        <f>IF(D48&lt;&gt;"",2,"")</f>
        <v/>
      </c>
      <c r="F48" s="336">
        <f>IF(E48&lt;&gt;"",1,0)</f>
        <v>0</v>
      </c>
      <c r="G48" s="90" t="s">
        <v>206</v>
      </c>
      <c r="H48" s="64">
        <v>2</v>
      </c>
      <c r="I48" s="10"/>
      <c r="J48" s="78" t="str">
        <f>IF(I48&lt;&gt;"",2,"")</f>
        <v/>
      </c>
      <c r="K48" s="336">
        <f>IF(J48&lt;&gt;"",1,0)</f>
        <v>0</v>
      </c>
    </row>
    <row r="49" spans="2:11" x14ac:dyDescent="0.2">
      <c r="B49" s="67">
        <v>3</v>
      </c>
      <c r="C49" s="64">
        <v>3</v>
      </c>
      <c r="D49" s="10"/>
      <c r="E49" s="89" t="str">
        <f>IF(D49&lt;&gt;"",3,"")</f>
        <v/>
      </c>
      <c r="F49" s="336">
        <f>IF(E49&lt;&gt;"",1,0)</f>
        <v>0</v>
      </c>
      <c r="G49" s="91" t="s">
        <v>207</v>
      </c>
      <c r="H49" s="64">
        <v>3</v>
      </c>
      <c r="I49" s="134"/>
      <c r="J49" s="78" t="str">
        <f>IF(I49&lt;&gt;"",3,"")</f>
        <v/>
      </c>
      <c r="K49" s="336">
        <f>IF(J49&lt;&gt;"",1,0)</f>
        <v>0</v>
      </c>
    </row>
    <row r="50" spans="2:11" x14ac:dyDescent="0.2">
      <c r="B50" s="67">
        <v>4</v>
      </c>
      <c r="C50" s="64">
        <v>4</v>
      </c>
      <c r="D50" s="134"/>
      <c r="E50" s="89" t="str">
        <f>IF(D50&lt;&gt;"",4,"")</f>
        <v/>
      </c>
      <c r="F50" s="336">
        <f>IF(E50&lt;&gt;"",1,0)</f>
        <v>0</v>
      </c>
      <c r="G50" s="91" t="s">
        <v>208</v>
      </c>
      <c r="H50" s="64">
        <v>4</v>
      </c>
      <c r="I50" s="134"/>
      <c r="J50" s="78" t="str">
        <f>IF(I50&lt;&gt;"",4,"")</f>
        <v/>
      </c>
      <c r="K50" s="336">
        <f>IF(J50&lt;&gt;"",1,0)</f>
        <v>0</v>
      </c>
    </row>
    <row r="51" spans="2:11" x14ac:dyDescent="0.2">
      <c r="B51" s="67">
        <v>5</v>
      </c>
      <c r="C51" s="64">
        <v>5</v>
      </c>
      <c r="D51" s="134"/>
      <c r="E51" s="89" t="str">
        <f>IF(D51&lt;&gt;"",5,"")</f>
        <v/>
      </c>
      <c r="F51" s="336">
        <f>IF(E51&lt;&gt;"",1,0)</f>
        <v>0</v>
      </c>
      <c r="G51" s="67" t="s">
        <v>111</v>
      </c>
      <c r="H51" s="64">
        <v>5</v>
      </c>
      <c r="I51" s="134"/>
      <c r="J51" s="78" t="str">
        <f>IF(I51&lt;&gt;"",5,"")</f>
        <v/>
      </c>
      <c r="K51" s="336">
        <f>IF(J51&lt;&gt;"",1,0)</f>
        <v>0</v>
      </c>
    </row>
    <row r="52" spans="2:11" x14ac:dyDescent="0.2">
      <c r="B52" s="63"/>
      <c r="C52" s="65"/>
      <c r="D52" s="65"/>
      <c r="E52" s="85"/>
      <c r="F52" s="336">
        <f>SUM(F45:F51)</f>
        <v>0</v>
      </c>
      <c r="G52" s="63"/>
      <c r="H52" s="65"/>
      <c r="I52" s="65"/>
      <c r="J52" s="77"/>
      <c r="K52" s="336">
        <f>SUM(K45:K51)</f>
        <v>0</v>
      </c>
    </row>
    <row r="53" spans="2:11" x14ac:dyDescent="0.2">
      <c r="B53" s="63"/>
      <c r="C53" s="70" t="s">
        <v>209</v>
      </c>
      <c r="D53" s="8">
        <f>IF(F52&gt;1,0,SUM(E47:E51))</f>
        <v>0</v>
      </c>
      <c r="E53" s="66"/>
      <c r="F53" s="335"/>
      <c r="G53" s="92" t="s">
        <v>210</v>
      </c>
      <c r="H53" s="65"/>
      <c r="I53" s="65"/>
      <c r="J53" s="66"/>
    </row>
    <row r="54" spans="2:11" x14ac:dyDescent="0.2">
      <c r="B54" s="80"/>
      <c r="C54" s="81"/>
      <c r="D54" s="81"/>
      <c r="E54" s="82"/>
      <c r="G54" s="63"/>
      <c r="H54" s="65"/>
      <c r="I54" s="65"/>
      <c r="J54" s="66"/>
    </row>
    <row r="55" spans="2:11" x14ac:dyDescent="0.2">
      <c r="G55" s="63"/>
      <c r="H55" s="70" t="s">
        <v>211</v>
      </c>
      <c r="I55" s="8">
        <f>IF(K52&gt;1,0,SUM(J47:J51))</f>
        <v>0</v>
      </c>
      <c r="J55" s="66"/>
    </row>
    <row r="56" spans="2:11" x14ac:dyDescent="0.2">
      <c r="G56" s="80"/>
      <c r="H56" s="81"/>
      <c r="I56" s="81"/>
      <c r="J56" s="82"/>
    </row>
    <row r="58" spans="2:11" x14ac:dyDescent="0.2">
      <c r="I58" s="334" t="s">
        <v>227</v>
      </c>
      <c r="J58" s="332">
        <f>MIN(25,(SUM(D13,H13,E25,G40,I55,D53)))</f>
        <v>0</v>
      </c>
    </row>
    <row r="59" spans="2:11" x14ac:dyDescent="0.2">
      <c r="F59" s="333"/>
      <c r="G59" s="478" t="s">
        <v>356</v>
      </c>
      <c r="H59" s="333"/>
      <c r="I59" s="333"/>
      <c r="J59" s="333"/>
    </row>
    <row r="60" spans="2:11" x14ac:dyDescent="0.2">
      <c r="I60" s="477"/>
    </row>
    <row r="73" spans="6:10" x14ac:dyDescent="0.2">
      <c r="F73" s="333"/>
      <c r="G73" s="333"/>
      <c r="H73" s="333"/>
      <c r="I73" s="333"/>
      <c r="J73" s="333"/>
    </row>
  </sheetData>
  <sheetProtection algorithmName="SHA-512" hashValue="cp0eAxUdIqxuf5qPNCl8hFeEwm7Gi85Q4BLK3QwNFf8157dlgwpIZNVNb+3lYu7YbrdgnUQSPRxVcDDPzfNWRA==" saltValue="s/l53Lz1sjmw2t5zYQK5gg==" spinCount="100000" sheet="1" selectLockedCells="1"/>
  <mergeCells count="2">
    <mergeCell ref="A1:A15"/>
    <mergeCell ref="C1:H2"/>
  </mergeCells>
  <phoneticPr fontId="14" type="noConversion"/>
  <pageMargins left="0.55000000000000004" right="0.45" top="0.53" bottom="0.5" header="0.32" footer="0.27"/>
  <pageSetup orientation="portrait" r:id="rId1"/>
  <headerFooter alignWithMargins="0">
    <oddFooter>&amp;L&amp;f&amp;R7/14/04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8"/>
  <sheetViews>
    <sheetView workbookViewId="0">
      <selection sqref="A1:L1"/>
    </sheetView>
  </sheetViews>
  <sheetFormatPr defaultRowHeight="15" x14ac:dyDescent="0.2"/>
  <cols>
    <col min="1" max="1" width="3.28515625" style="3" customWidth="1"/>
    <col min="2" max="2" width="12" style="3" customWidth="1"/>
    <col min="3" max="3" width="3.7109375" style="3" customWidth="1"/>
    <col min="4" max="4" width="4.140625" style="3" customWidth="1"/>
    <col min="5" max="11" width="9.140625" style="3"/>
    <col min="12" max="12" width="3.28515625" style="3" customWidth="1"/>
    <col min="13" max="16384" width="9.140625" style="3"/>
  </cols>
  <sheetData>
    <row r="1" spans="1:12" ht="18.75" x14ac:dyDescent="0.3">
      <c r="A1" s="535" t="s">
        <v>228</v>
      </c>
      <c r="B1" s="535"/>
      <c r="C1" s="535"/>
      <c r="D1" s="535"/>
      <c r="E1" s="535"/>
      <c r="F1" s="535"/>
      <c r="G1" s="535"/>
      <c r="H1" s="535"/>
      <c r="I1" s="535"/>
      <c r="J1" s="535"/>
      <c r="K1" s="535"/>
      <c r="L1" s="535"/>
    </row>
    <row r="2" spans="1:12" ht="18.75" x14ac:dyDescent="0.3">
      <c r="A2" s="535" t="s">
        <v>229</v>
      </c>
      <c r="B2" s="535"/>
      <c r="C2" s="535"/>
      <c r="D2" s="535"/>
      <c r="E2" s="535"/>
      <c r="F2" s="535"/>
      <c r="G2" s="535"/>
      <c r="H2" s="535"/>
      <c r="I2" s="535"/>
      <c r="J2" s="535"/>
      <c r="K2" s="535"/>
      <c r="L2" s="535"/>
    </row>
    <row r="3" spans="1:12" ht="18.75" customHeight="1" x14ac:dyDescent="0.25">
      <c r="A3" s="536" t="s">
        <v>230</v>
      </c>
      <c r="B3" s="536"/>
      <c r="C3" s="536"/>
      <c r="D3" s="536"/>
      <c r="E3" s="536"/>
      <c r="F3" s="536"/>
      <c r="G3" s="536"/>
      <c r="H3" s="536"/>
      <c r="I3" s="536"/>
      <c r="J3" s="536"/>
      <c r="K3" s="536"/>
      <c r="L3" s="536"/>
    </row>
    <row r="7" spans="1:12" x14ac:dyDescent="0.2">
      <c r="A7" s="3" t="s">
        <v>231</v>
      </c>
      <c r="D7" s="537"/>
      <c r="E7" s="537"/>
      <c r="F7" s="537"/>
    </row>
    <row r="8" spans="1:12" x14ac:dyDescent="0.2">
      <c r="A8" s="3" t="s">
        <v>232</v>
      </c>
      <c r="D8" s="537"/>
      <c r="E8" s="537"/>
      <c r="F8" s="537"/>
      <c r="G8" s="537"/>
      <c r="H8" s="537"/>
    </row>
    <row r="9" spans="1:12" x14ac:dyDescent="0.2">
      <c r="A9" s="3" t="s">
        <v>233</v>
      </c>
      <c r="D9" s="540"/>
      <c r="E9" s="540"/>
      <c r="F9" s="540"/>
    </row>
    <row r="13" spans="1:12" x14ac:dyDescent="0.2">
      <c r="A13" s="3" t="s">
        <v>234</v>
      </c>
    </row>
    <row r="14" spans="1:12" x14ac:dyDescent="0.2">
      <c r="A14" s="3" t="s">
        <v>235</v>
      </c>
      <c r="E14" s="541"/>
      <c r="F14" s="541"/>
      <c r="G14" s="3" t="s">
        <v>236</v>
      </c>
    </row>
    <row r="15" spans="1:12" x14ac:dyDescent="0.2">
      <c r="A15" s="3" t="s">
        <v>237</v>
      </c>
    </row>
    <row r="17" spans="1:2" x14ac:dyDescent="0.2">
      <c r="A17" s="3" t="s">
        <v>238</v>
      </c>
    </row>
    <row r="18" spans="1:2" x14ac:dyDescent="0.2">
      <c r="A18" s="3" t="s">
        <v>239</v>
      </c>
    </row>
    <row r="20" spans="1:2" x14ac:dyDescent="0.2">
      <c r="B20" s="3" t="s">
        <v>240</v>
      </c>
    </row>
    <row r="21" spans="1:2" x14ac:dyDescent="0.2">
      <c r="B21" s="3" t="s">
        <v>241</v>
      </c>
    </row>
    <row r="22" spans="1:2" x14ac:dyDescent="0.2">
      <c r="B22" s="3" t="s">
        <v>242</v>
      </c>
    </row>
    <row r="23" spans="1:2" x14ac:dyDescent="0.2">
      <c r="B23" s="3" t="s">
        <v>243</v>
      </c>
    </row>
    <row r="24" spans="1:2" x14ac:dyDescent="0.2">
      <c r="B24" s="3" t="s">
        <v>244</v>
      </c>
    </row>
    <row r="25" spans="1:2" x14ac:dyDescent="0.2">
      <c r="B25" s="3" t="s">
        <v>245</v>
      </c>
    </row>
    <row r="27" spans="1:2" x14ac:dyDescent="0.2">
      <c r="A27" s="3" t="s">
        <v>246</v>
      </c>
    </row>
    <row r="29" spans="1:2" x14ac:dyDescent="0.2">
      <c r="B29" s="3" t="s">
        <v>247</v>
      </c>
    </row>
    <row r="30" spans="1:2" x14ac:dyDescent="0.2">
      <c r="B30" s="3" t="s">
        <v>248</v>
      </c>
    </row>
    <row r="31" spans="1:2" x14ac:dyDescent="0.2">
      <c r="B31" s="3" t="s">
        <v>249</v>
      </c>
    </row>
    <row r="32" spans="1:2" x14ac:dyDescent="0.2">
      <c r="B32" s="3" t="s">
        <v>250</v>
      </c>
    </row>
    <row r="33" spans="1:12" x14ac:dyDescent="0.2">
      <c r="B33" s="3" t="s">
        <v>251</v>
      </c>
    </row>
    <row r="34" spans="1:12" x14ac:dyDescent="0.2">
      <c r="B34" s="3" t="s">
        <v>252</v>
      </c>
    </row>
    <row r="35" spans="1:12" x14ac:dyDescent="0.2">
      <c r="B35" s="3" t="s">
        <v>253</v>
      </c>
    </row>
    <row r="37" spans="1:12" x14ac:dyDescent="0.2">
      <c r="A37" s="4" t="s">
        <v>254</v>
      </c>
      <c r="B37" s="5"/>
      <c r="C37" s="5"/>
      <c r="D37" s="5"/>
      <c r="E37" s="5"/>
      <c r="F37" s="5"/>
      <c r="G37" s="5"/>
      <c r="H37" s="5"/>
      <c r="I37" s="5"/>
      <c r="J37" s="5"/>
      <c r="K37" s="5"/>
      <c r="L37" s="5"/>
    </row>
    <row r="38" spans="1:12" x14ac:dyDescent="0.2">
      <c r="A38" s="4" t="s">
        <v>255</v>
      </c>
      <c r="B38" s="5"/>
      <c r="C38" s="5"/>
      <c r="D38" s="5"/>
      <c r="E38" s="5"/>
      <c r="F38" s="5"/>
      <c r="G38" s="5"/>
      <c r="H38" s="5"/>
      <c r="I38" s="5"/>
      <c r="J38" s="5"/>
      <c r="K38" s="5"/>
      <c r="L38" s="5"/>
    </row>
    <row r="39" spans="1:12" x14ac:dyDescent="0.2">
      <c r="A39" s="4" t="s">
        <v>256</v>
      </c>
      <c r="B39" s="5"/>
      <c r="C39" s="5"/>
      <c r="D39" s="5"/>
      <c r="E39" s="5"/>
      <c r="F39" s="5"/>
      <c r="G39" s="5"/>
      <c r="H39" s="5"/>
      <c r="I39" s="5"/>
      <c r="J39" s="5"/>
      <c r="K39" s="5"/>
      <c r="L39" s="5"/>
    </row>
    <row r="44" spans="1:12" x14ac:dyDescent="0.2">
      <c r="A44" s="541"/>
      <c r="B44" s="541"/>
      <c r="C44" s="541"/>
      <c r="D44" s="541"/>
      <c r="E44" s="541"/>
      <c r="H44" s="542"/>
      <c r="I44" s="542"/>
    </row>
    <row r="45" spans="1:12" x14ac:dyDescent="0.2">
      <c r="A45" s="538" t="s">
        <v>257</v>
      </c>
      <c r="B45" s="538"/>
      <c r="C45" s="538"/>
      <c r="D45" s="538"/>
      <c r="E45" s="538"/>
      <c r="H45" s="539" t="s">
        <v>258</v>
      </c>
      <c r="I45" s="539"/>
    </row>
    <row r="47" spans="1:12" x14ac:dyDescent="0.2">
      <c r="A47" s="6" t="s">
        <v>259</v>
      </c>
      <c r="B47" s="6"/>
    </row>
    <row r="48" spans="1:12" x14ac:dyDescent="0.2">
      <c r="A48" s="6"/>
      <c r="B48" s="6"/>
    </row>
  </sheetData>
  <sheetProtection sheet="1" objects="1" scenarios="1" selectLockedCells="1"/>
  <mergeCells count="11">
    <mergeCell ref="A1:L1"/>
    <mergeCell ref="A2:L2"/>
    <mergeCell ref="A3:L3"/>
    <mergeCell ref="D7:F7"/>
    <mergeCell ref="A45:E45"/>
    <mergeCell ref="H45:I45"/>
    <mergeCell ref="D8:H8"/>
    <mergeCell ref="D9:F9"/>
    <mergeCell ref="E14:F14"/>
    <mergeCell ref="A44:E44"/>
    <mergeCell ref="H44:I44"/>
  </mergeCells>
  <phoneticPr fontId="30" type="noConversion"/>
  <pageMargins left="0.75" right="0.75" top="0.65" bottom="0.7" header="0.32" footer="0.37"/>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BR Summary</vt:lpstr>
      <vt:lpstr>Traffic &amp; Accidents</vt:lpstr>
      <vt:lpstr>Structure</vt:lpstr>
      <vt:lpstr>Geometry</vt:lpstr>
      <vt:lpstr>BR Rehab.</vt:lpstr>
      <vt:lpstr>Engineer's 3R letter</vt:lpstr>
      <vt:lpstr>'BR Rehab.'!Print_Area</vt:lpstr>
      <vt:lpstr>'BR Summary'!Print_Area</vt:lpstr>
      <vt:lpstr>Geometry!Print_Area</vt:lpstr>
      <vt:lpstr>Structure!Print_Area</vt:lpstr>
      <vt:lpstr>'Traffic &amp; Accidents'!Print_Area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Randy Hart</dc:creator>
  <cp:lastModifiedBy>Johnson, Steve (CRAB)</cp:lastModifiedBy>
  <cp:lastPrinted>2018-04-11T22:33:23Z</cp:lastPrinted>
  <dcterms:created xsi:type="dcterms:W3CDTF">2001-04-16T16:59:49Z</dcterms:created>
  <dcterms:modified xsi:type="dcterms:W3CDTF">2022-06-22T18:14:02Z</dcterms:modified>
</cp:coreProperties>
</file>