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teve.Johnson\Worksheets 21-23\NE\"/>
    </mc:Choice>
  </mc:AlternateContent>
  <bookViews>
    <workbookView xWindow="0" yWindow="0" windowWidth="28800" windowHeight="12300" tabRatio="791"/>
  </bookViews>
  <sheets>
    <sheet name="RC RATING SUMMARY" sheetId="3" r:id="rId1"/>
    <sheet name="TRAFFIC &amp; ACCIDENTS" sheetId="11" r:id="rId2"/>
    <sheet name="Local &amp; Links" sheetId="14" r:id="rId3"/>
    <sheet name="STRUCTURE" sheetId="12" r:id="rId4"/>
    <sheet name="GEOMETRY" sheetId="13" r:id="rId5"/>
    <sheet name="Dev. Request" sheetId="9" r:id="rId6"/>
    <sheet name="USCS" sheetId="6" r:id="rId7"/>
  </sheets>
  <definedNames>
    <definedName name="_xlnm.Print_Area" localSheetId="4">GEOMETRY!$B$2:$N$39</definedName>
    <definedName name="_xlnm.Print_Area" localSheetId="0">'RC RATING SUMMARY'!#REF!,'RC RATING SUMMARY'!$B$3:$M$55</definedName>
    <definedName name="_xlnm.Print_Area" localSheetId="3">STRUCTURE!$B$4:$L$20,STRUCTURE!$B$43:$L$104,STRUCTURE!$B$107:$L$168</definedName>
    <definedName name="_xlnm.Print_Area" localSheetId="1">'TRAFFIC &amp; ACCIDENTS'!$B$4:$M$19</definedName>
  </definedNames>
  <calcPr calcId="162913"/>
</workbook>
</file>

<file path=xl/calcChain.xml><?xml version="1.0" encoding="utf-8"?>
<calcChain xmlns="http://schemas.openxmlformats.org/spreadsheetml/2006/main">
  <c r="K27" i="3" l="1"/>
  <c r="K25" i="3"/>
  <c r="H111" i="13" l="1"/>
  <c r="E111" i="13"/>
  <c r="H110" i="13"/>
  <c r="E110" i="13"/>
  <c r="M132" i="13" s="1"/>
  <c r="H109" i="13"/>
  <c r="E109" i="13"/>
  <c r="C131" i="13" s="1"/>
  <c r="H108" i="13"/>
  <c r="E108" i="13"/>
  <c r="F108" i="13" s="1"/>
  <c r="G32" i="13" s="1"/>
  <c r="H107" i="13"/>
  <c r="E107" i="13"/>
  <c r="C129" i="13" s="1"/>
  <c r="H106" i="13"/>
  <c r="E106" i="13"/>
  <c r="H105" i="13"/>
  <c r="E105" i="13"/>
  <c r="F105" i="13" s="1"/>
  <c r="G29" i="13" s="1"/>
  <c r="H104" i="13"/>
  <c r="E104" i="13"/>
  <c r="H103" i="13"/>
  <c r="E103" i="13"/>
  <c r="V158" i="13"/>
  <c r="H102" i="13"/>
  <c r="E102" i="13"/>
  <c r="M124" i="13" s="1"/>
  <c r="L124" i="13" s="1"/>
  <c r="K124" i="13" s="1"/>
  <c r="J124" i="13" s="1"/>
  <c r="I124" i="13" s="1"/>
  <c r="H124" i="13" s="1"/>
  <c r="G124" i="13" s="1"/>
  <c r="F124" i="13" s="1"/>
  <c r="E124" i="13" s="1"/>
  <c r="D124" i="13" s="1"/>
  <c r="V157" i="13"/>
  <c r="H101" i="13"/>
  <c r="E101" i="13"/>
  <c r="V156" i="13"/>
  <c r="H100" i="13"/>
  <c r="E100" i="13"/>
  <c r="M122" i="13" s="1"/>
  <c r="V155" i="13"/>
  <c r="H99" i="13"/>
  <c r="E99" i="13"/>
  <c r="M121" i="13" s="1"/>
  <c r="V154" i="13"/>
  <c r="H98" i="13"/>
  <c r="E98" i="13"/>
  <c r="V153" i="13"/>
  <c r="V152" i="13"/>
  <c r="V151" i="13"/>
  <c r="V150" i="13"/>
  <c r="V149" i="13"/>
  <c r="Q149" i="13"/>
  <c r="V148" i="13"/>
  <c r="Q148" i="13"/>
  <c r="V147" i="13"/>
  <c r="Q147" i="13"/>
  <c r="V146" i="13"/>
  <c r="V145" i="13"/>
  <c r="S89" i="13"/>
  <c r="S88" i="13"/>
  <c r="S87" i="13"/>
  <c r="Q139" i="13"/>
  <c r="S157" i="13" s="1"/>
  <c r="E11" i="11"/>
  <c r="L81" i="13" s="1"/>
  <c r="K47" i="13"/>
  <c r="C47" i="13"/>
  <c r="K45" i="13"/>
  <c r="C45" i="13"/>
  <c r="F37" i="13"/>
  <c r="J165" i="12"/>
  <c r="C160" i="12"/>
  <c r="F160" i="12" s="1"/>
  <c r="C159" i="12"/>
  <c r="G159" i="12" s="1"/>
  <c r="C158" i="12"/>
  <c r="F158" i="12" s="1"/>
  <c r="C157" i="12"/>
  <c r="F157" i="12" s="1"/>
  <c r="I149" i="12"/>
  <c r="J149" i="12" s="1"/>
  <c r="K149" i="12" s="1"/>
  <c r="I148" i="12"/>
  <c r="J148" i="12" s="1"/>
  <c r="K148" i="12" s="1"/>
  <c r="I147" i="12"/>
  <c r="J147" i="12" s="1"/>
  <c r="K147" i="12" s="1"/>
  <c r="I146" i="12"/>
  <c r="J146" i="12" s="1"/>
  <c r="K146" i="12" s="1"/>
  <c r="I145" i="12"/>
  <c r="J145" i="12"/>
  <c r="K145" i="12" s="1"/>
  <c r="J136" i="12"/>
  <c r="J163" i="12" s="1"/>
  <c r="K103" i="12"/>
  <c r="K19" i="12"/>
  <c r="L19" i="12" s="1"/>
  <c r="C19" i="12"/>
  <c r="B19" i="12"/>
  <c r="K18" i="12"/>
  <c r="L18" i="12" s="1"/>
  <c r="C18" i="12"/>
  <c r="B18" i="12"/>
  <c r="K17" i="12"/>
  <c r="L17" i="12" s="1"/>
  <c r="C17" i="12"/>
  <c r="B17" i="12"/>
  <c r="K16" i="12"/>
  <c r="L16" i="12" s="1"/>
  <c r="C16" i="12"/>
  <c r="B16" i="12"/>
  <c r="C15" i="12"/>
  <c r="B15" i="12"/>
  <c r="I17" i="11"/>
  <c r="I16" i="11"/>
  <c r="I15" i="11"/>
  <c r="I14" i="11"/>
  <c r="I13" i="11"/>
  <c r="I12" i="11"/>
  <c r="I11" i="11"/>
  <c r="I10" i="11"/>
  <c r="I18" i="11" s="1"/>
  <c r="K19" i="3" s="1"/>
  <c r="I9" i="11"/>
  <c r="I8" i="11"/>
  <c r="G31" i="11"/>
  <c r="AH88" i="13" s="1"/>
  <c r="J31" i="11"/>
  <c r="I49" i="11"/>
  <c r="I53" i="11" s="1"/>
  <c r="I51" i="11"/>
  <c r="P35" i="3"/>
  <c r="K35" i="3"/>
  <c r="I32" i="3"/>
  <c r="I50" i="3"/>
  <c r="C132" i="13"/>
  <c r="C130" i="13"/>
  <c r="P45" i="11"/>
  <c r="C133" i="13"/>
  <c r="M133" i="13"/>
  <c r="L133" i="13" s="1"/>
  <c r="K133" i="13" s="1"/>
  <c r="J133" i="13" s="1"/>
  <c r="I133" i="13" s="1"/>
  <c r="H133" i="13" s="1"/>
  <c r="G133" i="13" s="1"/>
  <c r="F133" i="13" s="1"/>
  <c r="E133" i="13" s="1"/>
  <c r="D133" i="13" s="1"/>
  <c r="F111" i="13"/>
  <c r="G35" i="13" s="1"/>
  <c r="C128" i="13"/>
  <c r="F106" i="13"/>
  <c r="G30" i="13" s="1"/>
  <c r="M123" i="13"/>
  <c r="L123" i="13"/>
  <c r="K123" i="13" s="1"/>
  <c r="J123" i="13" s="1"/>
  <c r="I123" i="13" s="1"/>
  <c r="H123" i="13" s="1"/>
  <c r="G123" i="13" s="1"/>
  <c r="F123" i="13" s="1"/>
  <c r="E123" i="13" s="1"/>
  <c r="D123" i="13" s="1"/>
  <c r="C123" i="13"/>
  <c r="F101" i="13"/>
  <c r="G25" i="13" s="1"/>
  <c r="M130" i="13"/>
  <c r="L130" i="13"/>
  <c r="K130" i="13" s="1"/>
  <c r="J130" i="13" s="1"/>
  <c r="I130" i="13" s="1"/>
  <c r="H130" i="13" s="1"/>
  <c r="G130" i="13" s="1"/>
  <c r="F130" i="13" s="1"/>
  <c r="E130" i="13" s="1"/>
  <c r="D130" i="13" s="1"/>
  <c r="C127" i="13"/>
  <c r="M127" i="13"/>
  <c r="L127" i="13"/>
  <c r="K127" i="13"/>
  <c r="J127" i="13" s="1"/>
  <c r="I127" i="13" s="1"/>
  <c r="H127" i="13" s="1"/>
  <c r="G127" i="13" s="1"/>
  <c r="F127" i="13" s="1"/>
  <c r="E127" i="13" s="1"/>
  <c r="D127" i="13" s="1"/>
  <c r="F110" i="13"/>
  <c r="G34" i="13" s="1"/>
  <c r="M125" i="13"/>
  <c r="L125" i="13" s="1"/>
  <c r="K125" i="13" s="1"/>
  <c r="J125" i="13" s="1"/>
  <c r="I125" i="13" s="1"/>
  <c r="H125" i="13" s="1"/>
  <c r="G125" i="13" s="1"/>
  <c r="F125" i="13" s="1"/>
  <c r="E125" i="13" s="1"/>
  <c r="D125" i="13" s="1"/>
  <c r="C125" i="13"/>
  <c r="F103" i="13"/>
  <c r="G27" i="13" s="1"/>
  <c r="M126" i="13"/>
  <c r="L126" i="13"/>
  <c r="K126" i="13" s="1"/>
  <c r="J126" i="13" s="1"/>
  <c r="I126" i="13" s="1"/>
  <c r="H126" i="13" s="1"/>
  <c r="G126" i="13" s="1"/>
  <c r="F126" i="13" s="1"/>
  <c r="E126" i="13" s="1"/>
  <c r="D126" i="13" s="1"/>
  <c r="C126" i="13"/>
  <c r="F104" i="13"/>
  <c r="G28" i="13" s="1"/>
  <c r="G160" i="12"/>
  <c r="P44" i="11"/>
  <c r="P43" i="11"/>
  <c r="P42" i="11"/>
  <c r="P41" i="11"/>
  <c r="P40" i="11"/>
  <c r="P39" i="11"/>
  <c r="P38" i="11"/>
  <c r="P37" i="11"/>
  <c r="P36" i="11"/>
  <c r="G157" i="12" l="1"/>
  <c r="B20" i="12"/>
  <c r="C20" i="12" s="1"/>
  <c r="P37" i="3" s="1"/>
  <c r="K34" i="3" s="1"/>
  <c r="K151" i="12"/>
  <c r="F159" i="12"/>
  <c r="J166" i="12" s="1"/>
  <c r="L20" i="12"/>
  <c r="K20" i="12" s="1"/>
  <c r="P39" i="3" s="1"/>
  <c r="K36" i="3" s="1"/>
  <c r="G158" i="12"/>
  <c r="G161" i="12" s="1"/>
  <c r="K150" i="12"/>
  <c r="J150" i="12" s="1"/>
  <c r="J164" i="12" s="1"/>
  <c r="K32" i="3"/>
  <c r="I37" i="3"/>
  <c r="F114" i="13"/>
  <c r="I54" i="11"/>
  <c r="O44" i="11"/>
  <c r="O43" i="11"/>
  <c r="F57" i="13"/>
  <c r="O42" i="11"/>
  <c r="O41" i="11" s="1"/>
  <c r="O40" i="11" s="1"/>
  <c r="O39" i="11" s="1"/>
  <c r="O38" i="11" s="1"/>
  <c r="O37" i="11" s="1"/>
  <c r="O36" i="11" s="1"/>
  <c r="K42" i="11" s="1"/>
  <c r="K18" i="3" s="1"/>
  <c r="S156" i="13"/>
  <c r="R156" i="13" s="1"/>
  <c r="F102" i="13"/>
  <c r="G26" i="13" s="1"/>
  <c r="M131" i="13"/>
  <c r="L131" i="13" s="1"/>
  <c r="K131" i="13" s="1"/>
  <c r="J131" i="13" s="1"/>
  <c r="I131" i="13" s="1"/>
  <c r="H131" i="13" s="1"/>
  <c r="G131" i="13" s="1"/>
  <c r="F131" i="13" s="1"/>
  <c r="E131" i="13" s="1"/>
  <c r="D131" i="13" s="1"/>
  <c r="F109" i="13"/>
  <c r="G33" i="13" s="1"/>
  <c r="C124" i="13"/>
  <c r="F107" i="13"/>
  <c r="G31" i="13" s="1"/>
  <c r="H112" i="13"/>
  <c r="H113" i="13" s="1"/>
  <c r="L80" i="13" s="1"/>
  <c r="L82" i="13" s="1"/>
  <c r="L132" i="13"/>
  <c r="K132" i="13" s="1"/>
  <c r="J132" i="13" s="1"/>
  <c r="I132" i="13" s="1"/>
  <c r="H132" i="13" s="1"/>
  <c r="G132" i="13" s="1"/>
  <c r="F132" i="13" s="1"/>
  <c r="E132" i="13" s="1"/>
  <c r="D132" i="13" s="1"/>
  <c r="S155" i="13"/>
  <c r="R155" i="13" s="1"/>
  <c r="F100" i="13"/>
  <c r="G24" i="13" s="1"/>
  <c r="C122" i="13"/>
  <c r="M128" i="13"/>
  <c r="L128" i="13" s="1"/>
  <c r="K128" i="13" s="1"/>
  <c r="J128" i="13" s="1"/>
  <c r="I128" i="13" s="1"/>
  <c r="H128" i="13" s="1"/>
  <c r="G128" i="13" s="1"/>
  <c r="F128" i="13" s="1"/>
  <c r="E128" i="13" s="1"/>
  <c r="D128" i="13" s="1"/>
  <c r="M129" i="13"/>
  <c r="L129" i="13" s="1"/>
  <c r="K129" i="13" s="1"/>
  <c r="J129" i="13" s="1"/>
  <c r="I129" i="13" s="1"/>
  <c r="H129" i="13" s="1"/>
  <c r="G129" i="13" s="1"/>
  <c r="F129" i="13" s="1"/>
  <c r="E129" i="13" s="1"/>
  <c r="D129" i="13" s="1"/>
  <c r="L121" i="13"/>
  <c r="K121" i="13" s="1"/>
  <c r="J121" i="13" s="1"/>
  <c r="I121" i="13" s="1"/>
  <c r="H121" i="13" s="1"/>
  <c r="G121" i="13" s="1"/>
  <c r="F121" i="13" s="1"/>
  <c r="E121" i="13" s="1"/>
  <c r="D121" i="13" s="1"/>
  <c r="C121" i="13" s="1"/>
  <c r="F99" i="13" s="1"/>
  <c r="G23" i="13" s="1"/>
  <c r="L122" i="13"/>
  <c r="K122" i="13" s="1"/>
  <c r="J122" i="13" s="1"/>
  <c r="I122" i="13" s="1"/>
  <c r="H122" i="13" s="1"/>
  <c r="G122" i="13" s="1"/>
  <c r="F122" i="13" s="1"/>
  <c r="E122" i="13" s="1"/>
  <c r="D122" i="13" s="1"/>
  <c r="R157" i="13"/>
  <c r="Q157" i="13" s="1"/>
  <c r="Q156" i="13" s="1"/>
  <c r="Q155" i="13" s="1"/>
  <c r="S152" i="13" s="1"/>
  <c r="O45" i="11"/>
  <c r="X88" i="13"/>
  <c r="W88" i="13" s="1"/>
  <c r="X87" i="13"/>
  <c r="W87" i="13" s="1"/>
  <c r="M57" i="13"/>
  <c r="X89" i="13"/>
  <c r="W89" i="13" s="1"/>
  <c r="V89" i="13" s="1"/>
  <c r="M120" i="13"/>
  <c r="L120" i="13" s="1"/>
  <c r="K120" i="13" s="1"/>
  <c r="J120" i="13" s="1"/>
  <c r="I120" i="13" s="1"/>
  <c r="H120" i="13" s="1"/>
  <c r="G120" i="13" s="1"/>
  <c r="F120" i="13" s="1"/>
  <c r="E120" i="13" s="1"/>
  <c r="D120" i="13" s="1"/>
  <c r="C120" i="13" s="1"/>
  <c r="F98" i="13" s="1"/>
  <c r="K152" i="12" l="1"/>
  <c r="F161" i="12"/>
  <c r="J168" i="12"/>
  <c r="K37" i="3"/>
  <c r="K38" i="3" s="1"/>
  <c r="K57" i="11"/>
  <c r="K59" i="11" s="1"/>
  <c r="K20" i="3" s="1"/>
  <c r="I55" i="11"/>
  <c r="W145" i="13"/>
  <c r="AA145" i="13" s="1"/>
  <c r="W155" i="13"/>
  <c r="AA155" i="13" s="1"/>
  <c r="Z155" i="13" s="1"/>
  <c r="Y155" i="13" s="1"/>
  <c r="W152" i="13"/>
  <c r="X152" i="13" s="1"/>
  <c r="W157" i="13"/>
  <c r="AA157" i="13" s="1"/>
  <c r="Z157" i="13" s="1"/>
  <c r="Y157" i="13" s="1"/>
  <c r="W147" i="13"/>
  <c r="AA147" i="13" s="1"/>
  <c r="Z147" i="13" s="1"/>
  <c r="Y147" i="13" s="1"/>
  <c r="W153" i="13"/>
  <c r="AA153" i="13" s="1"/>
  <c r="Z153" i="13" s="1"/>
  <c r="Y153" i="13" s="1"/>
  <c r="W156" i="13"/>
  <c r="X156" i="13" s="1"/>
  <c r="W149" i="13"/>
  <c r="X149" i="13" s="1"/>
  <c r="W146" i="13"/>
  <c r="X146" i="13" s="1"/>
  <c r="W151" i="13"/>
  <c r="X151" i="13" s="1"/>
  <c r="W158" i="13"/>
  <c r="X158" i="13" s="1"/>
  <c r="W148" i="13"/>
  <c r="X148" i="13" s="1"/>
  <c r="W150" i="13"/>
  <c r="X150" i="13" s="1"/>
  <c r="W154" i="13"/>
  <c r="X154" i="13" s="1"/>
  <c r="V88" i="13"/>
  <c r="V87" i="13" s="1"/>
  <c r="V91" i="13" s="1"/>
  <c r="G105" i="13" s="1"/>
  <c r="I105" i="13" s="1"/>
  <c r="AA152" i="13"/>
  <c r="Z152" i="13" s="1"/>
  <c r="Y152" i="13" s="1"/>
  <c r="X155" i="13"/>
  <c r="G22" i="13"/>
  <c r="X157" i="13" l="1"/>
  <c r="AA158" i="13"/>
  <c r="Z158" i="13" s="1"/>
  <c r="Y158" i="13" s="1"/>
  <c r="K21" i="3"/>
  <c r="X147" i="13"/>
  <c r="AA148" i="13"/>
  <c r="Z148" i="13" s="1"/>
  <c r="Y148" i="13" s="1"/>
  <c r="AA146" i="13"/>
  <c r="Z146" i="13" s="1"/>
  <c r="Y146" i="13" s="1"/>
  <c r="AA156" i="13"/>
  <c r="Z156" i="13" s="1"/>
  <c r="Y156" i="13" s="1"/>
  <c r="AA149" i="13"/>
  <c r="Z149" i="13" s="1"/>
  <c r="Y149" i="13" s="1"/>
  <c r="AA151" i="13"/>
  <c r="Z151" i="13" s="1"/>
  <c r="Y151" i="13" s="1"/>
  <c r="G102" i="13"/>
  <c r="I102" i="13" s="1"/>
  <c r="X153" i="13"/>
  <c r="AA150" i="13"/>
  <c r="Z150" i="13" s="1"/>
  <c r="Y150" i="13" s="1"/>
  <c r="AG89" i="13"/>
  <c r="AG88" i="13" s="1"/>
  <c r="AF89" i="13" s="1"/>
  <c r="AF88" i="13" s="1"/>
  <c r="G104" i="13"/>
  <c r="I104" i="13" s="1"/>
  <c r="G108" i="13"/>
  <c r="I108" i="13" s="1"/>
  <c r="G100" i="13"/>
  <c r="I100" i="13" s="1"/>
  <c r="G98" i="13"/>
  <c r="I98" i="13" s="1"/>
  <c r="G103" i="13"/>
  <c r="I103" i="13" s="1"/>
  <c r="AA154" i="13"/>
  <c r="Z154" i="13" s="1"/>
  <c r="Y154" i="13" s="1"/>
  <c r="G101" i="13"/>
  <c r="I101" i="13" s="1"/>
  <c r="E58" i="13"/>
  <c r="E57" i="13" s="1"/>
  <c r="D58" i="13" s="1"/>
  <c r="D57" i="13" s="1"/>
  <c r="C58" i="13" s="1"/>
  <c r="C57" i="13" s="1"/>
  <c r="C51" i="13" s="1"/>
  <c r="N6" i="13" s="1"/>
  <c r="G106" i="13"/>
  <c r="I106" i="13" s="1"/>
  <c r="G107" i="13"/>
  <c r="I107" i="13" s="1"/>
  <c r="H9" i="13"/>
  <c r="L58" i="13"/>
  <c r="L57" i="13" s="1"/>
  <c r="K58" i="13" s="1"/>
  <c r="K57" i="13" s="1"/>
  <c r="J58" i="13" s="1"/>
  <c r="J57" i="13" s="1"/>
  <c r="K51" i="13" s="1"/>
  <c r="N7" i="13" s="1"/>
  <c r="G111" i="13"/>
  <c r="I111" i="13" s="1"/>
  <c r="G110" i="13"/>
  <c r="I110" i="13" s="1"/>
  <c r="G99" i="13"/>
  <c r="I99" i="13" s="1"/>
  <c r="G109" i="13"/>
  <c r="I109" i="13" s="1"/>
  <c r="Z145" i="13"/>
  <c r="H23" i="13" l="1"/>
  <c r="F23" i="13" s="1"/>
  <c r="B25" i="13"/>
  <c r="B33" i="13"/>
  <c r="B28" i="13"/>
  <c r="B31" i="13"/>
  <c r="B32" i="13"/>
  <c r="B26" i="13"/>
  <c r="B34" i="13"/>
  <c r="B27" i="13"/>
  <c r="B35" i="13"/>
  <c r="B22" i="13"/>
  <c r="B24" i="13"/>
  <c r="B29" i="13"/>
  <c r="B30" i="13"/>
  <c r="B23" i="13"/>
  <c r="M23" i="13"/>
  <c r="M24" i="13"/>
  <c r="H22" i="13"/>
  <c r="F22" i="13" s="1"/>
  <c r="L25" i="13"/>
  <c r="L33" i="13"/>
  <c r="H31" i="13"/>
  <c r="L32" i="13"/>
  <c r="M31" i="13"/>
  <c r="L34" i="13"/>
  <c r="M33" i="13"/>
  <c r="J46" i="3" s="1"/>
  <c r="L24" i="13"/>
  <c r="H28" i="13"/>
  <c r="M35" i="13"/>
  <c r="L29" i="13"/>
  <c r="L28" i="13"/>
  <c r="M30" i="13"/>
  <c r="L26" i="13"/>
  <c r="H27" i="13"/>
  <c r="F33" i="13"/>
  <c r="F25" i="13"/>
  <c r="F32" i="13"/>
  <c r="F24" i="13"/>
  <c r="F31" i="13"/>
  <c r="F30" i="13"/>
  <c r="F28" i="13"/>
  <c r="F27" i="13"/>
  <c r="F26" i="13"/>
  <c r="F29" i="13"/>
  <c r="F35" i="13"/>
  <c r="F34" i="13"/>
  <c r="H32" i="13"/>
  <c r="H35" i="13"/>
  <c r="H30" i="13"/>
  <c r="M68" i="13"/>
  <c r="M67" i="13" s="1"/>
  <c r="M66" i="13" s="1"/>
  <c r="M65" i="13" s="1"/>
  <c r="M64" i="13" s="1"/>
  <c r="M63" i="13" s="1"/>
  <c r="Q46" i="3" s="1"/>
  <c r="M22" i="13"/>
  <c r="L22" i="13" s="1"/>
  <c r="L31" i="13"/>
  <c r="M26" i="13"/>
  <c r="H29" i="13"/>
  <c r="M27" i="13"/>
  <c r="H25" i="13"/>
  <c r="M28" i="13"/>
  <c r="H33" i="13"/>
  <c r="M29" i="13"/>
  <c r="H34" i="13"/>
  <c r="L35" i="13"/>
  <c r="H24" i="13"/>
  <c r="H26" i="13"/>
  <c r="I112" i="13"/>
  <c r="G117" i="13" s="1"/>
  <c r="L86" i="13" s="1"/>
  <c r="L30" i="13"/>
  <c r="L27" i="13"/>
  <c r="J43" i="3"/>
  <c r="M32" i="13"/>
  <c r="L23" i="13"/>
  <c r="J18" i="13"/>
  <c r="M34" i="13"/>
  <c r="F68" i="13"/>
  <c r="F67" i="13" s="1"/>
  <c r="F66" i="13" s="1"/>
  <c r="F65" i="13" s="1"/>
  <c r="F64" i="13" s="1"/>
  <c r="F63" i="13" s="1"/>
  <c r="F62" i="13" s="1"/>
  <c r="Q45" i="3" s="1"/>
  <c r="M25" i="13"/>
  <c r="J44" i="3"/>
  <c r="Y145" i="13"/>
  <c r="F36" i="13" l="1"/>
  <c r="D18" i="13" s="1"/>
  <c r="X145" i="13"/>
  <c r="X159" i="13" s="1"/>
  <c r="Y159" i="13" s="1"/>
  <c r="Z159" i="13" s="1"/>
  <c r="AA159" i="13" s="1"/>
  <c r="K156" i="13" s="1"/>
  <c r="M62" i="13"/>
  <c r="P46" i="3" s="1"/>
  <c r="K44" i="3" s="1"/>
  <c r="P45" i="3"/>
  <c r="K43" i="3" s="1"/>
  <c r="L36" i="13"/>
  <c r="K45" i="3" l="1"/>
  <c r="B37" i="13"/>
  <c r="C37" i="13" s="1"/>
  <c r="J45" i="3"/>
  <c r="J19" i="13"/>
  <c r="K46" i="3" s="1"/>
  <c r="K47" i="3" l="1"/>
  <c r="K50" i="3" l="1"/>
</calcChain>
</file>

<file path=xl/sharedStrings.xml><?xml version="1.0" encoding="utf-8"?>
<sst xmlns="http://schemas.openxmlformats.org/spreadsheetml/2006/main" count="605" uniqueCount="458">
  <si>
    <t>Possible</t>
  </si>
  <si>
    <t xml:space="preserve">Scored </t>
  </si>
  <si>
    <t xml:space="preserve">                                                                      </t>
  </si>
  <si>
    <t>Points</t>
  </si>
  <si>
    <t xml:space="preserve"> </t>
  </si>
  <si>
    <t>Subtotal</t>
  </si>
  <si>
    <t>GRAVEL</t>
  </si>
  <si>
    <t>SURFACED</t>
  </si>
  <si>
    <t>Surface Condition</t>
  </si>
  <si>
    <t>Drainage</t>
  </si>
  <si>
    <t>Subsurface Condition</t>
  </si>
  <si>
    <t xml:space="preserve">Note: </t>
  </si>
  <si>
    <t xml:space="preserve"> -Proposals below design standards require WSDOT deviation approval.</t>
  </si>
  <si>
    <t>Calculation Table</t>
  </si>
  <si>
    <t>VOLUME (7 Points Max.)</t>
  </si>
  <si>
    <t>AADT =</t>
  </si>
  <si>
    <t>TRUCK AADT =</t>
  </si>
  <si>
    <t>CALC</t>
  </si>
  <si>
    <t xml:space="preserve">Note: Use the larger of AADT or Truck AADT.  All traffic data  </t>
  </si>
  <si>
    <t>AADT</t>
  </si>
  <si>
    <t>TRUCK AADT</t>
  </si>
  <si>
    <t xml:space="preserve">   shall be adjusted to reflect average annual daily traffic (AADT).</t>
  </si>
  <si>
    <t>POINTS</t>
  </si>
  <si>
    <t xml:space="preserve">                                                                         </t>
  </si>
  <si>
    <t>1-100</t>
  </si>
  <si>
    <t>101-200</t>
  </si>
  <si>
    <t>201-300</t>
  </si>
  <si>
    <t>301-450</t>
  </si>
  <si>
    <t>451-600</t>
  </si>
  <si>
    <t>601-750</t>
  </si>
  <si>
    <t>Trk AADT</t>
  </si>
  <si>
    <t>1-10</t>
  </si>
  <si>
    <t>11-20</t>
  </si>
  <si>
    <t>21-30</t>
  </si>
  <si>
    <t>31-45</t>
  </si>
  <si>
    <t>46-60</t>
  </si>
  <si>
    <t>61-75</t>
  </si>
  <si>
    <t>TRAFFIC VOLUME SUBTOTAL</t>
  </si>
  <si>
    <t>=</t>
  </si>
  <si>
    <t>Total</t>
  </si>
  <si>
    <t xml:space="preserve">  </t>
  </si>
  <si>
    <t>(Page to be filled out by RAP Engineer)</t>
  </si>
  <si>
    <t>(Intermediate values on scales are acceptable)</t>
  </si>
  <si>
    <t>Excellent</t>
  </si>
  <si>
    <t>Tight surface with no slick or porous areas,</t>
  </si>
  <si>
    <t xml:space="preserve"> no cracks or spalling   </t>
  </si>
  <si>
    <t>Good</t>
  </si>
  <si>
    <t>Only minor, localized transverse cracks,</t>
  </si>
  <si>
    <t xml:space="preserve"> slick or porous areas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</si>
  <si>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</si>
  <si>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</si>
  <si>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</si>
  <si>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</si>
  <si>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</si>
  <si>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</si>
  <si>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</si>
  <si>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</si>
  <si>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</si>
  <si>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</si>
  <si>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</si>
  <si>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</si>
  <si>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</si>
  <si>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</si>
  <si>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</si>
  <si>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</si>
  <si>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>*  Intermediate values are acceptable</t>
  </si>
  <si>
    <t xml:space="preserve">2. DRAINAGE (15 pts Max)  </t>
  </si>
  <si>
    <t>Good/Adequate = 2</t>
  </si>
  <si>
    <t xml:space="preserve">   Fair = 7</t>
  </si>
  <si>
    <t>Poor = 15</t>
  </si>
  <si>
    <t xml:space="preserve">No signs of displacement or settling                   </t>
  </si>
  <si>
    <t xml:space="preserve">Minor localized sags along shoulder                    </t>
  </si>
  <si>
    <t xml:space="preserve">Moderate alligator cracking mid lane, some sags on </t>
  </si>
  <si>
    <t xml:space="preserve">     shoulders and  mid lane, minor localized settling</t>
  </si>
  <si>
    <t xml:space="preserve">Large areas of heavy alligator cracking, </t>
  </si>
  <si>
    <t xml:space="preserve">     extensive sagging and settling.</t>
  </si>
  <si>
    <t>Very Poor</t>
  </si>
  <si>
    <t xml:space="preserve">Major subgrade deterioration;  extensive deep sags and  </t>
  </si>
  <si>
    <t xml:space="preserve">     settling;  heavy alligator cracking throughout section.</t>
  </si>
  <si>
    <t>Structural Condition - Paved Only</t>
  </si>
  <si>
    <t>(Note: Round rating to nearest whole number)</t>
  </si>
  <si>
    <t>Adequate amount of surface material of proper gradation</t>
  </si>
  <si>
    <t>and well fractured.</t>
  </si>
  <si>
    <t>Some material but over sized gradation or poorly</t>
  </si>
  <si>
    <t xml:space="preserve"> fractured.</t>
  </si>
  <si>
    <t>No surface material, large loose stones, barely travelable.</t>
  </si>
  <si>
    <t xml:space="preserve">If traffic volumes and speed are such that excessive maintenance is </t>
  </si>
  <si>
    <t>required, a maximum rating may be applied.</t>
  </si>
  <si>
    <t>POINTS:</t>
  </si>
  <si>
    <t>&gt; 2000</t>
  </si>
  <si>
    <t>Proposed</t>
  </si>
  <si>
    <t>Design</t>
  </si>
  <si>
    <t>(Use stopping sight distance standard)</t>
  </si>
  <si>
    <t>Terrain</t>
  </si>
  <si>
    <t>Minimum Des. Speed Calc. Table</t>
  </si>
  <si>
    <r>
      <t xml:space="preserve">Length of substandard vertical curves in miles, </t>
    </r>
    <r>
      <rPr>
        <b/>
        <sz val="10"/>
        <rFont val="MS Sans Serif"/>
        <family val="2"/>
      </rPr>
      <t>CL</t>
    </r>
  </si>
  <si>
    <t>Flat</t>
  </si>
  <si>
    <r>
      <t xml:space="preserve">Project length in miles, </t>
    </r>
    <r>
      <rPr>
        <b/>
        <sz val="10"/>
        <rFont val="MS Sans Serif"/>
        <family val="2"/>
      </rPr>
      <t>PL</t>
    </r>
  </si>
  <si>
    <t>Rolling</t>
  </si>
  <si>
    <t>CL/PL</t>
  </si>
  <si>
    <t>%</t>
  </si>
  <si>
    <t>Mountainous</t>
  </si>
  <si>
    <t>Minimum Design Speed</t>
  </si>
  <si>
    <t>Speed</t>
  </si>
  <si>
    <t>PROJECT LENGTH</t>
  </si>
  <si>
    <t>FLAT</t>
  </si>
  <si>
    <t>ROLLING</t>
  </si>
  <si>
    <t>MOUNTAINOUS</t>
  </si>
  <si>
    <t>Exist.</t>
  </si>
  <si>
    <t>Curve No.</t>
  </si>
  <si>
    <t>Sight</t>
  </si>
  <si>
    <t>Distance</t>
  </si>
  <si>
    <t>TRUCK ADT</t>
  </si>
  <si>
    <t>From CRAB</t>
  </si>
  <si>
    <t>III. VERTICAL ALIGNMENT (10 Pts. Max.)</t>
  </si>
  <si>
    <t>1)</t>
  </si>
  <si>
    <r>
      <t xml:space="preserve">Determine safe speed - </t>
    </r>
    <r>
      <rPr>
        <b/>
        <sz val="10"/>
        <rFont val="MS Sans Serif"/>
        <family val="2"/>
      </rPr>
      <t>Vs</t>
    </r>
  </si>
  <si>
    <t>Safe</t>
  </si>
  <si>
    <t>Vs</t>
  </si>
  <si>
    <t>Vd</t>
  </si>
  <si>
    <t>Project Length in Miles</t>
  </si>
  <si>
    <t>Curve</t>
  </si>
  <si>
    <t>Length of</t>
  </si>
  <si>
    <t>Percent</t>
  </si>
  <si>
    <t>of</t>
  </si>
  <si>
    <t>Project</t>
  </si>
  <si>
    <t>Points Calculation:</t>
  </si>
  <si>
    <t>=%/2</t>
  </si>
  <si>
    <t>miles</t>
  </si>
  <si>
    <t>feet</t>
  </si>
  <si>
    <t xml:space="preserve"> -Points for the Structural Condition of Roads will be assigned by the RAP engineer</t>
  </si>
  <si>
    <t xml:space="preserve"> -No points are allowed for conditions which will not be improved by the proposed project</t>
  </si>
  <si>
    <t>VERTICAL CURVES:</t>
  </si>
  <si>
    <t>Curve, ft</t>
  </si>
  <si>
    <t>(check one)</t>
  </si>
  <si>
    <t>(Surface Condition and Drainage points to be filled out by RAP Engineer)</t>
  </si>
  <si>
    <t>Scored By CRAB</t>
  </si>
  <si>
    <t>Visual Surface Score</t>
  </si>
  <si>
    <t>from CRAB</t>
  </si>
  <si>
    <t>2. DRAINAGE  (10 Points Max.)</t>
  </si>
  <si>
    <t>3. BASE OR FOUNDATION CONDITION  (15 Points Max)</t>
  </si>
  <si>
    <t>Submit Test procedure and/or Data</t>
  </si>
  <si>
    <t>By Cores:  Dig or excavate down 3 ft with backhoe or auger.</t>
  </si>
  <si>
    <t xml:space="preserve"> Analyze material below surfacing.</t>
  </si>
  <si>
    <t>From Road Log</t>
  </si>
  <si>
    <t>CLASS</t>
  </si>
  <si>
    <t>SELECT ONE:</t>
  </si>
  <si>
    <t>T6 or T7</t>
  </si>
  <si>
    <t>T5</t>
  </si>
  <si>
    <t>T4</t>
  </si>
  <si>
    <t>T3</t>
  </si>
  <si>
    <t>Base</t>
  </si>
  <si>
    <t>Truck Rating</t>
  </si>
  <si>
    <t>Add 2 pts if:</t>
  </si>
  <si>
    <t>F/C = 07</t>
  </si>
  <si>
    <t>TOTAL GRAVEL STRUCTURAL RATING</t>
  </si>
  <si>
    <t>3. Freight and Goods Class</t>
  </si>
  <si>
    <t>SILT WITH CLAYS</t>
  </si>
  <si>
    <t>POSSIBLE:</t>
  </si>
  <si>
    <t>SCORE</t>
  </si>
  <si>
    <t>SELECTED:</t>
  </si>
  <si>
    <t>Intermediate values are acceptible</t>
  </si>
  <si>
    <t>Drainage Score</t>
  </si>
  <si>
    <t>SCORE:</t>
  </si>
  <si>
    <t>Visual Rating</t>
  </si>
  <si>
    <t>STRUCTURAL CONDITION:</t>
  </si>
  <si>
    <t>Subsurface or Soils</t>
  </si>
  <si>
    <t>*F&amp;G Truck Class</t>
  </si>
  <si>
    <t>Surfaced</t>
  </si>
  <si>
    <t>OR</t>
  </si>
  <si>
    <t>Visual</t>
  </si>
  <si>
    <t>Cores</t>
  </si>
  <si>
    <t>F&amp;G</t>
  </si>
  <si>
    <t>F/C</t>
  </si>
  <si>
    <t>FUNCTIONAL CLASS</t>
  </si>
  <si>
    <t>VOLUME:</t>
  </si>
  <si>
    <t>Check each that apply:</t>
  </si>
  <si>
    <t>ACCIDENTS</t>
  </si>
  <si>
    <r>
      <t>LOCAL SIGNIFICANCE</t>
    </r>
    <r>
      <rPr>
        <b/>
        <u/>
        <sz val="7"/>
        <rFont val="MS Sans Serif"/>
        <family val="2"/>
      </rPr>
      <t/>
    </r>
  </si>
  <si>
    <t>TERRAIN</t>
  </si>
  <si>
    <t>possible</t>
  </si>
  <si>
    <t>scored</t>
  </si>
  <si>
    <t>COUNTY</t>
  </si>
  <si>
    <t>PROJECT NAME</t>
  </si>
  <si>
    <t>ACP, BST, PCC</t>
  </si>
  <si>
    <t>(Surfaced)</t>
  </si>
  <si>
    <t>Gravel, Earth</t>
  </si>
  <si>
    <t>(Unsurfaced)</t>
  </si>
  <si>
    <t>Unsurfaced</t>
  </si>
  <si>
    <t>Total Visual Score</t>
  </si>
  <si>
    <t>PROPOSED</t>
  </si>
  <si>
    <t>Width Reduction Calcs</t>
  </si>
  <si>
    <t>EXISTING</t>
  </si>
  <si>
    <t>REFERRENCE TABLES</t>
  </si>
  <si>
    <t>COLLECTORS</t>
  </si>
  <si>
    <t>ROADBED WIDTH</t>
  </si>
  <si>
    <t>DESIGN</t>
  </si>
  <si>
    <t>LANE WIDTHS PER ADT</t>
  </si>
  <si>
    <t>SHOULDER WIDTHS PER ADT</t>
  </si>
  <si>
    <t>SPEED</t>
  </si>
  <si>
    <t>&lt; 400</t>
  </si>
  <si>
    <t>400 - 1500</t>
  </si>
  <si>
    <t>1500 - 2000</t>
  </si>
  <si>
    <t>Existing Roadbed Width</t>
  </si>
  <si>
    <t>ALL SPEEDS</t>
  </si>
  <si>
    <t>Proposed Roadbed Width</t>
  </si>
  <si>
    <t xml:space="preserve">     Cannot be greater than:</t>
  </si>
  <si>
    <t>ARTERIALS</t>
  </si>
  <si>
    <t>1501 - 2000</t>
  </si>
  <si>
    <t>&lt; 1501</t>
  </si>
  <si>
    <t>Design Roadbed Width, AASHTO</t>
  </si>
  <si>
    <t>Design Pavement Width, AASHTO</t>
  </si>
  <si>
    <t>AASHTO</t>
  </si>
  <si>
    <t>Date</t>
  </si>
  <si>
    <t>SAND</t>
  </si>
  <si>
    <t>CLAY</t>
  </si>
  <si>
    <t>ORGANIC</t>
  </si>
  <si>
    <t>SILT</t>
  </si>
  <si>
    <t>GW, GP, GM, GC</t>
  </si>
  <si>
    <t>SW, SP, SM, SC</t>
  </si>
  <si>
    <t>ML, MH</t>
  </si>
  <si>
    <t>CL, CH</t>
  </si>
  <si>
    <t>OL, OH</t>
  </si>
  <si>
    <t>MAJOR DIVISIONS</t>
  </si>
  <si>
    <t>GROUP SYMBOL</t>
  </si>
  <si>
    <t>GROUP NAME</t>
  </si>
  <si>
    <t>COARSE GRAINED SOILS MORE THAN 50% RETAINED ON NO.200 SIEVE</t>
  </si>
  <si>
    <t>GRAVEL MORE THAN 50% OF COARSE FRACTION RETAINED ON NO.4 SIEVE</t>
  </si>
  <si>
    <t>CLEAN GRAVEL</t>
  </si>
  <si>
    <t>GW</t>
  </si>
  <si>
    <t>WELL-GRADED GRAVEL, FINE TO COARSE GRAVEL</t>
  </si>
  <si>
    <t>GP</t>
  </si>
  <si>
    <t>POORLY-GRADED GRAVEL</t>
  </si>
  <si>
    <t>GRAVEL WITH FINES</t>
  </si>
  <si>
    <t>GM</t>
  </si>
  <si>
    <t>SILTY GRAVEL</t>
  </si>
  <si>
    <t>GC</t>
  </si>
  <si>
    <t>CLAYEY GRAVEL</t>
  </si>
  <si>
    <t>SAND MORE THAN 50% OF COARSE FRACTION PASSES NO.4 SIEVE</t>
  </si>
  <si>
    <t>CLEAN SAND</t>
  </si>
  <si>
    <t>SW</t>
  </si>
  <si>
    <t>WELL-GRADED SAND, FINE TO COARSE SAND</t>
  </si>
  <si>
    <t>SP</t>
  </si>
  <si>
    <t>POORLY-GRADED SAND</t>
  </si>
  <si>
    <t>SAND WITH FINES</t>
  </si>
  <si>
    <t>SM</t>
  </si>
  <si>
    <t>SILTY SAND</t>
  </si>
  <si>
    <t>SC</t>
  </si>
  <si>
    <t>CLAYEY SAND</t>
  </si>
  <si>
    <t>FINE GRAINED SOILS MORE THAN 50% PASSES NO.200 SIEVE</t>
  </si>
  <si>
    <t>SILT AND CLAY LIQUID LIMIT LESS THAN 50</t>
  </si>
  <si>
    <t>INORGANIC</t>
  </si>
  <si>
    <t>ML</t>
  </si>
  <si>
    <t>CL</t>
  </si>
  <si>
    <t>OL</t>
  </si>
  <si>
    <t>ORGANIC SILT, ORGANIC CLAY</t>
  </si>
  <si>
    <t>SILT AND CLAY LIQUID LIMIT 50 OR MORE</t>
  </si>
  <si>
    <t>MH</t>
  </si>
  <si>
    <t>SILT OF HIGH PLASTICITY, ELASTIC SILT</t>
  </si>
  <si>
    <t>CH</t>
  </si>
  <si>
    <t>CLAY OF HIGH PLASTICITY, FAT CLAY</t>
  </si>
  <si>
    <t>OH</t>
  </si>
  <si>
    <t>ORGANIC CLAY, ORGANIC SILT</t>
  </si>
  <si>
    <t>HIGHLY ORGANIC SOILS</t>
  </si>
  <si>
    <t>PT</t>
  </si>
  <si>
    <t>PEAT</t>
  </si>
  <si>
    <t>07 Functional Class for Gravel Road</t>
  </si>
  <si>
    <t>Improved</t>
  </si>
  <si>
    <t>Exist Sight</t>
  </si>
  <si>
    <t>Exist. Safe</t>
  </si>
  <si>
    <t>Exist. Surface Type</t>
  </si>
  <si>
    <t>1.</t>
  </si>
  <si>
    <t>2.</t>
  </si>
  <si>
    <t>Visual:</t>
  </si>
  <si>
    <t>Curve #</t>
  </si>
  <si>
    <t>Avg.</t>
  </si>
  <si>
    <t>CHECK ONE:</t>
  </si>
  <si>
    <t>Cum.</t>
  </si>
  <si>
    <t>Deficient Length</t>
  </si>
  <si>
    <t>weighted</t>
  </si>
  <si>
    <t>SAMPLE</t>
  </si>
  <si>
    <t>DEVIATION ANALYSIS FORMAT</t>
  </si>
  <si>
    <t>Agency:</t>
  </si>
  <si>
    <t>Project Title:</t>
  </si>
  <si>
    <t>Project Number:</t>
  </si>
  <si>
    <t>1. Posted Speed Limit:</t>
  </si>
  <si>
    <t>2. Physical Comparison:</t>
  </si>
  <si>
    <t>a. Standard Geometrics</t>
  </si>
  <si>
    <t>b. Deviation Geometrics</t>
  </si>
  <si>
    <t>c. Discussion</t>
  </si>
  <si>
    <t>3. Cost Comparison:</t>
  </si>
  <si>
    <t>a. Standard</t>
  </si>
  <si>
    <t>b. Deviation</t>
  </si>
  <si>
    <t>4. Reasons Standard Cannot be Achieved:</t>
  </si>
  <si>
    <t>5. Certification:</t>
  </si>
  <si>
    <t>I have examined this deviation request and believe it to be in the best public interest that it be granted.</t>
  </si>
  <si>
    <t>City/County Engineer</t>
  </si>
  <si>
    <t>Dev. From Design:</t>
  </si>
  <si>
    <t>PTS:</t>
  </si>
  <si>
    <t>Scored:</t>
  </si>
  <si>
    <t>LANE WIDTH</t>
  </si>
  <si>
    <t>Existing LANE Width</t>
  </si>
  <si>
    <t>Proposed LANE Width</t>
  </si>
  <si>
    <r>
      <t xml:space="preserve">COLLECTOR </t>
    </r>
    <r>
      <rPr>
        <b/>
        <u/>
        <sz val="10"/>
        <color indexed="10"/>
        <rFont val="MS Sans Serif"/>
        <family val="2"/>
      </rPr>
      <t>SHOULDER</t>
    </r>
    <r>
      <rPr>
        <b/>
        <u/>
        <sz val="10"/>
        <rFont val="MS Sans Serif"/>
        <family val="2"/>
      </rPr>
      <t xml:space="preserve"> WIDTHS</t>
    </r>
  </si>
  <si>
    <r>
      <t>COLLECTOR</t>
    </r>
    <r>
      <rPr>
        <b/>
        <u/>
        <sz val="10"/>
        <color indexed="10"/>
        <rFont val="MS Sans Serif"/>
        <family val="2"/>
      </rPr>
      <t xml:space="preserve"> LANE </t>
    </r>
    <r>
      <rPr>
        <b/>
        <u/>
        <sz val="10"/>
        <rFont val="MS Sans Serif"/>
        <family val="2"/>
      </rPr>
      <t>WIDTHS</t>
    </r>
  </si>
  <si>
    <t>UNREDUCED VERTICAL ALIGNMENT SUBTOTAL</t>
  </si>
  <si>
    <t>See USCS sheet</t>
  </si>
  <si>
    <t>TRAFFIC RATING</t>
  </si>
  <si>
    <t>MISSING LINKS</t>
  </si>
  <si>
    <t>NE RC</t>
  </si>
  <si>
    <t>TOTAL NER RAP WORKSHEET RATING:</t>
  </si>
  <si>
    <t>ECONOMY / USAGE:</t>
  </si>
  <si>
    <t>GRAIN CROPS</t>
  </si>
  <si>
    <t>OTHER FIELD CROPS</t>
  </si>
  <si>
    <t>HORTICULTURE</t>
  </si>
  <si>
    <t>DAIRY/LIVESTOCK</t>
  </si>
  <si>
    <t>LOGGING</t>
  </si>
  <si>
    <t>INDUSTRY/MINING</t>
  </si>
  <si>
    <t>RECREATION</t>
  </si>
  <si>
    <t>COMMUTE</t>
  </si>
  <si>
    <t>MISSING LINK STATUS</t>
  </si>
  <si>
    <t>(10 Pts Max.)</t>
  </si>
  <si>
    <t xml:space="preserve">Description:  </t>
  </si>
  <si>
    <t>Explain the missing link characteristics of this project</t>
  </si>
  <si>
    <t>2)</t>
  </si>
  <si>
    <t>Missing Link Rating:</t>
  </si>
  <si>
    <t>DEFINITION:</t>
  </si>
  <si>
    <t>Between two RAP funded sections</t>
  </si>
  <si>
    <t>Between a RAP funded section and a section improved with other funds</t>
  </si>
  <si>
    <t>Between a RAP funded section and an urban boundary or city limits</t>
  </si>
  <si>
    <t>Between a RAP funded section and a state highway.</t>
  </si>
  <si>
    <t>Between two sections recently improved or currently funded via federal funds.</t>
  </si>
  <si>
    <t>The end section off two or more RAP funded sections.</t>
  </si>
  <si>
    <t>An isolated section some distance between two other improved or funded sections on the same road.</t>
  </si>
  <si>
    <t>(The other funded sections must both be no more than 3 miles from the project)</t>
  </si>
  <si>
    <t>On the Freight and Goods Transportation System.</t>
  </si>
  <si>
    <t>On the regional system recognized by  the RTPO</t>
  </si>
  <si>
    <t>Between two urban ares or two state highways, or one of each.</t>
  </si>
  <si>
    <t>3)</t>
  </si>
  <si>
    <t>Conditions for missing link points:</t>
  </si>
  <si>
    <t>The project can qualify for only one category of points above.</t>
  </si>
  <si>
    <t>"Improved" means the work has been completed within the last ten (10) years</t>
  </si>
  <si>
    <t>"Between" means adjacent to.</t>
  </si>
  <si>
    <t>to 100s</t>
  </si>
  <si>
    <t>FATAL</t>
  </si>
  <si>
    <t>Pts</t>
  </si>
  <si>
    <t>1051-1300</t>
  </si>
  <si>
    <t>&gt;1300</t>
  </si>
  <si>
    <t>751-900</t>
  </si>
  <si>
    <t>901-1050</t>
  </si>
  <si>
    <t>76-90</t>
  </si>
  <si>
    <t>91-105</t>
  </si>
  <si>
    <t>106-130</t>
  </si>
  <si>
    <t>&gt;130</t>
  </si>
  <si>
    <t>STRUCTURAL RATING:</t>
  </si>
  <si>
    <r>
      <t xml:space="preserve">LIST  ALL  </t>
    </r>
    <r>
      <rPr>
        <b/>
        <sz val="12"/>
        <color indexed="10"/>
        <rFont val="MS Sans Serif"/>
      </rPr>
      <t>DEFICIENT</t>
    </r>
    <r>
      <rPr>
        <b/>
        <sz val="10"/>
        <color indexed="10"/>
        <rFont val="MS Sans Serif"/>
        <family val="2"/>
      </rPr>
      <t xml:space="preserve">  CURVES</t>
    </r>
  </si>
  <si>
    <t>MILITARY</t>
  </si>
  <si>
    <t>COMMERCIAL HAUL</t>
  </si>
  <si>
    <t>No. of Accidents</t>
  </si>
  <si>
    <t>NON FATAL</t>
  </si>
  <si>
    <t>II. ACCIDENTS (10 Points Max.)</t>
  </si>
  <si>
    <r>
      <t xml:space="preserve">Use the last </t>
    </r>
    <r>
      <rPr>
        <b/>
        <sz val="10"/>
        <rFont val="Arial"/>
        <family val="2"/>
      </rPr>
      <t>5</t>
    </r>
  </si>
  <si>
    <r>
      <t xml:space="preserve">1. Total Number of </t>
    </r>
    <r>
      <rPr>
        <b/>
        <sz val="10"/>
        <rFont val="Arial"/>
        <family val="2"/>
      </rPr>
      <t xml:space="preserve">Non Fatal </t>
    </r>
    <r>
      <rPr>
        <sz val="10"/>
        <rFont val="Arial"/>
        <family val="2"/>
      </rPr>
      <t>Accidents for Past 5 Yrs  =</t>
    </r>
  </si>
  <si>
    <t>full years of data</t>
  </si>
  <si>
    <r>
      <t xml:space="preserve">2. Total Number of </t>
    </r>
    <r>
      <rPr>
        <b/>
        <sz val="10"/>
        <rFont val="Arial"/>
        <family val="2"/>
      </rPr>
      <t>Fatal</t>
    </r>
    <r>
      <rPr>
        <sz val="10"/>
        <rFont val="Arial"/>
        <family val="2"/>
      </rPr>
      <t xml:space="preserve"> Accidents for Past 5 Years  =</t>
    </r>
  </si>
  <si>
    <t xml:space="preserve">      Acc. per Mile =</t>
  </si>
  <si>
    <t>Non Fatal Acc. + (3 x Fatal Accidents)</t>
  </si>
  <si>
    <t>(Weighted Acc)</t>
  </si>
  <si>
    <t>Length of Project in Miles</t>
  </si>
  <si>
    <t>(project length)</t>
  </si>
  <si>
    <t>ACCIDENTS/MILE</t>
  </si>
  <si>
    <t>X 2</t>
  </si>
  <si>
    <t>1. SURFACE CONDITION (15 Points Max.)</t>
  </si>
  <si>
    <t>3. SUBSURFACE CONDITION (25 pts Max)</t>
  </si>
  <si>
    <t>DESCRIPTIONS:</t>
  </si>
  <si>
    <r>
      <t xml:space="preserve">(3R) =One or more curves on existing roadway </t>
    </r>
    <r>
      <rPr>
        <b/>
        <sz val="10"/>
        <color indexed="10"/>
        <rFont val="Arial"/>
        <family val="2"/>
      </rPr>
      <t>&gt; 15 mph below Design Speed</t>
    </r>
  </si>
  <si>
    <r>
      <t xml:space="preserve">One or more substandard curves </t>
    </r>
    <r>
      <rPr>
        <b/>
        <sz val="10"/>
        <rFont val="Arial"/>
        <family val="2"/>
      </rPr>
      <t>15 MPH below design speed</t>
    </r>
  </si>
  <si>
    <t>HORIZONTAL ALIGNMENT POINTS</t>
  </si>
  <si>
    <t>(15 Points Max.)</t>
  </si>
  <si>
    <t>RECONSTRUCTION PROJECTS</t>
  </si>
  <si>
    <t>Rounded</t>
  </si>
  <si>
    <t>Ball Bank</t>
  </si>
  <si>
    <t>MPH</t>
  </si>
  <si>
    <t>Curves</t>
  </si>
  <si>
    <r>
      <t xml:space="preserve">Curves </t>
    </r>
    <r>
      <rPr>
        <u/>
        <sz val="8"/>
        <rFont val="Arial"/>
        <family val="2"/>
      </rPr>
      <t>&lt;</t>
    </r>
  </si>
  <si>
    <t>Curves up to</t>
  </si>
  <si>
    <t>below</t>
  </si>
  <si>
    <t>Better than</t>
  </si>
  <si>
    <t>5 MPH</t>
  </si>
  <si>
    <t>10 MPH</t>
  </si>
  <si>
    <t>15 MPH</t>
  </si>
  <si>
    <t>Vb</t>
  </si>
  <si>
    <t>standard</t>
  </si>
  <si>
    <t>Standard</t>
  </si>
  <si>
    <t>below std</t>
  </si>
  <si>
    <t>Minimum Design Speed Table</t>
  </si>
  <si>
    <t>Horizontal</t>
  </si>
  <si>
    <t>HORIZ. ALIGNMENT:</t>
  </si>
  <si>
    <t>Design Speed</t>
  </si>
  <si>
    <t>Pts Assigned</t>
  </si>
  <si>
    <t xml:space="preserve">   %</t>
  </si>
  <si>
    <t>Speed, Vb</t>
  </si>
  <si>
    <t>Impr.</t>
  </si>
  <si>
    <t>no greater than 10 points</t>
  </si>
  <si>
    <t>TRAFFIC VOLUME (10Points Max.)</t>
  </si>
  <si>
    <t>4. TRUCK CLASS RATING  (15 Points Max.)</t>
  </si>
  <si>
    <t>1. SURFACE CONDITION  (10 Points Max)</t>
  </si>
  <si>
    <t>RATING SHEET DESIGNATIONS</t>
  </si>
  <si>
    <t>Add, for gravel or unsurfaced roads only:</t>
  </si>
  <si>
    <r>
      <t>Cores</t>
    </r>
    <r>
      <rPr>
        <sz val="10"/>
        <rFont val="MS Sans Serif"/>
        <family val="2"/>
      </rPr>
      <t xml:space="preserve">: </t>
    </r>
  </si>
  <si>
    <t>Roadway</t>
  </si>
  <si>
    <t>Lanes</t>
  </si>
  <si>
    <t>miles in hundredths</t>
  </si>
  <si>
    <t>NE Region</t>
  </si>
  <si>
    <t>RC RATING SUMMARY:</t>
  </si>
  <si>
    <t xml:space="preserve">LOCAL SIGNIFICANCE </t>
  </si>
  <si>
    <t>USAGE</t>
  </si>
  <si>
    <t>TRAFFIC VOLUME</t>
  </si>
  <si>
    <t>TRAFFIC ACCIDENTS</t>
  </si>
  <si>
    <r>
      <rPr>
        <b/>
        <sz val="8"/>
        <rFont val="MS Sans Serif"/>
      </rPr>
      <t xml:space="preserve">ROADWAY </t>
    </r>
    <r>
      <rPr>
        <sz val="8"/>
        <rFont val="MS Sans Serif"/>
        <family val="2"/>
      </rPr>
      <t>(LANES PLUS SHOULDERS)</t>
    </r>
  </si>
  <si>
    <r>
      <rPr>
        <b/>
        <sz val="8"/>
        <rFont val="MS Sans Serif"/>
      </rPr>
      <t>LANES</t>
    </r>
    <r>
      <rPr>
        <sz val="8"/>
        <rFont val="MS Sans Serif"/>
        <family val="2"/>
      </rPr>
      <t xml:space="preserve"> (BOTH SIDES)</t>
    </r>
  </si>
  <si>
    <t xml:space="preserve">MISSING LINKS </t>
  </si>
  <si>
    <t>CRAB
Provided</t>
  </si>
  <si>
    <t>County
Provided</t>
  </si>
  <si>
    <t>Provided</t>
  </si>
  <si>
    <t xml:space="preserve">LANE WIDTH </t>
  </si>
  <si>
    <t>VERTICAL ALIGNMENT</t>
  </si>
  <si>
    <t>HORIZONTAL ALIGNMENT</t>
  </si>
  <si>
    <t>ROADWAY WIDTH</t>
  </si>
  <si>
    <t>Check one:</t>
  </si>
  <si>
    <t>Des. Speed</t>
  </si>
  <si>
    <r>
      <t xml:space="preserve">RAP </t>
    </r>
    <r>
      <rPr>
        <b/>
        <sz val="20"/>
        <color indexed="30"/>
        <rFont val="Arial"/>
        <family val="2"/>
      </rPr>
      <t>RC</t>
    </r>
    <r>
      <rPr>
        <b/>
        <sz val="18"/>
        <color indexed="62"/>
        <rFont val="Arial"/>
        <family val="2"/>
      </rPr>
      <t xml:space="preserve"> project</t>
    </r>
  </si>
  <si>
    <t>HORIZONTAL ALIGNMENT (10 Points Max.)</t>
  </si>
  <si>
    <t>VERTICAL ALIGNMENT (10 Points Max.)</t>
  </si>
  <si>
    <t>Min Des. Speed</t>
  </si>
  <si>
    <t xml:space="preserve">ASSHTO </t>
  </si>
  <si>
    <t>Safe Speed Vs Calculation Table</t>
  </si>
  <si>
    <t>HORIZONTAL ALIGNMENT RATING</t>
  </si>
  <si>
    <t>DESIGN SPEED TABLE</t>
  </si>
  <si>
    <t>Used for horizpntal and vertical curve points</t>
  </si>
  <si>
    <t xml:space="preserve">GEOMETRY RATING </t>
  </si>
  <si>
    <r>
      <t xml:space="preserve">(Recon) =All substandard curves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5MPH below Design Speed</t>
    </r>
  </si>
  <si>
    <r>
      <t xml:space="preserve">(3R) =All substandard curves </t>
    </r>
    <r>
      <rPr>
        <b/>
        <u/>
        <sz val="10"/>
        <color indexed="10"/>
        <rFont val="Arial"/>
        <family val="2"/>
      </rPr>
      <t>&lt;</t>
    </r>
    <r>
      <rPr>
        <b/>
        <sz val="10"/>
        <color indexed="10"/>
        <rFont val="Arial"/>
        <family val="2"/>
      </rPr>
      <t xml:space="preserve"> 15 mph below Design Speed</t>
    </r>
  </si>
  <si>
    <r>
      <t xml:space="preserve">One or more substandard curves &gt; 5 up to </t>
    </r>
    <r>
      <rPr>
        <b/>
        <sz val="10"/>
        <rFont val="Arial"/>
        <family val="2"/>
      </rPr>
      <t>10 MPH below design speed</t>
    </r>
  </si>
  <si>
    <r>
      <t>All existing alignment meets or exceeds</t>
    </r>
    <r>
      <rPr>
        <b/>
        <sz val="10"/>
        <rFont val="Arial"/>
        <family val="2"/>
      </rPr>
      <t xml:space="preserve"> design speed</t>
    </r>
  </si>
  <si>
    <t>All Curves</t>
  </si>
  <si>
    <t>TRAFFIC</t>
  </si>
  <si>
    <t>GEOMETRY:</t>
  </si>
  <si>
    <t>(All projects are ranked by extent of improvement)</t>
  </si>
  <si>
    <t>LANE &amp; ROADWAY WIDTHS</t>
  </si>
  <si>
    <r>
      <t xml:space="preserve">Mark here to assign 10 pts to </t>
    </r>
    <r>
      <rPr>
        <b/>
        <sz val="10"/>
        <color rgb="FFFF0000"/>
        <rFont val="MS Sans Serif"/>
      </rPr>
      <t>only one</t>
    </r>
    <r>
      <rPr>
        <sz val="10"/>
        <color rgb="FFFF0000"/>
        <rFont val="MS Sans Serif"/>
      </rPr>
      <t xml:space="preserve"> project this call.</t>
    </r>
  </si>
  <si>
    <t>Assign 1 - 10 Pts based on project characteristics as defined below</t>
  </si>
  <si>
    <r>
      <t xml:space="preserve">Calc relies on </t>
    </r>
    <r>
      <rPr>
        <u/>
        <sz val="8"/>
        <rFont val="MS Sans Serif"/>
      </rPr>
      <t>AADT</t>
    </r>
    <r>
      <rPr>
        <sz val="8"/>
        <rFont val="MS Sans Serif"/>
      </rPr>
      <t xml:space="preserve"> and </t>
    </r>
    <r>
      <rPr>
        <u/>
        <sz val="8"/>
        <rFont val="MS Sans Serif"/>
      </rPr>
      <t>Terrain</t>
    </r>
    <r>
      <rPr>
        <sz val="8"/>
        <rFont val="MS Sans Serif"/>
      </rPr>
      <t xml:space="preserve"> inputs</t>
    </r>
    <r>
      <rPr>
        <u/>
        <sz val="8"/>
        <rFont val="MS Sans Serif"/>
      </rPr>
      <t>.</t>
    </r>
  </si>
  <si>
    <r>
      <t xml:space="preserve">Calc relies on </t>
    </r>
    <r>
      <rPr>
        <u/>
        <sz val="8"/>
        <rFont val="MS Sans Serif"/>
      </rPr>
      <t>Project length</t>
    </r>
    <r>
      <rPr>
        <sz val="8"/>
        <rFont val="MS Sans Serif"/>
      </rPr>
      <t xml:space="preserve">, </t>
    </r>
    <r>
      <rPr>
        <u/>
        <sz val="8"/>
        <rFont val="MS Sans Serif"/>
      </rPr>
      <t>AADT</t>
    </r>
    <r>
      <rPr>
        <sz val="8"/>
        <rFont val="MS Sans Serif"/>
      </rPr>
      <t xml:space="preserve"> and </t>
    </r>
    <r>
      <rPr>
        <u/>
        <sz val="8"/>
        <rFont val="MS Sans Serif"/>
      </rPr>
      <t>Terrain</t>
    </r>
    <r>
      <rPr>
        <sz val="8"/>
        <rFont val="MS Sans Serif"/>
      </rPr>
      <t xml:space="preserve"> inputs</t>
    </r>
    <r>
      <rPr>
        <u/>
        <sz val="8"/>
        <rFont val="MS Sans Serif"/>
      </rPr>
      <t>.</t>
    </r>
  </si>
  <si>
    <t>Use the last five 
full years' reports</t>
  </si>
  <si>
    <r>
      <t xml:space="preserve">STRUCTURAL CONDITION   </t>
    </r>
    <r>
      <rPr>
        <b/>
        <sz val="10"/>
        <color theme="9" tint="-0.249977111117893"/>
        <rFont val="MS Sans Serif"/>
      </rPr>
      <t>GRAVEL</t>
    </r>
    <r>
      <rPr>
        <sz val="10"/>
        <rFont val="MS Sans Serif"/>
      </rPr>
      <t xml:space="preserve"> (</t>
    </r>
    <r>
      <rPr>
        <b/>
        <sz val="10"/>
        <color indexed="10"/>
        <rFont val="MS Sans Serif"/>
        <family val="2"/>
      </rPr>
      <t>55</t>
    </r>
    <r>
      <rPr>
        <sz val="10"/>
        <rFont val="MS Sans Serif"/>
      </rPr>
      <t xml:space="preserve"> Points Max.)</t>
    </r>
  </si>
  <si>
    <r>
      <t xml:space="preserve">STRUCTURAL CONDITION   </t>
    </r>
    <r>
      <rPr>
        <b/>
        <sz val="10"/>
        <color theme="9" tint="-0.249977111117893"/>
        <rFont val="MS Sans Serif"/>
      </rPr>
      <t>ASPHALT</t>
    </r>
    <r>
      <rPr>
        <sz val="10"/>
        <rFont val="MS Sans Serif"/>
      </rPr>
      <t xml:space="preserve"> (55 Points Max.)</t>
    </r>
  </si>
  <si>
    <t>one project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</si>
</sst>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[$-409]mmmm\ d\,\ yyyy;@"/>
    <numFmt numFmtId="166" formatCode="mm/dd/yy;@"/>
  </numFmts>
  <fonts count="92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u/>
      <sz val="12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10"/>
      <color indexed="14"/>
      <name val="MS Sans Serif"/>
      <family val="2"/>
    </font>
    <font>
      <b/>
      <sz val="10"/>
      <color indexed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u/>
      <sz val="8"/>
      <name val="MS Sans Serif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u/>
      <sz val="8"/>
      <name val="MS Sans Serif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10"/>
      <name val="MS Sans Serif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u/>
      <sz val="10"/>
      <color indexed="12"/>
      <name val="MS Sans Serif"/>
      <family val="2"/>
    </font>
    <font>
      <b/>
      <u/>
      <sz val="7"/>
      <name val="MS Sans Serif"/>
      <family val="2"/>
    </font>
    <font>
      <b/>
      <sz val="10"/>
      <color indexed="12"/>
      <name val="MS Sans Serif"/>
      <family val="2"/>
    </font>
    <font>
      <sz val="10"/>
      <color indexed="9"/>
      <name val="MS Sans Serif"/>
      <family val="2"/>
    </font>
    <font>
      <sz val="8"/>
      <color indexed="10"/>
      <name val="MS Sans Serif"/>
      <family val="2"/>
    </font>
    <font>
      <sz val="10"/>
      <color indexed="14"/>
      <name val="MS Sans Serif"/>
      <family val="2"/>
    </font>
    <font>
      <b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8.5"/>
      <name val="MS Sans Serif"/>
      <family val="2"/>
    </font>
    <font>
      <b/>
      <sz val="12"/>
      <color indexed="14"/>
      <name val="MS Sans Serif"/>
      <family val="2"/>
    </font>
    <font>
      <b/>
      <sz val="8.5"/>
      <name val="Verdana"/>
      <family val="2"/>
    </font>
    <font>
      <b/>
      <sz val="8.5"/>
      <color indexed="14"/>
      <name val="MS Sans Serif"/>
      <family val="2"/>
    </font>
    <font>
      <sz val="8.5"/>
      <name val="Verdana"/>
      <family val="2"/>
    </font>
    <font>
      <b/>
      <sz val="8.5"/>
      <name val="MS Sans Serif"/>
      <family val="2"/>
    </font>
    <font>
      <sz val="8.5"/>
      <name val="Times New Roman"/>
      <family val="1"/>
    </font>
    <font>
      <sz val="8"/>
      <color indexed="9"/>
      <name val="MS Sans Serif"/>
      <family val="2"/>
    </font>
    <font>
      <sz val="14"/>
      <color indexed="10"/>
      <name val="MS Sans Serif"/>
      <family val="2"/>
    </font>
    <font>
      <b/>
      <i/>
      <sz val="12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b/>
      <u/>
      <sz val="10"/>
      <color indexed="10"/>
      <name val="MS Sans Serif"/>
      <family val="2"/>
    </font>
    <font>
      <sz val="10"/>
      <color indexed="47"/>
      <name val="MS Sans Serif"/>
      <family val="2"/>
    </font>
    <font>
      <b/>
      <u/>
      <sz val="24"/>
      <name val="MS Sans Serif"/>
      <family val="2"/>
    </font>
    <font>
      <b/>
      <sz val="12"/>
      <color indexed="10"/>
      <name val="MS Sans Serif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sz val="10"/>
      <name val="MS Sans Serif"/>
    </font>
    <font>
      <b/>
      <u/>
      <sz val="10"/>
      <color indexed="12"/>
      <name val="MS Sans Serif"/>
    </font>
    <font>
      <sz val="10"/>
      <color indexed="42"/>
      <name val="MS Sans Serif"/>
      <family val="2"/>
    </font>
    <font>
      <sz val="8"/>
      <name val="MS Sans Serif"/>
    </font>
    <font>
      <b/>
      <sz val="10"/>
      <color indexed="10"/>
      <name val="MS Sans Serif"/>
    </font>
    <font>
      <b/>
      <sz val="10"/>
      <name val="MS Sans Serif"/>
    </font>
    <font>
      <b/>
      <sz val="8"/>
      <name val="Arial"/>
      <family val="2"/>
    </font>
    <font>
      <sz val="7"/>
      <name val="MS Sans Serif"/>
    </font>
    <font>
      <b/>
      <u/>
      <sz val="14"/>
      <name val="MS Sans Serif"/>
      <family val="2"/>
    </font>
    <font>
      <b/>
      <sz val="18"/>
      <name val="Arial"/>
      <family val="2"/>
    </font>
    <font>
      <u/>
      <sz val="10"/>
      <name val="MS Sans Serif"/>
    </font>
    <font>
      <b/>
      <sz val="8"/>
      <name val="MS Sans Serif"/>
    </font>
    <font>
      <b/>
      <sz val="18"/>
      <color indexed="62"/>
      <name val="Arial"/>
      <family val="2"/>
    </font>
    <font>
      <b/>
      <sz val="20"/>
      <color indexed="30"/>
      <name val="Arial"/>
      <family val="2"/>
    </font>
    <font>
      <u/>
      <sz val="10"/>
      <color indexed="12"/>
      <name val="MS Sans Serif"/>
    </font>
    <font>
      <sz val="10"/>
      <color rgb="FFFF0000"/>
      <name val="MS Sans Serif"/>
    </font>
    <font>
      <b/>
      <sz val="18"/>
      <color rgb="FF7030A0"/>
      <name val="MS Sans Serif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7030A0"/>
      <name val="MS Sans Serif"/>
      <family val="2"/>
    </font>
    <font>
      <b/>
      <u/>
      <sz val="10"/>
      <color rgb="FF7030A0"/>
      <name val="MS Sans Serif"/>
    </font>
    <font>
      <b/>
      <sz val="18"/>
      <color rgb="FF7030A0"/>
      <name val="Arial"/>
      <family val="2"/>
    </font>
    <font>
      <b/>
      <sz val="10"/>
      <color rgb="FFFF0000"/>
      <name val="MS Sans Serif"/>
    </font>
    <font>
      <u/>
      <sz val="8"/>
      <name val="MS Sans Serif"/>
    </font>
    <font>
      <b/>
      <sz val="8"/>
      <color rgb="FFFF0000"/>
      <name val="MS Sans Serif"/>
    </font>
    <font>
      <b/>
      <sz val="10"/>
      <color theme="9" tint="-0.249977111117893"/>
      <name val="MS Sans Serif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/>
      <right style="medium">
        <color indexed="50"/>
      </right>
      <top/>
      <bottom/>
      <diagonal/>
    </border>
    <border>
      <left/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/>
      <right/>
      <top style="thin">
        <color indexed="64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indexed="50"/>
      </right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0" fontId="5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5" fillId="0" borderId="0"/>
    <xf numFmtId="0" fontId="2" fillId="0" borderId="0"/>
    <xf numFmtId="0" fontId="35" fillId="0" borderId="0">
      <alignment horizontal="center"/>
    </xf>
    <xf numFmtId="9" fontId="2" fillId="0" borderId="0" applyFont="0" applyFill="0" applyBorder="0" applyAlignment="0" applyProtection="0"/>
  </cellStyleXfs>
  <cellXfs count="64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8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0" xfId="0" quotePrefix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3" xfId="0" applyBorder="1" applyProtection="1"/>
    <xf numFmtId="2" fontId="0" fillId="0" borderId="4" xfId="0" applyNumberFormat="1" applyBorder="1" applyAlignment="1" applyProtection="1">
      <alignment horizontal="center"/>
    </xf>
    <xf numFmtId="2" fontId="9" fillId="0" borderId="1" xfId="0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2" fontId="25" fillId="0" borderId="1" xfId="0" applyNumberFormat="1" applyFont="1" applyBorder="1" applyAlignment="1" applyProtection="1">
      <alignment horizontal="center"/>
    </xf>
    <xf numFmtId="1" fontId="0" fillId="0" borderId="4" xfId="0" applyNumberFormat="1" applyFill="1" applyBorder="1" applyAlignment="1" applyProtection="1">
      <alignment horizontal="center"/>
    </xf>
    <xf numFmtId="0" fontId="23" fillId="0" borderId="0" xfId="0" applyFont="1" applyBorder="1" applyAlignment="1" applyProtection="1">
      <alignment horizontal="left"/>
    </xf>
    <xf numFmtId="0" fontId="46" fillId="0" borderId="0" xfId="6" applyFont="1" applyAlignment="1">
      <alignment horizontal="center" vertical="center"/>
    </xf>
    <xf numFmtId="0" fontId="48" fillId="0" borderId="0" xfId="6" applyFont="1" applyAlignment="1">
      <alignment horizontal="center" vertical="center"/>
    </xf>
    <xf numFmtId="0" fontId="48" fillId="0" borderId="5" xfId="6" applyFont="1" applyBorder="1" applyAlignment="1">
      <alignment horizontal="center" vertical="center" wrapText="1"/>
    </xf>
    <xf numFmtId="0" fontId="48" fillId="0" borderId="6" xfId="6" applyFont="1" applyBorder="1" applyAlignment="1">
      <alignment horizontal="center" vertical="center" wrapText="1"/>
    </xf>
    <xf numFmtId="0" fontId="50" fillId="0" borderId="7" xfId="6" applyFont="1" applyBorder="1" applyAlignment="1">
      <alignment horizontal="center" vertical="center" wrapText="1"/>
    </xf>
    <xf numFmtId="0" fontId="50" fillId="0" borderId="8" xfId="6" applyFont="1" applyBorder="1" applyAlignment="1">
      <alignment horizontal="center" vertical="center" wrapText="1"/>
    </xf>
    <xf numFmtId="0" fontId="51" fillId="0" borderId="0" xfId="6" applyFont="1" applyAlignment="1">
      <alignment horizontal="left"/>
    </xf>
    <xf numFmtId="0" fontId="51" fillId="0" borderId="0" xfId="6" applyFont="1" applyAlignment="1">
      <alignment horizontal="left" vertical="center"/>
    </xf>
    <xf numFmtId="0" fontId="50" fillId="0" borderId="9" xfId="6" applyFont="1" applyBorder="1" applyAlignment="1">
      <alignment horizontal="center" vertical="center" wrapText="1"/>
    </xf>
    <xf numFmtId="0" fontId="50" fillId="0" borderId="10" xfId="6" applyFont="1" applyBorder="1" applyAlignment="1">
      <alignment horizontal="center" vertical="center" wrapText="1"/>
    </xf>
    <xf numFmtId="0" fontId="52" fillId="0" borderId="0" xfId="6" applyFont="1" applyAlignment="1">
      <alignment horizontal="center" vertical="center"/>
    </xf>
    <xf numFmtId="0" fontId="11" fillId="0" borderId="4" xfId="0" applyFont="1" applyBorder="1" applyAlignment="1" applyProtection="1">
      <alignment horizontal="center"/>
    </xf>
    <xf numFmtId="0" fontId="26" fillId="0" borderId="0" xfId="0" applyFont="1" applyBorder="1" applyAlignment="1" applyProtection="1"/>
    <xf numFmtId="0" fontId="0" fillId="0" borderId="0" xfId="0" applyBorder="1" applyProtection="1"/>
    <xf numFmtId="9" fontId="7" fillId="0" borderId="0" xfId="7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center"/>
    </xf>
    <xf numFmtId="0" fontId="0" fillId="2" borderId="0" xfId="0" applyFill="1" applyProtection="1"/>
    <xf numFmtId="0" fontId="0" fillId="0" borderId="0" xfId="0" applyBorder="1" applyAlignment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55" fillId="0" borderId="0" xfId="3" applyFont="1" applyAlignment="1">
      <alignment horizontal="left"/>
    </xf>
    <xf numFmtId="0" fontId="44" fillId="0" borderId="0" xfId="3" applyFont="1"/>
    <xf numFmtId="0" fontId="56" fillId="0" borderId="0" xfId="3" applyFont="1" applyAlignment="1">
      <alignment horizontal="center"/>
    </xf>
    <xf numFmtId="0" fontId="56" fillId="0" borderId="0" xfId="3" applyFont="1" applyAlignment="1">
      <alignment horizontal="right"/>
    </xf>
    <xf numFmtId="0" fontId="56" fillId="0" borderId="0" xfId="3" applyFont="1" applyAlignment="1">
      <alignment horizontal="left" indent="1"/>
    </xf>
    <xf numFmtId="0" fontId="56" fillId="0" borderId="0" xfId="3" applyFont="1"/>
    <xf numFmtId="0" fontId="56" fillId="0" borderId="0" xfId="3" applyFont="1" applyAlignment="1">
      <alignment horizontal="left" indent="2"/>
    </xf>
    <xf numFmtId="0" fontId="56" fillId="0" borderId="0" xfId="3" applyFont="1" applyAlignment="1">
      <alignment horizontal="left"/>
    </xf>
    <xf numFmtId="0" fontId="56" fillId="0" borderId="0" xfId="3" applyFont="1" applyAlignment="1">
      <alignment horizontal="left" indent="4"/>
    </xf>
    <xf numFmtId="0" fontId="56" fillId="0" borderId="0" xfId="3" applyFont="1" applyAlignment="1">
      <alignment horizontal="left" indent="6"/>
    </xf>
    <xf numFmtId="0" fontId="45" fillId="0" borderId="0" xfId="3" applyFont="1"/>
    <xf numFmtId="0" fontId="23" fillId="0" borderId="0" xfId="0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7" fillId="0" borderId="13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3" fillId="0" borderId="0" xfId="0" applyFont="1" applyBorder="1" applyProtection="1"/>
    <xf numFmtId="0" fontId="29" fillId="0" borderId="0" xfId="0" applyFont="1" applyBorder="1" applyAlignment="1" applyProtection="1">
      <alignment horizontal="center"/>
    </xf>
    <xf numFmtId="0" fontId="54" fillId="0" borderId="14" xfId="0" applyFont="1" applyBorder="1" applyAlignment="1" applyProtection="1">
      <alignment horizontal="center" vertical="top"/>
    </xf>
    <xf numFmtId="0" fontId="0" fillId="0" borderId="15" xfId="0" applyBorder="1" applyProtection="1"/>
    <xf numFmtId="0" fontId="0" fillId="0" borderId="15" xfId="0" applyBorder="1" applyAlignment="1" applyProtection="1">
      <alignment horizontal="right"/>
    </xf>
    <xf numFmtId="0" fontId="0" fillId="0" borderId="16" xfId="0" applyBorder="1" applyProtection="1"/>
    <xf numFmtId="0" fontId="0" fillId="0" borderId="17" xfId="0" applyBorder="1" applyProtection="1"/>
    <xf numFmtId="0" fontId="37" fillId="0" borderId="0" xfId="0" applyFont="1" applyBorder="1" applyAlignment="1" applyProtection="1"/>
    <xf numFmtId="0" fontId="0" fillId="0" borderId="13" xfId="0" applyBorder="1" applyProtection="1"/>
    <xf numFmtId="0" fontId="24" fillId="0" borderId="0" xfId="0" applyFont="1" applyBorder="1" applyAlignment="1" applyProtection="1">
      <alignment horizontal="right"/>
    </xf>
    <xf numFmtId="0" fontId="18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0" fillId="0" borderId="15" xfId="0" applyFill="1" applyBorder="1" applyAlignment="1" applyProtection="1">
      <alignment horizontal="center"/>
    </xf>
    <xf numFmtId="0" fontId="24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26" fillId="0" borderId="0" xfId="0" applyFont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0" fontId="40" fillId="0" borderId="15" xfId="0" applyFont="1" applyBorder="1" applyAlignment="1" applyProtection="1">
      <alignment horizontal="left"/>
    </xf>
    <xf numFmtId="0" fontId="9" fillId="0" borderId="18" xfId="0" applyFont="1" applyBorder="1" applyAlignment="1" applyProtection="1">
      <alignment horizontal="center"/>
    </xf>
    <xf numFmtId="0" fontId="40" fillId="0" borderId="17" xfId="0" applyFont="1" applyBorder="1" applyAlignment="1" applyProtection="1">
      <alignment horizontal="left"/>
    </xf>
    <xf numFmtId="0" fontId="37" fillId="0" borderId="19" xfId="0" applyFont="1" applyBorder="1" applyAlignment="1" applyProtection="1">
      <alignment horizontal="left"/>
    </xf>
    <xf numFmtId="0" fontId="0" fillId="0" borderId="20" xfId="0" applyBorder="1" applyProtection="1"/>
    <xf numFmtId="0" fontId="0" fillId="0" borderId="14" xfId="0" applyBorder="1" applyProtection="1"/>
    <xf numFmtId="0" fontId="0" fillId="0" borderId="21" xfId="0" applyBorder="1" applyProtection="1"/>
    <xf numFmtId="0" fontId="41" fillId="0" borderId="0" xfId="0" applyFont="1" applyBorder="1" applyAlignment="1" applyProtection="1">
      <alignment horizontal="left"/>
    </xf>
    <xf numFmtId="0" fontId="33" fillId="0" borderId="0" xfId="0" applyFont="1" applyFill="1" applyBorder="1" applyProtection="1"/>
    <xf numFmtId="0" fontId="11" fillId="0" borderId="0" xfId="0" applyFont="1" applyBorder="1" applyProtection="1"/>
    <xf numFmtId="0" fontId="23" fillId="0" borderId="16" xfId="0" applyFont="1" applyBorder="1" applyProtection="1"/>
    <xf numFmtId="0" fontId="2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/>
    <xf numFmtId="9" fontId="0" fillId="0" borderId="0" xfId="7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24" fillId="0" borderId="14" xfId="0" applyFont="1" applyBorder="1" applyProtection="1"/>
    <xf numFmtId="9" fontId="0" fillId="0" borderId="16" xfId="0" applyNumberFormat="1" applyBorder="1" applyProtection="1"/>
    <xf numFmtId="0" fontId="4" fillId="0" borderId="0" xfId="0" applyFont="1" applyBorder="1" applyAlignment="1" applyProtection="1">
      <alignment horizontal="left"/>
    </xf>
    <xf numFmtId="0" fontId="61" fillId="0" borderId="0" xfId="0" applyFont="1" applyBorder="1" applyProtection="1"/>
    <xf numFmtId="0" fontId="14" fillId="0" borderId="0" xfId="0" applyFont="1" applyBorder="1" applyAlignment="1" applyProtection="1">
      <alignment horizontal="left"/>
    </xf>
    <xf numFmtId="0" fontId="34" fillId="0" borderId="0" xfId="0" applyFont="1" applyBorder="1" applyAlignment="1" applyProtection="1">
      <alignment horizontal="right"/>
    </xf>
    <xf numFmtId="0" fontId="34" fillId="0" borderId="0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4" fillId="0" borderId="0" xfId="0" applyFont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right"/>
    </xf>
    <xf numFmtId="0" fontId="37" fillId="0" borderId="57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center"/>
    </xf>
    <xf numFmtId="2" fontId="0" fillId="0" borderId="0" xfId="0" applyNumberFormat="1" applyFont="1" applyBorder="1" applyAlignment="1" applyProtection="1">
      <alignment horizontal="center"/>
    </xf>
    <xf numFmtId="0" fontId="6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/>
    </xf>
    <xf numFmtId="0" fontId="34" fillId="0" borderId="3" xfId="0" applyFont="1" applyBorder="1" applyAlignment="1" applyProtection="1"/>
    <xf numFmtId="0" fontId="15" fillId="0" borderId="0" xfId="0" applyFont="1" applyBorder="1" applyAlignment="1" applyProtection="1">
      <alignment horizontal="left"/>
    </xf>
    <xf numFmtId="0" fontId="0" fillId="3" borderId="4" xfId="0" applyFill="1" applyBorder="1" applyAlignment="1" applyProtection="1">
      <alignment horizontal="center"/>
      <protection locked="0"/>
    </xf>
    <xf numFmtId="9" fontId="0" fillId="0" borderId="0" xfId="7" applyFont="1" applyBorder="1" applyAlignment="1" applyProtection="1">
      <alignment horizontal="left"/>
    </xf>
    <xf numFmtId="0" fontId="0" fillId="3" borderId="11" xfId="0" applyFill="1" applyBorder="1" applyAlignment="1" applyProtection="1">
      <alignment horizontal="center"/>
      <protection locked="0"/>
    </xf>
    <xf numFmtId="9" fontId="7" fillId="0" borderId="0" xfId="7" applyFont="1" applyBorder="1" applyAlignment="1" applyProtection="1">
      <alignment horizontal="left"/>
    </xf>
    <xf numFmtId="0" fontId="0" fillId="0" borderId="0" xfId="0" applyFill="1" applyBorder="1" applyProtection="1"/>
    <xf numFmtId="0" fontId="0" fillId="0" borderId="16" xfId="0" applyFill="1" applyBorder="1" applyProtection="1"/>
    <xf numFmtId="9" fontId="40" fillId="0" borderId="0" xfId="7" applyFont="1" applyBorder="1" applyAlignment="1" applyProtection="1">
      <alignment horizontal="center"/>
    </xf>
    <xf numFmtId="2" fontId="8" fillId="0" borderId="0" xfId="0" applyNumberFormat="1" applyFont="1" applyBorder="1" applyAlignment="1" applyProtection="1">
      <alignment horizontal="center"/>
    </xf>
    <xf numFmtId="0" fontId="0" fillId="0" borderId="16" xfId="0" applyBorder="1" applyAlignment="1" applyProtection="1"/>
    <xf numFmtId="0" fontId="24" fillId="0" borderId="0" xfId="0" applyFont="1" applyBorder="1" applyAlignment="1" applyProtection="1"/>
    <xf numFmtId="0" fontId="37" fillId="0" borderId="14" xfId="0" applyFont="1" applyBorder="1" applyAlignment="1" applyProtection="1">
      <alignment horizontal="left"/>
    </xf>
    <xf numFmtId="0" fontId="0" fillId="0" borderId="19" xfId="0" applyBorder="1" applyProtection="1"/>
    <xf numFmtId="0" fontId="11" fillId="0" borderId="13" xfId="0" applyFont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7" fillId="0" borderId="14" xfId="0" applyFont="1" applyBorder="1" applyAlignment="1" applyProtection="1"/>
    <xf numFmtId="0" fontId="0" fillId="0" borderId="14" xfId="0" applyBorder="1" applyAlignment="1" applyProtection="1"/>
    <xf numFmtId="0" fontId="11" fillId="0" borderId="14" xfId="0" quotePrefix="1" applyFont="1" applyBorder="1" applyAlignment="1" applyProtection="1">
      <alignment horizontal="right"/>
    </xf>
    <xf numFmtId="0" fontId="0" fillId="0" borderId="14" xfId="0" applyBorder="1" applyAlignment="1" applyProtection="1">
      <alignment horizontal="left"/>
    </xf>
    <xf numFmtId="0" fontId="40" fillId="0" borderId="14" xfId="0" applyFont="1" applyBorder="1" applyAlignment="1" applyProtection="1">
      <alignment horizontal="left"/>
    </xf>
    <xf numFmtId="0" fontId="40" fillId="0" borderId="21" xfId="0" applyFont="1" applyBorder="1" applyAlignment="1" applyProtection="1">
      <alignment horizontal="left"/>
    </xf>
    <xf numFmtId="0" fontId="33" fillId="0" borderId="0" xfId="0" applyFont="1" applyBorder="1" applyAlignment="1" applyProtection="1">
      <alignment horizontal="right"/>
    </xf>
    <xf numFmtId="0" fontId="68" fillId="0" borderId="0" xfId="0" applyFont="1" applyBorder="1" applyProtection="1"/>
    <xf numFmtId="0" fontId="41" fillId="0" borderId="0" xfId="0" applyFont="1" applyFill="1" applyBorder="1" applyAlignment="1" applyProtection="1">
      <alignment horizontal="left"/>
    </xf>
    <xf numFmtId="0" fontId="69" fillId="0" borderId="3" xfId="0" applyFont="1" applyFill="1" applyBorder="1" applyAlignment="1" applyProtection="1">
      <alignment horizontal="left"/>
    </xf>
    <xf numFmtId="0" fontId="70" fillId="0" borderId="3" xfId="0" applyFont="1" applyBorder="1" applyProtection="1"/>
    <xf numFmtId="0" fontId="0" fillId="0" borderId="58" xfId="0" applyBorder="1" applyProtection="1"/>
    <xf numFmtId="0" fontId="0" fillId="0" borderId="59" xfId="0" applyBorder="1" applyProtection="1"/>
    <xf numFmtId="0" fontId="0" fillId="0" borderId="60" xfId="0" applyBorder="1" applyProtection="1"/>
    <xf numFmtId="0" fontId="37" fillId="0" borderId="57" xfId="0" applyFont="1" applyBorder="1" applyAlignment="1" applyProtection="1"/>
    <xf numFmtId="0" fontId="0" fillId="0" borderId="61" xfId="0" applyBorder="1" applyProtection="1"/>
    <xf numFmtId="0" fontId="0" fillId="6" borderId="0" xfId="0" applyFill="1" applyProtection="1"/>
    <xf numFmtId="0" fontId="0" fillId="6" borderId="0" xfId="0" applyFill="1" applyBorder="1" applyAlignment="1" applyProtection="1">
      <alignment horizontal="left"/>
    </xf>
    <xf numFmtId="9" fontId="65" fillId="6" borderId="0" xfId="7" applyFont="1" applyFill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Alignment="1" applyProtection="1">
      <alignment horizontal="right"/>
    </xf>
    <xf numFmtId="9" fontId="53" fillId="6" borderId="0" xfId="7" quotePrefix="1" applyFont="1" applyFill="1" applyBorder="1" applyAlignment="1" applyProtection="1"/>
    <xf numFmtId="0" fontId="37" fillId="0" borderId="22" xfId="0" applyFont="1" applyBorder="1" applyAlignment="1" applyProtection="1"/>
    <xf numFmtId="0" fontId="66" fillId="0" borderId="62" xfId="2" applyFont="1" applyBorder="1" applyAlignment="1" applyProtection="1">
      <alignment horizontal="left"/>
    </xf>
    <xf numFmtId="0" fontId="66" fillId="0" borderId="63" xfId="2" applyFont="1" applyBorder="1" applyAlignment="1" applyProtection="1">
      <alignment horizontal="left"/>
    </xf>
    <xf numFmtId="0" fontId="0" fillId="0" borderId="63" xfId="0" applyBorder="1" applyProtection="1"/>
    <xf numFmtId="0" fontId="14" fillId="0" borderId="63" xfId="0" applyFont="1" applyBorder="1" applyAlignment="1" applyProtection="1">
      <alignment horizontal="left"/>
    </xf>
    <xf numFmtId="0" fontId="0" fillId="0" borderId="63" xfId="0" applyBorder="1" applyAlignment="1" applyProtection="1">
      <alignment horizontal="center"/>
    </xf>
    <xf numFmtId="0" fontId="0" fillId="0" borderId="64" xfId="0" applyBorder="1" applyProtection="1"/>
    <xf numFmtId="165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/>
    <xf numFmtId="0" fontId="81" fillId="0" borderId="0" xfId="0" applyFont="1" applyBorder="1" applyAlignment="1" applyProtection="1">
      <alignment vertical="top" wrapText="1"/>
    </xf>
    <xf numFmtId="0" fontId="81" fillId="0" borderId="61" xfId="0" applyFont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3" fillId="0" borderId="0" xfId="2" applyBorder="1" applyAlignment="1" applyProtection="1"/>
    <xf numFmtId="0" fontId="39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2" fontId="25" fillId="0" borderId="0" xfId="0" applyNumberFormat="1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left" vertical="center"/>
    </xf>
    <xf numFmtId="0" fontId="0" fillId="0" borderId="24" xfId="0" applyBorder="1" applyProtection="1"/>
    <xf numFmtId="0" fontId="0" fillId="0" borderId="24" xfId="0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0" fontId="26" fillId="0" borderId="61" xfId="0" applyFont="1" applyBorder="1" applyAlignment="1" applyProtection="1">
      <alignment horizontal="center"/>
    </xf>
    <xf numFmtId="0" fontId="0" fillId="0" borderId="61" xfId="0" applyFill="1" applyBorder="1" applyAlignment="1" applyProtection="1">
      <alignment horizontal="center"/>
    </xf>
    <xf numFmtId="0" fontId="68" fillId="0" borderId="61" xfId="0" applyFont="1" applyFill="1" applyBorder="1" applyAlignment="1" applyProtection="1">
      <alignment horizontal="left"/>
    </xf>
    <xf numFmtId="0" fontId="75" fillId="0" borderId="0" xfId="0" applyFont="1" applyBorder="1" applyAlignment="1" applyProtection="1">
      <alignment horizontal="center"/>
    </xf>
    <xf numFmtId="0" fontId="0" fillId="4" borderId="0" xfId="0" applyFill="1" applyProtection="1"/>
    <xf numFmtId="0" fontId="23" fillId="6" borderId="0" xfId="0" applyFont="1" applyFill="1" applyAlignment="1" applyProtection="1">
      <alignment horizontal="right"/>
    </xf>
    <xf numFmtId="0" fontId="0" fillId="6" borderId="0" xfId="0" applyFill="1" applyBorder="1" applyAlignment="1" applyProtection="1">
      <alignment horizontal="center" vertical="top" wrapText="1"/>
    </xf>
    <xf numFmtId="0" fontId="80" fillId="6" borderId="16" xfId="0" applyFont="1" applyFill="1" applyBorder="1" applyAlignment="1" applyProtection="1">
      <alignment wrapText="1"/>
    </xf>
    <xf numFmtId="0" fontId="26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left"/>
    </xf>
    <xf numFmtId="0" fontId="2" fillId="6" borderId="0" xfId="0" applyFont="1" applyFill="1" applyAlignment="1" applyProtection="1">
      <alignment horizontal="center"/>
    </xf>
    <xf numFmtId="0" fontId="0" fillId="4" borderId="0" xfId="0" applyFill="1" applyBorder="1" applyProtection="1"/>
    <xf numFmtId="0" fontId="59" fillId="4" borderId="0" xfId="0" applyFont="1" applyFill="1" applyAlignment="1" applyProtection="1">
      <alignment horizontal="center"/>
    </xf>
    <xf numFmtId="0" fontId="59" fillId="4" borderId="0" xfId="0" quotePrefix="1" applyFont="1" applyFill="1" applyAlignment="1" applyProtection="1">
      <alignment horizontal="center"/>
    </xf>
    <xf numFmtId="0" fontId="0" fillId="4" borderId="25" xfId="0" applyFill="1" applyBorder="1" applyProtection="1"/>
    <xf numFmtId="0" fontId="0" fillId="4" borderId="1" xfId="0" applyFill="1" applyBorder="1" applyProtection="1"/>
    <xf numFmtId="0" fontId="0" fillId="4" borderId="26" xfId="0" applyFill="1" applyBorder="1" applyProtection="1"/>
    <xf numFmtId="0" fontId="0" fillId="4" borderId="23" xfId="0" applyFill="1" applyBorder="1" applyProtection="1"/>
    <xf numFmtId="0" fontId="7" fillId="4" borderId="0" xfId="0" applyFont="1" applyFill="1" applyBorder="1" applyAlignment="1" applyProtection="1">
      <alignment horizontal="center"/>
    </xf>
    <xf numFmtId="0" fontId="0" fillId="4" borderId="22" xfId="0" applyFill="1" applyBorder="1" applyProtection="1"/>
    <xf numFmtId="2" fontId="0" fillId="4" borderId="23" xfId="0" applyNumberFormat="1" applyFill="1" applyBorder="1" applyProtection="1"/>
    <xf numFmtId="2" fontId="0" fillId="4" borderId="0" xfId="0" applyNumberFormat="1" applyFill="1" applyBorder="1" applyProtection="1"/>
    <xf numFmtId="2" fontId="0" fillId="4" borderId="23" xfId="0" applyNumberFormat="1" applyFill="1" applyBorder="1" applyAlignment="1" applyProtection="1">
      <alignment horizontal="right"/>
    </xf>
    <xf numFmtId="2" fontId="0" fillId="4" borderId="0" xfId="0" applyNumberFormat="1" applyFill="1" applyBorder="1" applyAlignment="1" applyProtection="1">
      <alignment horizontal="right"/>
    </xf>
    <xf numFmtId="0" fontId="0" fillId="4" borderId="27" xfId="0" applyFill="1" applyBorder="1" applyProtection="1"/>
    <xf numFmtId="0" fontId="0" fillId="4" borderId="3" xfId="0" applyFill="1" applyBorder="1" applyProtection="1"/>
    <xf numFmtId="0" fontId="0" fillId="4" borderId="28" xfId="0" applyFill="1" applyBorder="1" applyProtection="1"/>
    <xf numFmtId="2" fontId="0" fillId="4" borderId="0" xfId="0" applyNumberFormat="1" applyFill="1" applyProtection="1"/>
    <xf numFmtId="0" fontId="74" fillId="4" borderId="0" xfId="0" applyFont="1" applyFill="1" applyBorder="1" applyAlignment="1" applyProtection="1">
      <alignment horizontal="center" vertical="top"/>
    </xf>
    <xf numFmtId="0" fontId="74" fillId="4" borderId="0" xfId="0" applyFont="1" applyFill="1" applyBorder="1" applyAlignment="1" applyProtection="1">
      <alignment horizontal="center" vertical="center"/>
    </xf>
    <xf numFmtId="0" fontId="81" fillId="4" borderId="0" xfId="0" applyFont="1" applyFill="1" applyBorder="1" applyAlignment="1" applyProtection="1">
      <alignment vertical="top" wrapText="1"/>
    </xf>
    <xf numFmtId="0" fontId="0" fillId="0" borderId="59" xfId="0" applyBorder="1" applyAlignment="1" applyProtection="1">
      <alignment horizontal="left"/>
    </xf>
    <xf numFmtId="0" fontId="0" fillId="0" borderId="59" xfId="0" applyFill="1" applyBorder="1" applyAlignment="1" applyProtection="1">
      <alignment horizontal="left"/>
    </xf>
    <xf numFmtId="0" fontId="0" fillId="0" borderId="57" xfId="0" applyBorder="1" applyProtection="1"/>
    <xf numFmtId="0" fontId="74" fillId="0" borderId="61" xfId="0" applyFont="1" applyBorder="1" applyAlignment="1" applyProtection="1">
      <alignment horizontal="center" vertical="top"/>
    </xf>
    <xf numFmtId="0" fontId="0" fillId="0" borderId="57" xfId="0" applyBorder="1" applyAlignment="1" applyProtection="1">
      <alignment horizontal="left"/>
    </xf>
    <xf numFmtId="0" fontId="74" fillId="0" borderId="6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Fill="1" applyBorder="1" applyProtection="1"/>
    <xf numFmtId="0" fontId="35" fillId="0" borderId="57" xfId="0" applyFont="1" applyBorder="1" applyProtection="1"/>
    <xf numFmtId="0" fontId="0" fillId="0" borderId="62" xfId="0" applyBorder="1" applyProtection="1"/>
    <xf numFmtId="0" fontId="0" fillId="0" borderId="65" xfId="0" applyBorder="1" applyProtection="1"/>
    <xf numFmtId="0" fontId="8" fillId="7" borderId="4" xfId="0" applyFont="1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23" fillId="0" borderId="61" xfId="0" applyFont="1" applyBorder="1" applyAlignment="1" applyProtection="1">
      <alignment horizontal="center"/>
    </xf>
    <xf numFmtId="0" fontId="0" fillId="0" borderId="66" xfId="0" applyFill="1" applyBorder="1" applyAlignment="1" applyProtection="1">
      <alignment horizontal="center"/>
    </xf>
    <xf numFmtId="0" fontId="26" fillId="0" borderId="61" xfId="0" applyFont="1" applyBorder="1" applyAlignment="1" applyProtection="1"/>
    <xf numFmtId="0" fontId="14" fillId="0" borderId="61" xfId="0" applyFont="1" applyBorder="1" applyAlignment="1" applyProtection="1">
      <alignment horizontal="center"/>
    </xf>
    <xf numFmtId="0" fontId="15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horizontal="center"/>
    </xf>
    <xf numFmtId="0" fontId="0" fillId="7" borderId="29" xfId="0" applyFill="1" applyBorder="1" applyAlignment="1" applyProtection="1">
      <alignment horizontal="center"/>
      <protection locked="0"/>
    </xf>
    <xf numFmtId="0" fontId="68" fillId="0" borderId="22" xfId="0" applyFont="1" applyBorder="1" applyAlignment="1" applyProtection="1">
      <alignment horizontal="right"/>
    </xf>
    <xf numFmtId="0" fontId="68" fillId="0" borderId="0" xfId="0" applyFont="1" applyBorder="1" applyAlignment="1" applyProtection="1">
      <alignment horizontal="right"/>
    </xf>
    <xf numFmtId="0" fontId="80" fillId="0" borderId="0" xfId="0" applyFont="1" applyBorder="1" applyProtection="1"/>
    <xf numFmtId="0" fontId="82" fillId="0" borderId="0" xfId="0" applyFont="1" applyBorder="1" applyAlignment="1" applyProtection="1">
      <alignment horizontal="left"/>
    </xf>
    <xf numFmtId="0" fontId="66" fillId="6" borderId="16" xfId="2" applyFont="1" applyFill="1" applyBorder="1" applyAlignment="1" applyProtection="1">
      <alignment horizontal="left"/>
    </xf>
    <xf numFmtId="0" fontId="0" fillId="6" borderId="16" xfId="0" applyFill="1" applyBorder="1" applyProtection="1"/>
    <xf numFmtId="0" fontId="14" fillId="6" borderId="16" xfId="0" applyFont="1" applyFill="1" applyBorder="1" applyAlignment="1" applyProtection="1">
      <alignment horizontal="left"/>
    </xf>
    <xf numFmtId="0" fontId="0" fillId="6" borderId="16" xfId="0" applyFill="1" applyBorder="1" applyAlignment="1" applyProtection="1">
      <alignment horizontal="center"/>
    </xf>
    <xf numFmtId="0" fontId="40" fillId="6" borderId="0" xfId="0" applyFont="1" applyFill="1" applyAlignment="1" applyProtection="1">
      <alignment horizontal="left"/>
    </xf>
    <xf numFmtId="0" fontId="9" fillId="6" borderId="0" xfId="0" applyFont="1" applyFill="1" applyBorder="1" applyAlignment="1" applyProtection="1">
      <alignment horizontal="center"/>
    </xf>
    <xf numFmtId="0" fontId="23" fillId="6" borderId="0" xfId="0" applyFont="1" applyFill="1" applyProtection="1"/>
    <xf numFmtId="0" fontId="2" fillId="6" borderId="0" xfId="0" applyFont="1" applyFill="1" applyAlignment="1" applyProtection="1">
      <alignment horizontal="center" vertical="top"/>
    </xf>
    <xf numFmtId="0" fontId="2" fillId="6" borderId="0" xfId="0" applyFont="1" applyFill="1" applyAlignment="1" applyProtection="1">
      <alignment horizontal="left"/>
    </xf>
    <xf numFmtId="0" fontId="2" fillId="8" borderId="0" xfId="0" applyFont="1" applyFill="1" applyAlignment="1" applyProtection="1">
      <alignment horizontal="left"/>
    </xf>
    <xf numFmtId="0" fontId="2" fillId="8" borderId="0" xfId="0" applyFont="1" applyFill="1" applyAlignment="1" applyProtection="1">
      <alignment horizontal="center"/>
    </xf>
    <xf numFmtId="0" fontId="2" fillId="8" borderId="0" xfId="0" applyFont="1" applyFill="1" applyAlignment="1" applyProtection="1">
      <alignment horizontal="center" vertical="top"/>
    </xf>
    <xf numFmtId="0" fontId="2" fillId="8" borderId="4" xfId="0" applyFont="1" applyFill="1" applyBorder="1" applyAlignment="1" applyProtection="1">
      <alignment horizontal="center"/>
    </xf>
    <xf numFmtId="0" fontId="2" fillId="8" borderId="0" xfId="0" applyFont="1" applyFill="1" applyAlignment="1" applyProtection="1">
      <alignment horizontal="left" vertical="top"/>
    </xf>
    <xf numFmtId="0" fontId="12" fillId="7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35" fillId="6" borderId="0" xfId="0" applyFont="1" applyFill="1" applyProtection="1"/>
    <xf numFmtId="0" fontId="62" fillId="6" borderId="0" xfId="0" applyFont="1" applyFill="1" applyAlignment="1" applyProtection="1">
      <alignment horizontal="left"/>
    </xf>
    <xf numFmtId="0" fontId="43" fillId="8" borderId="0" xfId="0" applyFont="1" applyFill="1" applyAlignment="1" applyProtection="1">
      <alignment horizontal="left"/>
    </xf>
    <xf numFmtId="0" fontId="2" fillId="8" borderId="3" xfId="0" applyFont="1" applyFill="1" applyBorder="1" applyAlignment="1" applyProtection="1">
      <alignment horizontal="center"/>
    </xf>
    <xf numFmtId="0" fontId="2" fillId="8" borderId="3" xfId="0" applyFont="1" applyFill="1" applyBorder="1" applyAlignment="1" applyProtection="1"/>
    <xf numFmtId="0" fontId="0" fillId="8" borderId="0" xfId="0" applyFont="1" applyFill="1" applyAlignment="1" applyProtection="1">
      <alignment horizontal="center"/>
    </xf>
    <xf numFmtId="2" fontId="2" fillId="8" borderId="1" xfId="0" applyNumberFormat="1" applyFont="1" applyFill="1" applyBorder="1" applyAlignment="1" applyProtection="1">
      <alignment horizontal="center"/>
    </xf>
    <xf numFmtId="2" fontId="2" fillId="8" borderId="0" xfId="0" applyNumberFormat="1" applyFont="1" applyFill="1" applyAlignment="1" applyProtection="1">
      <alignment horizontal="center"/>
    </xf>
    <xf numFmtId="0" fontId="2" fillId="8" borderId="25" xfId="0" applyFont="1" applyFill="1" applyBorder="1" applyAlignment="1" applyProtection="1">
      <alignment horizontal="center"/>
    </xf>
    <xf numFmtId="0" fontId="2" fillId="8" borderId="30" xfId="0" applyFont="1" applyFill="1" applyBorder="1" applyAlignment="1" applyProtection="1">
      <alignment horizontal="center"/>
    </xf>
    <xf numFmtId="2" fontId="2" fillId="8" borderId="0" xfId="0" applyNumberFormat="1" applyFont="1" applyFill="1" applyAlignment="1" applyProtection="1">
      <alignment horizontal="center" vertical="top"/>
    </xf>
    <xf numFmtId="0" fontId="2" fillId="8" borderId="11" xfId="0" applyFont="1" applyFill="1" applyBorder="1" applyAlignment="1" applyProtection="1">
      <alignment horizontal="center"/>
    </xf>
    <xf numFmtId="0" fontId="2" fillId="8" borderId="31" xfId="0" applyFont="1" applyFill="1" applyBorder="1" applyAlignment="1" applyProtection="1">
      <alignment horizontal="center"/>
    </xf>
    <xf numFmtId="0" fontId="2" fillId="8" borderId="32" xfId="0" applyFont="1" applyFill="1" applyBorder="1" applyAlignment="1" applyProtection="1">
      <alignment horizontal="center"/>
    </xf>
    <xf numFmtId="0" fontId="2" fillId="8" borderId="3" xfId="0" quotePrefix="1" applyFont="1" applyFill="1" applyBorder="1" applyAlignment="1" applyProtection="1">
      <alignment horizontal="center" vertical="top"/>
    </xf>
    <xf numFmtId="0" fontId="2" fillId="8" borderId="0" xfId="0" quotePrefix="1" applyFont="1" applyFill="1" applyAlignment="1" applyProtection="1">
      <alignment horizontal="right"/>
    </xf>
    <xf numFmtId="2" fontId="43" fillId="8" borderId="0" xfId="0" applyNumberFormat="1" applyFont="1" applyFill="1" applyAlignment="1" applyProtection="1">
      <alignment horizontal="center" vertical="top"/>
    </xf>
    <xf numFmtId="0" fontId="2" fillId="0" borderId="0" xfId="0" applyFont="1" applyFill="1" applyAlignment="1" applyProtection="1">
      <alignment horizontal="center" vertical="top"/>
    </xf>
    <xf numFmtId="0" fontId="3" fillId="0" borderId="0" xfId="2" applyBorder="1" applyAlignment="1" applyProtection="1">
      <alignment horizontal="center"/>
    </xf>
    <xf numFmtId="0" fontId="0" fillId="0" borderId="63" xfId="0" applyFill="1" applyBorder="1" applyAlignment="1" applyProtection="1">
      <alignment horizontal="center"/>
    </xf>
    <xf numFmtId="0" fontId="3" fillId="0" borderId="63" xfId="2" applyBorder="1" applyAlignment="1" applyProtection="1">
      <alignment horizontal="center"/>
    </xf>
    <xf numFmtId="0" fontId="3" fillId="0" borderId="63" xfId="2" applyBorder="1" applyAlignment="1" applyProtection="1"/>
    <xf numFmtId="0" fontId="2" fillId="6" borderId="0" xfId="0" applyFont="1" applyFill="1" applyAlignment="1" applyProtection="1"/>
    <xf numFmtId="0" fontId="0" fillId="6" borderId="0" xfId="0" applyFill="1" applyAlignment="1" applyProtection="1"/>
    <xf numFmtId="0" fontId="0" fillId="0" borderId="0" xfId="0" applyFill="1" applyProtection="1"/>
    <xf numFmtId="0" fontId="63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0" fontId="43" fillId="0" borderId="0" xfId="0" applyFont="1" applyFill="1" applyAlignment="1" applyProtection="1">
      <alignment horizontal="left"/>
    </xf>
    <xf numFmtId="0" fontId="28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Continuous"/>
    </xf>
    <xf numFmtId="0" fontId="0" fillId="0" borderId="59" xfId="0" applyFill="1" applyBorder="1" applyAlignment="1" applyProtection="1"/>
    <xf numFmtId="0" fontId="0" fillId="6" borderId="0" xfId="0" applyFill="1" applyAlignment="1" applyProtection="1">
      <alignment horizontal="center"/>
    </xf>
    <xf numFmtId="0" fontId="17" fillId="6" borderId="0" xfId="0" applyFont="1" applyFill="1" applyAlignment="1" applyProtection="1">
      <alignment horizontal="center"/>
    </xf>
    <xf numFmtId="0" fontId="0" fillId="6" borderId="3" xfId="0" applyFill="1" applyBorder="1" applyAlignment="1" applyProtection="1">
      <alignment horizontal="center"/>
    </xf>
    <xf numFmtId="0" fontId="0" fillId="0" borderId="24" xfId="0" applyBorder="1" applyAlignment="1" applyProtection="1"/>
    <xf numFmtId="0" fontId="4" fillId="0" borderId="24" xfId="0" applyFont="1" applyFill="1" applyBorder="1" applyProtection="1"/>
    <xf numFmtId="0" fontId="3" fillId="0" borderId="24" xfId="2" applyBorder="1" applyAlignment="1" applyProtection="1"/>
    <xf numFmtId="0" fontId="0" fillId="0" borderId="24" xfId="0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top"/>
    </xf>
    <xf numFmtId="0" fontId="26" fillId="6" borderId="0" xfId="0" applyFont="1" applyFill="1" applyBorder="1" applyAlignment="1" applyProtection="1"/>
    <xf numFmtId="0" fontId="14" fillId="6" borderId="0" xfId="0" applyFont="1" applyFill="1" applyAlignment="1" applyProtection="1">
      <alignment horizontal="center"/>
    </xf>
    <xf numFmtId="0" fontId="14" fillId="6" borderId="0" xfId="0" applyFont="1" applyFill="1" applyBorder="1" applyAlignment="1" applyProtection="1">
      <alignment horizontal="center"/>
    </xf>
    <xf numFmtId="0" fontId="15" fillId="6" borderId="0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4" fillId="6" borderId="0" xfId="0" applyFont="1" applyFill="1" applyBorder="1" applyAlignment="1" applyProtection="1">
      <alignment horizontal="left"/>
    </xf>
    <xf numFmtId="0" fontId="9" fillId="0" borderId="2" xfId="0" quotePrefix="1" applyFont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  <protection locked="0"/>
    </xf>
    <xf numFmtId="0" fontId="83" fillId="0" borderId="0" xfId="0" applyFont="1" applyBorder="1" applyAlignment="1" applyProtection="1">
      <alignment horizontal="left"/>
    </xf>
    <xf numFmtId="0" fontId="3" fillId="0" borderId="0" xfId="2" applyBorder="1" applyAlignment="1" applyProtection="1">
      <alignment horizontal="left"/>
    </xf>
    <xf numFmtId="0" fontId="2" fillId="8" borderId="1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0" fontId="0" fillId="6" borderId="4" xfId="0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right"/>
    </xf>
    <xf numFmtId="0" fontId="0" fillId="6" borderId="0" xfId="0" applyFill="1" applyBorder="1" applyAlignment="1" applyProtection="1"/>
    <xf numFmtId="0" fontId="0" fillId="6" borderId="23" xfId="0" applyFill="1" applyBorder="1" applyAlignment="1" applyProtection="1">
      <alignment horizontal="left"/>
    </xf>
    <xf numFmtId="0" fontId="0" fillId="6" borderId="27" xfId="0" applyFill="1" applyBorder="1" applyAlignment="1" applyProtection="1">
      <alignment horizontal="left"/>
    </xf>
    <xf numFmtId="0" fontId="0" fillId="6" borderId="3" xfId="0" applyFill="1" applyBorder="1" applyAlignment="1" applyProtection="1">
      <alignment horizontal="left"/>
    </xf>
    <xf numFmtId="0" fontId="0" fillId="6" borderId="22" xfId="0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left"/>
    </xf>
    <xf numFmtId="0" fontId="7" fillId="8" borderId="25" xfId="0" applyFont="1" applyFill="1" applyBorder="1" applyAlignment="1" applyProtection="1">
      <alignment horizontal="left"/>
    </xf>
    <xf numFmtId="0" fontId="0" fillId="8" borderId="1" xfId="0" applyFill="1" applyBorder="1" applyAlignment="1" applyProtection="1">
      <alignment horizontal="left"/>
    </xf>
    <xf numFmtId="0" fontId="24" fillId="8" borderId="1" xfId="0" applyFont="1" applyFill="1" applyBorder="1" applyAlignment="1" applyProtection="1">
      <alignment horizontal="center"/>
    </xf>
    <xf numFmtId="0" fontId="84" fillId="8" borderId="1" xfId="0" applyFont="1" applyFill="1" applyBorder="1" applyAlignment="1" applyProtection="1">
      <alignment horizontal="left"/>
    </xf>
    <xf numFmtId="0" fontId="0" fillId="8" borderId="23" xfId="0" applyFill="1" applyBorder="1" applyAlignment="1" applyProtection="1">
      <alignment horizontal="left"/>
    </xf>
    <xf numFmtId="0" fontId="24" fillId="8" borderId="0" xfId="0" applyFont="1" applyFill="1" applyBorder="1" applyAlignment="1" applyProtection="1">
      <alignment horizontal="center"/>
    </xf>
    <xf numFmtId="0" fontId="84" fillId="8" borderId="0" xfId="0" applyFont="1" applyFill="1" applyBorder="1" applyAlignment="1" applyProtection="1">
      <alignment horizontal="left"/>
    </xf>
    <xf numFmtId="0" fontId="28" fillId="8" borderId="23" xfId="0" applyFont="1" applyFill="1" applyBorder="1" applyAlignment="1" applyProtection="1">
      <alignment horizontal="left"/>
    </xf>
    <xf numFmtId="0" fontId="28" fillId="8" borderId="0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horizontal="center" vertical="top"/>
    </xf>
    <xf numFmtId="0" fontId="9" fillId="8" borderId="0" xfId="0" applyFont="1" applyFill="1" applyBorder="1" applyAlignment="1" applyProtection="1">
      <alignment horizontal="center"/>
    </xf>
    <xf numFmtId="0" fontId="2" fillId="8" borderId="23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horizontal="left"/>
    </xf>
    <xf numFmtId="0" fontId="7" fillId="8" borderId="0" xfId="0" applyFont="1" applyFill="1" applyBorder="1" applyAlignment="1" applyProtection="1">
      <alignment horizontal="left"/>
    </xf>
    <xf numFmtId="0" fontId="34" fillId="8" borderId="0" xfId="0" applyFont="1" applyFill="1" applyBorder="1" applyAlignment="1" applyProtection="1">
      <alignment horizontal="center"/>
    </xf>
    <xf numFmtId="0" fontId="43" fillId="8" borderId="23" xfId="0" applyFont="1" applyFill="1" applyBorder="1" applyAlignment="1" applyProtection="1">
      <alignment horizontal="center"/>
    </xf>
    <xf numFmtId="0" fontId="34" fillId="8" borderId="0" xfId="0" applyFont="1" applyFill="1" applyBorder="1" applyAlignment="1" applyProtection="1">
      <alignment horizontal="left"/>
    </xf>
    <xf numFmtId="0" fontId="9" fillId="8" borderId="0" xfId="0" applyFont="1" applyFill="1" applyBorder="1" applyAlignment="1" applyProtection="1">
      <alignment horizontal="left"/>
    </xf>
    <xf numFmtId="0" fontId="7" fillId="8" borderId="23" xfId="0" applyFont="1" applyFill="1" applyBorder="1" applyAlignment="1" applyProtection="1">
      <alignment horizontal="left"/>
    </xf>
    <xf numFmtId="0" fontId="9" fillId="8" borderId="0" xfId="0" applyFont="1" applyFill="1" applyBorder="1" applyAlignment="1" applyProtection="1">
      <alignment horizontal="right"/>
    </xf>
    <xf numFmtId="0" fontId="7" fillId="8" borderId="0" xfId="0" applyFont="1" applyFill="1" applyBorder="1" applyAlignment="1" applyProtection="1">
      <alignment horizontal="center"/>
    </xf>
    <xf numFmtId="0" fontId="64" fillId="8" borderId="0" xfId="0" applyFont="1" applyFill="1" applyBorder="1" applyAlignment="1" applyProtection="1">
      <alignment horizontal="center"/>
    </xf>
    <xf numFmtId="0" fontId="0" fillId="8" borderId="0" xfId="0" applyFill="1" applyBorder="1" applyAlignment="1" applyProtection="1"/>
    <xf numFmtId="0" fontId="0" fillId="8" borderId="23" xfId="0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center"/>
    </xf>
    <xf numFmtId="0" fontId="36" fillId="8" borderId="0" xfId="0" applyFont="1" applyFill="1" applyBorder="1" applyAlignment="1" applyProtection="1">
      <alignment horizontal="left"/>
    </xf>
    <xf numFmtId="0" fontId="0" fillId="8" borderId="23" xfId="0" applyFill="1" applyBorder="1" applyAlignment="1" applyProtection="1"/>
    <xf numFmtId="0" fontId="0" fillId="8" borderId="0" xfId="0" applyFill="1" applyBorder="1" applyAlignment="1" applyProtection="1">
      <alignment horizontal="right"/>
    </xf>
    <xf numFmtId="0" fontId="0" fillId="8" borderId="32" xfId="0" applyFill="1" applyBorder="1" applyAlignment="1" applyProtection="1">
      <alignment horizontal="center"/>
    </xf>
    <xf numFmtId="0" fontId="67" fillId="8" borderId="0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horizontal="right"/>
    </xf>
    <xf numFmtId="1" fontId="2" fillId="8" borderId="4" xfId="0" applyNumberFormat="1" applyFont="1" applyFill="1" applyBorder="1" applyAlignment="1" applyProtection="1">
      <alignment horizontal="center"/>
    </xf>
    <xf numFmtId="0" fontId="0" fillId="8" borderId="0" xfId="0" applyFill="1" applyAlignment="1" applyProtection="1">
      <alignment horizontal="left"/>
    </xf>
    <xf numFmtId="1" fontId="2" fillId="8" borderId="0" xfId="0" applyNumberFormat="1" applyFont="1" applyFill="1" applyBorder="1" applyAlignment="1" applyProtection="1">
      <alignment horizontal="center"/>
    </xf>
    <xf numFmtId="1" fontId="43" fillId="8" borderId="33" xfId="0" applyNumberFormat="1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27" xfId="0" applyFill="1" applyBorder="1" applyAlignment="1" applyProtection="1">
      <alignment horizontal="left"/>
    </xf>
    <xf numFmtId="0" fontId="0" fillId="8" borderId="3" xfId="0" applyFill="1" applyBorder="1" applyAlignment="1" applyProtection="1">
      <alignment horizontal="left"/>
    </xf>
    <xf numFmtId="0" fontId="4" fillId="8" borderId="0" xfId="0" applyFont="1" applyFill="1" applyBorder="1" applyAlignment="1" applyProtection="1">
      <alignment horizontal="right"/>
    </xf>
    <xf numFmtId="0" fontId="4" fillId="8" borderId="22" xfId="0" applyFont="1" applyFill="1" applyBorder="1" applyAlignment="1" applyProtection="1">
      <alignment horizontal="left"/>
    </xf>
    <xf numFmtId="0" fontId="0" fillId="8" borderId="22" xfId="0" applyFill="1" applyBorder="1" applyAlignment="1" applyProtection="1">
      <alignment horizontal="left"/>
    </xf>
    <xf numFmtId="0" fontId="3" fillId="0" borderId="16" xfId="2" applyFill="1" applyBorder="1" applyAlignment="1" applyProtection="1"/>
    <xf numFmtId="0" fontId="0" fillId="8" borderId="25" xfId="0" applyFill="1" applyBorder="1" applyAlignment="1" applyProtection="1"/>
    <xf numFmtId="0" fontId="0" fillId="8" borderId="26" xfId="0" applyFill="1" applyBorder="1" applyAlignment="1" applyProtection="1">
      <alignment horizontal="left"/>
    </xf>
    <xf numFmtId="0" fontId="4" fillId="8" borderId="0" xfId="0" applyFont="1" applyFill="1" applyBorder="1" applyAlignment="1" applyProtection="1">
      <alignment horizontal="left" vertical="center"/>
    </xf>
    <xf numFmtId="0" fontId="0" fillId="8" borderId="0" xfId="0" applyFill="1" applyBorder="1" applyProtection="1"/>
    <xf numFmtId="0" fontId="11" fillId="8" borderId="0" xfId="0" applyFont="1" applyFill="1" applyBorder="1" applyAlignment="1" applyProtection="1">
      <alignment horizontal="left" vertical="center"/>
    </xf>
    <xf numFmtId="0" fontId="35" fillId="8" borderId="0" xfId="4" applyFill="1" applyBorder="1" applyAlignment="1" applyProtection="1">
      <alignment horizontal="left"/>
    </xf>
    <xf numFmtId="0" fontId="12" fillId="8" borderId="4" xfId="4" applyFont="1" applyFill="1" applyBorder="1" applyAlignment="1" applyProtection="1">
      <alignment horizontal="center"/>
    </xf>
    <xf numFmtId="0" fontId="8" fillId="8" borderId="0" xfId="4" applyFont="1" applyFill="1" applyBorder="1" applyAlignment="1" applyProtection="1">
      <alignment horizontal="left"/>
    </xf>
    <xf numFmtId="0" fontId="35" fillId="8" borderId="0" xfId="4" applyFont="1" applyFill="1" applyBorder="1" applyAlignment="1" applyProtection="1">
      <alignment horizontal="left"/>
    </xf>
    <xf numFmtId="0" fontId="4" fillId="8" borderId="4" xfId="0" quotePrefix="1" applyFont="1" applyFill="1" applyBorder="1" applyAlignment="1" applyProtection="1">
      <alignment horizontal="center"/>
    </xf>
    <xf numFmtId="0" fontId="19" fillId="8" borderId="4" xfId="0" quotePrefix="1" applyFont="1" applyFill="1" applyBorder="1" applyAlignment="1" applyProtection="1">
      <alignment horizontal="center"/>
    </xf>
    <xf numFmtId="0" fontId="42" fillId="8" borderId="0" xfId="0" quotePrefix="1" applyFont="1" applyFill="1" applyBorder="1" applyAlignment="1" applyProtection="1">
      <alignment horizontal="center"/>
    </xf>
    <xf numFmtId="0" fontId="42" fillId="8" borderId="0" xfId="0" applyFont="1" applyFill="1" applyBorder="1" applyAlignment="1" applyProtection="1">
      <alignment horizontal="left"/>
    </xf>
    <xf numFmtId="0" fontId="11" fillId="8" borderId="26" xfId="0" applyFont="1" applyFill="1" applyBorder="1" applyAlignment="1" applyProtection="1">
      <alignment horizontal="center"/>
    </xf>
    <xf numFmtId="0" fontId="11" fillId="8" borderId="0" xfId="0" applyFont="1" applyFill="1" applyBorder="1" applyAlignment="1" applyProtection="1">
      <alignment horizontal="center"/>
    </xf>
    <xf numFmtId="0" fontId="0" fillId="8" borderId="23" xfId="0" applyFill="1" applyBorder="1" applyAlignment="1" applyProtection="1">
      <alignment horizontal="right"/>
    </xf>
    <xf numFmtId="0" fontId="72" fillId="8" borderId="27" xfId="0" applyFont="1" applyFill="1" applyBorder="1" applyAlignment="1" applyProtection="1">
      <alignment horizontal="center"/>
    </xf>
    <xf numFmtId="0" fontId="72" fillId="8" borderId="3" xfId="0" applyFont="1" applyFill="1" applyBorder="1" applyAlignment="1" applyProtection="1">
      <alignment horizontal="center"/>
    </xf>
    <xf numFmtId="0" fontId="68" fillId="8" borderId="22" xfId="0" applyFont="1" applyFill="1" applyBorder="1" applyAlignment="1" applyProtection="1">
      <alignment horizontal="left"/>
    </xf>
    <xf numFmtId="0" fontId="68" fillId="8" borderId="0" xfId="0" applyFont="1" applyFill="1" applyBorder="1" applyAlignment="1" applyProtection="1">
      <alignment horizontal="left"/>
    </xf>
    <xf numFmtId="0" fontId="0" fillId="8" borderId="27" xfId="0" applyFill="1" applyBorder="1" applyAlignment="1" applyProtection="1">
      <alignment horizontal="center"/>
    </xf>
    <xf numFmtId="0" fontId="71" fillId="8" borderId="23" xfId="0" applyFont="1" applyFill="1" applyBorder="1" applyAlignment="1" applyProtection="1">
      <alignment horizontal="center"/>
    </xf>
    <xf numFmtId="0" fontId="68" fillId="8" borderId="0" xfId="0" applyFont="1" applyFill="1" applyBorder="1" applyAlignment="1" applyProtection="1">
      <alignment horizontal="center"/>
    </xf>
    <xf numFmtId="0" fontId="68" fillId="8" borderId="23" xfId="0" applyFont="1" applyFill="1" applyBorder="1" applyAlignment="1" applyProtection="1">
      <alignment horizontal="center"/>
    </xf>
    <xf numFmtId="0" fontId="68" fillId="8" borderId="0" xfId="0" applyFont="1" applyFill="1" applyBorder="1" applyAlignment="1" applyProtection="1">
      <alignment horizontal="right"/>
    </xf>
    <xf numFmtId="0" fontId="0" fillId="6" borderId="0" xfId="0" applyFill="1" applyBorder="1" applyAlignment="1" applyProtection="1">
      <alignment horizontal="right" vertical="center"/>
    </xf>
    <xf numFmtId="1" fontId="11" fillId="6" borderId="0" xfId="0" applyNumberFormat="1" applyFont="1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right"/>
    </xf>
    <xf numFmtId="0" fontId="0" fillId="8" borderId="28" xfId="0" applyFill="1" applyBorder="1" applyAlignment="1" applyProtection="1">
      <alignment horizontal="left"/>
    </xf>
    <xf numFmtId="0" fontId="8" fillId="8" borderId="0" xfId="0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/>
    <xf numFmtId="0" fontId="4" fillId="8" borderId="67" xfId="0" applyFont="1" applyFill="1" applyBorder="1" applyAlignment="1" applyProtection="1">
      <alignment horizontal="center"/>
    </xf>
    <xf numFmtId="0" fontId="84" fillId="8" borderId="67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left"/>
    </xf>
    <xf numFmtId="0" fontId="0" fillId="8" borderId="27" xfId="0" applyFill="1" applyBorder="1" applyProtection="1"/>
    <xf numFmtId="0" fontId="0" fillId="8" borderId="3" xfId="0" applyFill="1" applyBorder="1" applyProtection="1"/>
    <xf numFmtId="0" fontId="0" fillId="8" borderId="28" xfId="0" applyFill="1" applyBorder="1" applyProtection="1"/>
    <xf numFmtId="0" fontId="4" fillId="6" borderId="0" xfId="0" quotePrefix="1" applyFont="1" applyFill="1" applyBorder="1" applyAlignment="1" applyProtection="1">
      <alignment horizontal="center"/>
    </xf>
    <xf numFmtId="0" fontId="35" fillId="6" borderId="0" xfId="4" applyFont="1" applyFill="1" applyBorder="1" applyAlignment="1" applyProtection="1">
      <alignment horizontal="left"/>
    </xf>
    <xf numFmtId="0" fontId="19" fillId="6" borderId="0" xfId="0" quotePrefix="1" applyFont="1" applyFill="1" applyBorder="1" applyAlignment="1" applyProtection="1">
      <alignment horizontal="center"/>
    </xf>
    <xf numFmtId="0" fontId="35" fillId="6" borderId="0" xfId="4" applyFill="1" applyBorder="1" applyAlignment="1" applyProtection="1">
      <alignment horizontal="left"/>
    </xf>
    <xf numFmtId="0" fontId="11" fillId="6" borderId="0" xfId="0" applyFont="1" applyFill="1" applyBorder="1" applyAlignment="1" applyProtection="1">
      <alignment horizontal="center"/>
    </xf>
    <xf numFmtId="0" fontId="0" fillId="8" borderId="0" xfId="0" applyFill="1" applyAlignment="1" applyProtection="1"/>
    <xf numFmtId="0" fontId="0" fillId="8" borderId="0" xfId="0" applyFill="1" applyAlignment="1" applyProtection="1">
      <alignment horizontal="center"/>
    </xf>
    <xf numFmtId="0" fontId="37" fillId="8" borderId="0" xfId="0" applyFont="1" applyFill="1" applyAlignment="1" applyProtection="1">
      <alignment horizontal="left"/>
    </xf>
    <xf numFmtId="0" fontId="7" fillId="8" borderId="0" xfId="0" applyFont="1" applyFill="1" applyAlignment="1" applyProtection="1">
      <alignment horizontal="left"/>
    </xf>
    <xf numFmtId="0" fontId="35" fillId="6" borderId="0" xfId="4" applyFill="1" applyAlignment="1" applyProtection="1">
      <alignment horizontal="left"/>
    </xf>
    <xf numFmtId="0" fontId="19" fillId="8" borderId="0" xfId="0" applyFont="1" applyFill="1" applyAlignment="1" applyProtection="1">
      <alignment horizontal="left"/>
    </xf>
    <xf numFmtId="0" fontId="0" fillId="8" borderId="0" xfId="0" applyFill="1" applyAlignment="1" applyProtection="1">
      <alignment horizontal="right"/>
    </xf>
    <xf numFmtId="2" fontId="0" fillId="8" borderId="30" xfId="0" applyNumberFormat="1" applyFill="1" applyBorder="1" applyAlignment="1" applyProtection="1">
      <alignment horizontal="center"/>
    </xf>
    <xf numFmtId="2" fontId="0" fillId="8" borderId="4" xfId="0" applyNumberFormat="1" applyFill="1" applyBorder="1" applyAlignment="1" applyProtection="1">
      <alignment horizontal="center"/>
    </xf>
    <xf numFmtId="0" fontId="11" fillId="8" borderId="0" xfId="0" applyFont="1" applyFill="1" applyAlignment="1" applyProtection="1">
      <alignment horizontal="right"/>
    </xf>
    <xf numFmtId="2" fontId="0" fillId="8" borderId="0" xfId="0" quotePrefix="1" applyNumberFormat="1" applyFill="1" applyAlignment="1" applyProtection="1">
      <alignment horizontal="center"/>
    </xf>
    <xf numFmtId="0" fontId="0" fillId="6" borderId="25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1" fontId="11" fillId="6" borderId="1" xfId="0" applyNumberFormat="1" applyFont="1" applyFill="1" applyBorder="1" applyAlignment="1" applyProtection="1">
      <alignment horizontal="center" vertical="center"/>
    </xf>
    <xf numFmtId="0" fontId="0" fillId="6" borderId="26" xfId="0" applyFill="1" applyBorder="1" applyAlignment="1" applyProtection="1">
      <alignment horizontal="left"/>
    </xf>
    <xf numFmtId="0" fontId="4" fillId="8" borderId="25" xfId="0" applyFont="1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4" fillId="8" borderId="32" xfId="0" applyFont="1" applyFill="1" applyBorder="1" applyAlignment="1" applyProtection="1">
      <alignment horizontal="left"/>
    </xf>
    <xf numFmtId="0" fontId="0" fillId="8" borderId="31" xfId="0" applyFill="1" applyBorder="1" applyAlignment="1" applyProtection="1">
      <alignment horizontal="center"/>
    </xf>
    <xf numFmtId="0" fontId="0" fillId="8" borderId="29" xfId="0" applyFill="1" applyBorder="1" applyAlignment="1" applyProtection="1">
      <alignment horizontal="center"/>
    </xf>
    <xf numFmtId="0" fontId="11" fillId="6" borderId="0" xfId="0" applyFont="1" applyFill="1" applyBorder="1" applyAlignment="1" applyProtection="1"/>
    <xf numFmtId="0" fontId="4" fillId="8" borderId="0" xfId="0" applyFont="1" applyFill="1" applyAlignment="1" applyProtection="1">
      <alignment horizontal="left"/>
    </xf>
    <xf numFmtId="0" fontId="8" fillId="8" borderId="0" xfId="0" applyFont="1" applyFill="1" applyAlignment="1" applyProtection="1">
      <alignment horizontal="right" vertical="center"/>
    </xf>
    <xf numFmtId="2" fontId="11" fillId="8" borderId="33" xfId="0" applyNumberFormat="1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/>
    </xf>
    <xf numFmtId="0" fontId="43" fillId="6" borderId="0" xfId="0" applyFont="1" applyFill="1" applyBorder="1" applyAlignment="1" applyProtection="1">
      <alignment horizontal="center"/>
    </xf>
    <xf numFmtId="0" fontId="0" fillId="8" borderId="25" xfId="0" applyFill="1" applyBorder="1" applyAlignment="1" applyProtection="1">
      <alignment horizontal="left"/>
    </xf>
    <xf numFmtId="0" fontId="0" fillId="6" borderId="28" xfId="0" applyFill="1" applyBorder="1" applyAlignment="1" applyProtection="1">
      <alignment horizontal="left"/>
    </xf>
    <xf numFmtId="0" fontId="9" fillId="8" borderId="23" xfId="0" applyFont="1" applyFill="1" applyBorder="1" applyAlignment="1" applyProtection="1">
      <alignment horizontal="left"/>
    </xf>
    <xf numFmtId="0" fontId="9" fillId="8" borderId="23" xfId="0" applyFont="1" applyFill="1" applyBorder="1" applyAlignment="1" applyProtection="1">
      <alignment horizontal="right"/>
    </xf>
    <xf numFmtId="0" fontId="10" fillId="8" borderId="0" xfId="0" applyFont="1" applyFill="1" applyBorder="1" applyAlignment="1" applyProtection="1">
      <alignment horizontal="left"/>
    </xf>
    <xf numFmtId="0" fontId="10" fillId="8" borderId="0" xfId="0" applyFont="1" applyFill="1" applyBorder="1" applyAlignment="1" applyProtection="1">
      <alignment horizontal="center"/>
    </xf>
    <xf numFmtId="10" fontId="0" fillId="8" borderId="0" xfId="0" applyNumberFormat="1" applyFill="1" applyBorder="1" applyAlignment="1" applyProtection="1">
      <alignment horizontal="center"/>
    </xf>
    <xf numFmtId="0" fontId="0" fillId="6" borderId="0" xfId="0" quotePrefix="1" applyFill="1" applyBorder="1" applyAlignment="1" applyProtection="1">
      <alignment horizontal="center"/>
    </xf>
    <xf numFmtId="0" fontId="0" fillId="6" borderId="0" xfId="0" quotePrefix="1" applyFill="1" applyBorder="1" applyAlignment="1" applyProtection="1">
      <alignment horizontal="left"/>
    </xf>
    <xf numFmtId="0" fontId="68" fillId="6" borderId="0" xfId="0" applyFont="1" applyFill="1" applyBorder="1" applyAlignment="1" applyProtection="1">
      <alignment horizontal="left"/>
    </xf>
    <xf numFmtId="0" fontId="0" fillId="8" borderId="22" xfId="0" applyFill="1" applyBorder="1" applyAlignment="1" applyProtection="1">
      <alignment horizontal="center"/>
    </xf>
    <xf numFmtId="38" fontId="65" fillId="8" borderId="0" xfId="1" applyNumberFormat="1" applyFont="1" applyFill="1" applyBorder="1" applyAlignment="1" applyProtection="1">
      <alignment horizontal="center"/>
    </xf>
    <xf numFmtId="2" fontId="0" fillId="8" borderId="0" xfId="0" applyNumberFormat="1" applyFill="1" applyBorder="1" applyAlignment="1" applyProtection="1">
      <alignment horizontal="center"/>
    </xf>
    <xf numFmtId="0" fontId="0" fillId="8" borderId="0" xfId="0" quotePrefix="1" applyFill="1" applyBorder="1" applyAlignment="1" applyProtection="1">
      <alignment horizontal="left"/>
    </xf>
    <xf numFmtId="2" fontId="0" fillId="8" borderId="3" xfId="0" applyNumberFormat="1" applyFill="1" applyBorder="1" applyAlignment="1" applyProtection="1">
      <alignment horizontal="center"/>
    </xf>
    <xf numFmtId="0" fontId="85" fillId="8" borderId="25" xfId="0" applyFont="1" applyFill="1" applyBorder="1" applyAlignment="1" applyProtection="1">
      <alignment horizontal="left"/>
    </xf>
    <xf numFmtId="0" fontId="10" fillId="8" borderId="1" xfId="0" applyFont="1" applyFill="1" applyBorder="1" applyAlignment="1" applyProtection="1">
      <alignment horizontal="left"/>
    </xf>
    <xf numFmtId="0" fontId="0" fillId="6" borderId="34" xfId="0" applyFill="1" applyBorder="1" applyProtection="1"/>
    <xf numFmtId="0" fontId="0" fillId="8" borderId="0" xfId="0" applyFill="1" applyProtection="1"/>
    <xf numFmtId="0" fontId="37" fillId="8" borderId="25" xfId="0" applyFont="1" applyFill="1" applyBorder="1" applyAlignment="1" applyProtection="1">
      <alignment horizontal="left"/>
    </xf>
    <xf numFmtId="0" fontId="0" fillId="8" borderId="26" xfId="0" applyFill="1" applyBorder="1" applyProtection="1"/>
    <xf numFmtId="0" fontId="0" fillId="8" borderId="22" xfId="0" applyFill="1" applyBorder="1" applyProtection="1"/>
    <xf numFmtId="0" fontId="4" fillId="8" borderId="0" xfId="0" applyFont="1" applyFill="1" applyAlignment="1" applyProtection="1">
      <alignment horizontal="right" vertical="center"/>
    </xf>
    <xf numFmtId="2" fontId="1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Alignment="1" applyProtection="1">
      <alignment horizontal="left"/>
    </xf>
    <xf numFmtId="0" fontId="8" fillId="8" borderId="0" xfId="0" applyFont="1" applyFill="1" applyAlignment="1" applyProtection="1">
      <alignment horizontal="left" vertical="center"/>
    </xf>
    <xf numFmtId="0" fontId="22" fillId="8" borderId="0" xfId="0" applyFont="1" applyFill="1" applyAlignment="1" applyProtection="1">
      <alignment horizontal="left" vertical="center"/>
    </xf>
    <xf numFmtId="0" fontId="0" fillId="0" borderId="23" xfId="0" applyFill="1" applyBorder="1" applyAlignment="1" applyProtection="1">
      <alignment horizontal="center"/>
    </xf>
    <xf numFmtId="2" fontId="0" fillId="0" borderId="4" xfId="0" applyNumberForma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0" fillId="0" borderId="27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20" fillId="8" borderId="0" xfId="0" applyFont="1" applyFill="1" applyAlignment="1" applyProtection="1">
      <alignment horizontal="left"/>
    </xf>
    <xf numFmtId="0" fontId="9" fillId="10" borderId="25" xfId="0" applyFont="1" applyFill="1" applyBorder="1" applyAlignment="1" applyProtection="1">
      <alignment horizontal="center"/>
    </xf>
    <xf numFmtId="0" fontId="10" fillId="10" borderId="1" xfId="0" applyFont="1" applyFill="1" applyBorder="1" applyAlignment="1" applyProtection="1">
      <alignment horizontal="left"/>
    </xf>
    <xf numFmtId="0" fontId="10" fillId="10" borderId="26" xfId="0" applyFont="1" applyFill="1" applyBorder="1" applyAlignment="1" applyProtection="1">
      <alignment horizontal="left"/>
    </xf>
    <xf numFmtId="0" fontId="11" fillId="6" borderId="0" xfId="0" applyFont="1" applyFill="1" applyAlignment="1" applyProtection="1">
      <alignment horizontal="centerContinuous"/>
    </xf>
    <xf numFmtId="38" fontId="16" fillId="8" borderId="4" xfId="1" applyNumberFormat="1" applyFont="1" applyFill="1" applyBorder="1" applyAlignment="1" applyProtection="1">
      <alignment horizontal="center"/>
    </xf>
    <xf numFmtId="0" fontId="9" fillId="10" borderId="23" xfId="0" applyFont="1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left"/>
    </xf>
    <xf numFmtId="0" fontId="0" fillId="10" borderId="22" xfId="0" applyFill="1" applyBorder="1" applyAlignment="1" applyProtection="1">
      <alignment horizontal="left"/>
    </xf>
    <xf numFmtId="0" fontId="13" fillId="8" borderId="0" xfId="0" applyFont="1" applyFill="1" applyAlignment="1" applyProtection="1">
      <alignment horizontal="left"/>
    </xf>
    <xf numFmtId="0" fontId="13" fillId="10" borderId="23" xfId="0" applyFont="1" applyFill="1" applyBorder="1" applyAlignment="1" applyProtection="1">
      <alignment horizontal="left"/>
    </xf>
    <xf numFmtId="0" fontId="14" fillId="10" borderId="0" xfId="0" applyFont="1" applyFill="1" applyBorder="1" applyAlignment="1" applyProtection="1">
      <alignment horizontal="left"/>
    </xf>
    <xf numFmtId="0" fontId="14" fillId="10" borderId="22" xfId="0" applyFont="1" applyFill="1" applyBorder="1" applyAlignment="1" applyProtection="1">
      <alignment horizontal="left"/>
    </xf>
    <xf numFmtId="0" fontId="12" fillId="8" borderId="0" xfId="0" applyFont="1" applyFill="1" applyAlignment="1" applyProtection="1">
      <alignment horizontal="center"/>
    </xf>
    <xf numFmtId="0" fontId="12" fillId="10" borderId="23" xfId="0" applyFont="1" applyFill="1" applyBorder="1" applyAlignment="1" applyProtection="1">
      <alignment horizontal="center"/>
    </xf>
    <xf numFmtId="0" fontId="0" fillId="10" borderId="23" xfId="0" applyFill="1" applyBorder="1" applyAlignment="1" applyProtection="1">
      <alignment horizontal="left"/>
    </xf>
    <xf numFmtId="0" fontId="15" fillId="10" borderId="0" xfId="0" applyFont="1" applyFill="1" applyBorder="1" applyAlignment="1" applyProtection="1"/>
    <xf numFmtId="0" fontId="15" fillId="10" borderId="22" xfId="0" applyFont="1" applyFill="1" applyBorder="1" applyAlignment="1" applyProtection="1"/>
    <xf numFmtId="0" fontId="14" fillId="8" borderId="35" xfId="0" applyFont="1" applyFill="1" applyBorder="1" applyAlignment="1" applyProtection="1">
      <alignment horizontal="left"/>
    </xf>
    <xf numFmtId="0" fontId="14" fillId="8" borderId="36" xfId="0" applyFont="1" applyFill="1" applyBorder="1" applyAlignment="1" applyProtection="1">
      <alignment horizontal="center"/>
    </xf>
    <xf numFmtId="0" fontId="14" fillId="8" borderId="37" xfId="0" applyFont="1" applyFill="1" applyBorder="1" applyAlignment="1" applyProtection="1">
      <alignment horizontal="center"/>
    </xf>
    <xf numFmtId="0" fontId="14" fillId="8" borderId="38" xfId="0" applyFont="1" applyFill="1" applyBorder="1" applyAlignment="1" applyProtection="1">
      <alignment horizontal="left"/>
    </xf>
    <xf numFmtId="0" fontId="14" fillId="8" borderId="39" xfId="0" applyFont="1" applyFill="1" applyBorder="1" applyAlignment="1" applyProtection="1">
      <alignment horizontal="center"/>
    </xf>
    <xf numFmtId="0" fontId="14" fillId="8" borderId="40" xfId="0" applyFont="1" applyFill="1" applyBorder="1" applyAlignment="1" applyProtection="1">
      <alignment horizontal="center"/>
    </xf>
    <xf numFmtId="0" fontId="14" fillId="8" borderId="39" xfId="0" applyFont="1" applyFill="1" applyBorder="1" applyAlignment="1" applyProtection="1">
      <alignment horizontal="left"/>
    </xf>
    <xf numFmtId="0" fontId="14" fillId="8" borderId="40" xfId="0" applyFont="1" applyFill="1" applyBorder="1" applyAlignment="1" applyProtection="1">
      <alignment horizontal="left"/>
    </xf>
    <xf numFmtId="0" fontId="14" fillId="8" borderId="41" xfId="0" applyFont="1" applyFill="1" applyBorder="1" applyAlignment="1" applyProtection="1"/>
    <xf numFmtId="1" fontId="14" fillId="8" borderId="42" xfId="0" quotePrefix="1" applyNumberFormat="1" applyFont="1" applyFill="1" applyBorder="1" applyAlignment="1" applyProtection="1">
      <alignment horizontal="center"/>
    </xf>
    <xf numFmtId="1" fontId="14" fillId="8" borderId="28" xfId="0" applyNumberFormat="1" applyFont="1" applyFill="1" applyBorder="1" applyAlignment="1" applyProtection="1">
      <alignment horizontal="center"/>
    </xf>
    <xf numFmtId="16" fontId="0" fillId="8" borderId="0" xfId="0" applyNumberFormat="1" applyFill="1" applyAlignment="1" applyProtection="1">
      <alignment horizontal="center"/>
    </xf>
    <xf numFmtId="38" fontId="16" fillId="8" borderId="33" xfId="1" applyNumberFormat="1" applyFont="1" applyFill="1" applyBorder="1" applyAlignment="1" applyProtection="1">
      <alignment horizontal="center"/>
    </xf>
    <xf numFmtId="0" fontId="14" fillId="6" borderId="0" xfId="0" applyFont="1" applyFill="1" applyAlignment="1" applyProtection="1">
      <alignment horizontal="left"/>
    </xf>
    <xf numFmtId="0" fontId="39" fillId="8" borderId="0" xfId="0" applyFont="1" applyFill="1" applyBorder="1" applyAlignment="1" applyProtection="1">
      <alignment horizontal="left"/>
    </xf>
    <xf numFmtId="0" fontId="0" fillId="10" borderId="3" xfId="0" applyFill="1" applyBorder="1" applyAlignment="1" applyProtection="1">
      <alignment horizontal="left"/>
    </xf>
    <xf numFmtId="0" fontId="14" fillId="10" borderId="3" xfId="0" applyFont="1" applyFill="1" applyBorder="1" applyAlignment="1" applyProtection="1">
      <alignment horizontal="left"/>
    </xf>
    <xf numFmtId="38" fontId="16" fillId="8" borderId="0" xfId="1" applyNumberFormat="1" applyFont="1" applyFill="1" applyBorder="1" applyAlignment="1" applyProtection="1">
      <alignment horizontal="center"/>
    </xf>
    <xf numFmtId="0" fontId="9" fillId="6" borderId="0" xfId="0" applyFont="1" applyFill="1" applyAlignment="1" applyProtection="1">
      <alignment horizontal="center"/>
    </xf>
    <xf numFmtId="0" fontId="3" fillId="6" borderId="16" xfId="2" applyFill="1" applyBorder="1" applyAlignment="1" applyProtection="1">
      <alignment horizontal="center"/>
    </xf>
    <xf numFmtId="0" fontId="3" fillId="6" borderId="16" xfId="2" applyFill="1" applyBorder="1" applyAlignment="1" applyProtection="1"/>
    <xf numFmtId="0" fontId="70" fillId="0" borderId="0" xfId="0" applyFont="1" applyProtection="1"/>
    <xf numFmtId="0" fontId="0" fillId="0" borderId="3" xfId="0" applyFill="1" applyBorder="1" applyAlignment="1" applyProtection="1">
      <alignment horizontal="center"/>
    </xf>
    <xf numFmtId="0" fontId="70" fillId="0" borderId="3" xfId="0" applyFont="1" applyFill="1" applyBorder="1" applyAlignment="1" applyProtection="1">
      <alignment horizontal="center"/>
    </xf>
    <xf numFmtId="2" fontId="0" fillId="0" borderId="43" xfId="0" applyNumberFormat="1" applyFont="1" applyBorder="1" applyAlignment="1" applyProtection="1">
      <alignment horizontal="center"/>
    </xf>
    <xf numFmtId="2" fontId="0" fillId="0" borderId="44" xfId="0" applyNumberFormat="1" applyFont="1" applyBorder="1" applyAlignment="1" applyProtection="1">
      <alignment horizontal="center"/>
    </xf>
    <xf numFmtId="164" fontId="0" fillId="5" borderId="4" xfId="0" applyNumberFormat="1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3" fillId="0" borderId="0" xfId="2" applyBorder="1" applyAlignment="1" applyProtection="1">
      <alignment horizontal="left"/>
      <protection locked="0"/>
    </xf>
    <xf numFmtId="0" fontId="34" fillId="0" borderId="0" xfId="5" applyFont="1" applyFill="1" applyBorder="1" applyAlignment="1" applyProtection="1">
      <alignment horizontal="center"/>
    </xf>
    <xf numFmtId="0" fontId="0" fillId="0" borderId="0" xfId="0" applyProtection="1"/>
    <xf numFmtId="0" fontId="68" fillId="0" borderId="0" xfId="0" applyFont="1" applyBorder="1" applyAlignment="1" applyProtection="1">
      <alignment horizontal="center" wrapText="1"/>
    </xf>
    <xf numFmtId="9" fontId="33" fillId="0" borderId="0" xfId="7" applyFont="1" applyBorder="1" applyAlignment="1" applyProtection="1">
      <alignment horizontal="left"/>
    </xf>
    <xf numFmtId="0" fontId="8" fillId="0" borderId="68" xfId="0" applyFont="1" applyFill="1" applyBorder="1" applyAlignment="1" applyProtection="1">
      <alignment horizontal="center"/>
      <protection locked="0"/>
    </xf>
    <xf numFmtId="166" fontId="8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0" fillId="9" borderId="69" xfId="0" applyNumberFormat="1" applyFill="1" applyBorder="1" applyAlignment="1" applyProtection="1">
      <alignment horizontal="center"/>
      <protection locked="0"/>
    </xf>
    <xf numFmtId="0" fontId="1" fillId="7" borderId="4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protection locked="0"/>
    </xf>
    <xf numFmtId="0" fontId="0" fillId="11" borderId="0" xfId="0" applyFill="1" applyAlignment="1" applyProtection="1">
      <alignment horizontal="left"/>
    </xf>
    <xf numFmtId="0" fontId="62" fillId="11" borderId="0" xfId="0" applyFont="1" applyFill="1" applyAlignment="1" applyProtection="1">
      <alignment horizontal="left"/>
    </xf>
    <xf numFmtId="0" fontId="0" fillId="11" borderId="0" xfId="0" applyFill="1" applyAlignment="1" applyProtection="1"/>
    <xf numFmtId="0" fontId="20" fillId="11" borderId="0" xfId="0" applyFont="1" applyFill="1" applyAlignment="1" applyProtection="1">
      <alignment horizontal="left"/>
    </xf>
    <xf numFmtId="0" fontId="7" fillId="11" borderId="0" xfId="0" applyFont="1" applyFill="1" applyAlignment="1" applyProtection="1">
      <alignment horizontal="left"/>
    </xf>
    <xf numFmtId="0" fontId="4" fillId="11" borderId="0" xfId="0" applyFont="1" applyFill="1" applyAlignment="1" applyProtection="1">
      <alignment horizontal="left"/>
    </xf>
    <xf numFmtId="0" fontId="0" fillId="11" borderId="0" xfId="0" applyFill="1" applyAlignment="1" applyProtection="1">
      <alignment horizontal="center"/>
    </xf>
    <xf numFmtId="0" fontId="0" fillId="11" borderId="1" xfId="0" applyFill="1" applyBorder="1" applyAlignment="1" applyProtection="1"/>
    <xf numFmtId="0" fontId="4" fillId="11" borderId="0" xfId="0" applyFont="1" applyFill="1" applyAlignment="1" applyProtection="1"/>
    <xf numFmtId="0" fontId="0" fillId="11" borderId="3" xfId="0" applyFill="1" applyBorder="1" applyAlignment="1" applyProtection="1"/>
    <xf numFmtId="0" fontId="0" fillId="11" borderId="4" xfId="0" applyFill="1" applyBorder="1" applyAlignment="1" applyProtection="1">
      <alignment horizontal="center"/>
    </xf>
    <xf numFmtId="0" fontId="0" fillId="11" borderId="11" xfId="0" applyFill="1" applyBorder="1" applyAlignment="1" applyProtection="1">
      <alignment horizontal="center"/>
    </xf>
    <xf numFmtId="0" fontId="0" fillId="11" borderId="0" xfId="0" applyFill="1" applyAlignment="1" applyProtection="1">
      <alignment horizontal="right"/>
    </xf>
    <xf numFmtId="0" fontId="0" fillId="11" borderId="33" xfId="0" applyFill="1" applyBorder="1" applyAlignment="1" applyProtection="1">
      <alignment horizontal="center"/>
    </xf>
    <xf numFmtId="0" fontId="14" fillId="11" borderId="0" xfId="0" applyFont="1" applyFill="1" applyAlignment="1" applyProtection="1">
      <alignment horizontal="left"/>
    </xf>
    <xf numFmtId="0" fontId="6" fillId="11" borderId="0" xfId="0" applyFont="1" applyFill="1" applyAlignment="1" applyProtection="1">
      <alignment horizontal="left"/>
    </xf>
    <xf numFmtId="0" fontId="27" fillId="11" borderId="0" xfId="0" applyFont="1" applyFill="1" applyProtection="1"/>
    <xf numFmtId="0" fontId="9" fillId="11" borderId="0" xfId="0" applyFont="1" applyFill="1" applyAlignment="1" applyProtection="1">
      <alignment horizontal="center"/>
    </xf>
    <xf numFmtId="0" fontId="12" fillId="11" borderId="0" xfId="0" applyFont="1" applyFill="1" applyBorder="1" applyAlignment="1" applyProtection="1">
      <alignment horizontal="right"/>
    </xf>
    <xf numFmtId="0" fontId="12" fillId="11" borderId="4" xfId="0" applyFont="1" applyFill="1" applyBorder="1" applyAlignment="1" applyProtection="1">
      <alignment horizontal="center"/>
    </xf>
    <xf numFmtId="0" fontId="36" fillId="11" borderId="0" xfId="0" applyFont="1" applyFill="1" applyAlignment="1" applyProtection="1">
      <alignment horizontal="left" vertical="top"/>
    </xf>
    <xf numFmtId="0" fontId="0" fillId="11" borderId="0" xfId="0" applyFill="1" applyProtection="1"/>
    <xf numFmtId="0" fontId="23" fillId="11" borderId="0" xfId="0" applyFont="1" applyFill="1" applyProtection="1"/>
    <xf numFmtId="0" fontId="12" fillId="11" borderId="0" xfId="0" applyFont="1" applyFill="1" applyAlignment="1" applyProtection="1">
      <alignment horizontal="left"/>
    </xf>
    <xf numFmtId="0" fontId="11" fillId="11" borderId="0" xfId="0" applyFont="1" applyFill="1" applyProtection="1"/>
    <xf numFmtId="0" fontId="29" fillId="11" borderId="0" xfId="0" applyFont="1" applyFill="1" applyAlignment="1" applyProtection="1">
      <alignment horizontal="center"/>
    </xf>
    <xf numFmtId="0" fontId="23" fillId="11" borderId="0" xfId="0" applyFont="1" applyFill="1" applyAlignment="1" applyProtection="1">
      <alignment horizontal="center"/>
    </xf>
    <xf numFmtId="0" fontId="28" fillId="11" borderId="0" xfId="0" applyFont="1" applyFill="1" applyAlignment="1" applyProtection="1">
      <alignment horizontal="center"/>
    </xf>
    <xf numFmtId="0" fontId="12" fillId="11" borderId="0" xfId="0" applyFont="1" applyFill="1" applyBorder="1" applyAlignment="1" applyProtection="1">
      <alignment horizontal="center"/>
    </xf>
    <xf numFmtId="0" fontId="12" fillId="11" borderId="0" xfId="0" applyFont="1" applyFill="1" applyAlignment="1" applyProtection="1">
      <alignment horizontal="center"/>
    </xf>
    <xf numFmtId="0" fontId="35" fillId="11" borderId="0" xfId="0" applyFont="1" applyFill="1" applyAlignment="1" applyProtection="1">
      <alignment horizontal="right"/>
    </xf>
    <xf numFmtId="0" fontId="30" fillId="11" borderId="0" xfId="0" applyFont="1" applyFill="1" applyAlignment="1" applyProtection="1">
      <alignment horizontal="center"/>
    </xf>
    <xf numFmtId="0" fontId="37" fillId="11" borderId="0" xfId="0" applyFont="1" applyFill="1" applyAlignment="1" applyProtection="1">
      <alignment horizontal="left"/>
    </xf>
    <xf numFmtId="0" fontId="27" fillId="11" borderId="0" xfId="0" applyFont="1" applyFill="1" applyAlignment="1" applyProtection="1">
      <alignment horizontal="left"/>
    </xf>
    <xf numFmtId="0" fontId="31" fillId="11" borderId="0" xfId="0" applyFont="1" applyFill="1" applyAlignment="1" applyProtection="1">
      <alignment horizontal="right"/>
    </xf>
    <xf numFmtId="0" fontId="29" fillId="11" borderId="0" xfId="0" applyFont="1" applyFill="1" applyAlignment="1" applyProtection="1">
      <alignment horizontal="left"/>
    </xf>
    <xf numFmtId="0" fontId="28" fillId="11" borderId="0" xfId="0" applyFont="1" applyFill="1" applyAlignment="1" applyProtection="1">
      <alignment horizontal="left"/>
    </xf>
    <xf numFmtId="0" fontId="11" fillId="11" borderId="0" xfId="0" applyFont="1" applyFill="1" applyAlignment="1" applyProtection="1">
      <alignment horizontal="left"/>
    </xf>
    <xf numFmtId="0" fontId="40" fillId="11" borderId="0" xfId="0" applyFont="1" applyFill="1" applyAlignment="1" applyProtection="1">
      <alignment horizontal="left"/>
    </xf>
    <xf numFmtId="0" fontId="35" fillId="11" borderId="0" xfId="0" applyFont="1" applyFill="1" applyProtection="1"/>
    <xf numFmtId="0" fontId="8" fillId="11" borderId="0" xfId="0" applyFont="1" applyFill="1" applyProtection="1"/>
    <xf numFmtId="0" fontId="8" fillId="11" borderId="0" xfId="0" applyFont="1" applyFill="1" applyAlignment="1" applyProtection="1">
      <alignment horizontal="center"/>
    </xf>
    <xf numFmtId="0" fontId="9" fillId="11" borderId="1" xfId="0" applyFont="1" applyFill="1" applyBorder="1" applyAlignment="1" applyProtection="1">
      <alignment horizontal="center"/>
    </xf>
    <xf numFmtId="0" fontId="11" fillId="11" borderId="0" xfId="0" applyFont="1" applyFill="1" applyAlignment="1" applyProtection="1">
      <alignment horizontal="center"/>
    </xf>
    <xf numFmtId="0" fontId="25" fillId="11" borderId="0" xfId="0" applyFont="1" applyFill="1" applyProtection="1"/>
    <xf numFmtId="0" fontId="7" fillId="11" borderId="0" xfId="0" applyFont="1" applyFill="1" applyAlignment="1" applyProtection="1">
      <alignment horizontal="center"/>
    </xf>
    <xf numFmtId="0" fontId="4" fillId="11" borderId="0" xfId="0" applyFont="1" applyFill="1" applyAlignment="1" applyProtection="1">
      <alignment horizontal="right"/>
    </xf>
    <xf numFmtId="0" fontId="25" fillId="11" borderId="0" xfId="0" applyFont="1" applyFill="1" applyAlignment="1" applyProtection="1">
      <alignment horizontal="center"/>
    </xf>
    <xf numFmtId="0" fontId="0" fillId="11" borderId="0" xfId="0" applyFill="1" applyBorder="1" applyAlignment="1" applyProtection="1">
      <alignment horizontal="center"/>
    </xf>
    <xf numFmtId="0" fontId="25" fillId="11" borderId="3" xfId="0" applyFont="1" applyFill="1" applyBorder="1" applyAlignment="1" applyProtection="1">
      <alignment horizontal="center"/>
    </xf>
    <xf numFmtId="0" fontId="12" fillId="11" borderId="1" xfId="0" applyFont="1" applyFill="1" applyBorder="1" applyAlignment="1" applyProtection="1">
      <alignment horizontal="center"/>
    </xf>
    <xf numFmtId="0" fontId="30" fillId="11" borderId="0" xfId="0" applyFont="1" applyFill="1" applyBorder="1" applyAlignment="1" applyProtection="1">
      <alignment horizontal="center"/>
    </xf>
    <xf numFmtId="0" fontId="33" fillId="11" borderId="0" xfId="0" applyFont="1" applyFill="1" applyAlignment="1" applyProtection="1">
      <alignment horizontal="left"/>
    </xf>
    <xf numFmtId="0" fontId="34" fillId="11" borderId="0" xfId="0" applyFont="1" applyFill="1" applyAlignment="1" applyProtection="1">
      <alignment horizontal="left"/>
    </xf>
    <xf numFmtId="0" fontId="32" fillId="11" borderId="0" xfId="0" applyFont="1" applyFill="1" applyAlignment="1" applyProtection="1">
      <alignment horizontal="center"/>
    </xf>
    <xf numFmtId="2" fontId="4" fillId="11" borderId="4" xfId="0" applyNumberFormat="1" applyFont="1" applyFill="1" applyBorder="1" applyAlignment="1" applyProtection="1">
      <alignment horizontal="center"/>
    </xf>
    <xf numFmtId="0" fontId="8" fillId="11" borderId="0" xfId="0" applyFont="1" applyFill="1" applyAlignment="1" applyProtection="1">
      <alignment horizontal="left"/>
    </xf>
    <xf numFmtId="0" fontId="91" fillId="0" borderId="0" xfId="0" applyFont="1" applyFill="1" applyAlignment="1" applyProtection="1">
      <alignment horizontal="left"/>
    </xf>
    <xf numFmtId="0" fontId="83" fillId="0" borderId="0" xfId="0" applyFont="1" applyBorder="1" applyAlignment="1" applyProtection="1">
      <alignment horizontal="left" wrapText="1"/>
    </xf>
    <xf numFmtId="2" fontId="21" fillId="0" borderId="30" xfId="0" applyNumberFormat="1" applyFont="1" applyFill="1" applyBorder="1" applyAlignment="1" applyProtection="1">
      <alignment horizontal="center" vertical="center"/>
    </xf>
    <xf numFmtId="2" fontId="21" fillId="0" borderId="12" xfId="0" applyNumberFormat="1" applyFont="1" applyFill="1" applyBorder="1" applyAlignment="1" applyProtection="1">
      <alignment horizontal="center" vertical="center"/>
    </xf>
    <xf numFmtId="2" fontId="21" fillId="0" borderId="11" xfId="0" applyNumberFormat="1" applyFont="1" applyFill="1" applyBorder="1" applyAlignment="1" applyProtection="1">
      <alignment horizontal="center" vertical="center"/>
    </xf>
    <xf numFmtId="0" fontId="86" fillId="0" borderId="0" xfId="0" applyFont="1" applyBorder="1" applyAlignment="1" applyProtection="1">
      <alignment horizontal="center" vertical="top"/>
    </xf>
    <xf numFmtId="0" fontId="66" fillId="0" borderId="0" xfId="2" applyFont="1" applyBorder="1" applyAlignment="1" applyProtection="1">
      <alignment horizontal="left"/>
      <protection locked="0"/>
    </xf>
    <xf numFmtId="0" fontId="86" fillId="0" borderId="0" xfId="0" applyFont="1" applyBorder="1" applyAlignment="1" applyProtection="1">
      <alignment horizontal="center" vertical="center"/>
    </xf>
    <xf numFmtId="0" fontId="73" fillId="0" borderId="0" xfId="0" applyFont="1" applyBorder="1" applyAlignment="1" applyProtection="1">
      <alignment horizontal="center"/>
    </xf>
    <xf numFmtId="0" fontId="21" fillId="0" borderId="30" xfId="0" quotePrefix="1" applyFont="1" applyFill="1" applyBorder="1" applyAlignment="1" applyProtection="1">
      <alignment horizontal="center" vertical="center"/>
    </xf>
    <xf numFmtId="0" fontId="21" fillId="0" borderId="11" xfId="0" quotePrefix="1" applyFont="1" applyFill="1" applyBorder="1" applyAlignment="1" applyProtection="1">
      <alignment horizontal="center" vertical="center"/>
    </xf>
    <xf numFmtId="0" fontId="0" fillId="0" borderId="0" xfId="0"/>
    <xf numFmtId="0" fontId="0" fillId="5" borderId="70" xfId="0" applyFill="1" applyBorder="1" applyAlignment="1" applyProtection="1">
      <alignment horizontal="center"/>
      <protection locked="0"/>
    </xf>
    <xf numFmtId="0" fontId="0" fillId="5" borderId="44" xfId="0" applyFill="1" applyBorder="1" applyAlignment="1" applyProtection="1">
      <alignment horizontal="center"/>
      <protection locked="0"/>
    </xf>
    <xf numFmtId="0" fontId="0" fillId="5" borderId="71" xfId="0" applyFill="1" applyBorder="1" applyAlignment="1" applyProtection="1">
      <alignment horizontal="center"/>
      <protection locked="0"/>
    </xf>
    <xf numFmtId="0" fontId="83" fillId="0" borderId="0" xfId="0" applyFont="1" applyBorder="1" applyAlignment="1" applyProtection="1">
      <alignment horizontal="left"/>
    </xf>
    <xf numFmtId="0" fontId="83" fillId="5" borderId="70" xfId="0" applyFont="1" applyFill="1" applyBorder="1" applyAlignment="1" applyProtection="1">
      <alignment horizontal="center"/>
      <protection locked="0"/>
    </xf>
    <xf numFmtId="0" fontId="83" fillId="5" borderId="44" xfId="0" applyFont="1" applyFill="1" applyBorder="1" applyAlignment="1" applyProtection="1">
      <alignment horizontal="center"/>
      <protection locked="0"/>
    </xf>
    <xf numFmtId="0" fontId="83" fillId="5" borderId="71" xfId="0" applyFont="1" applyFill="1" applyBorder="1" applyAlignment="1" applyProtection="1">
      <alignment horizontal="center"/>
      <protection locked="0"/>
    </xf>
    <xf numFmtId="0" fontId="80" fillId="0" borderId="0" xfId="0" applyFont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/>
    </xf>
    <xf numFmtId="0" fontId="89" fillId="0" borderId="0" xfId="0" applyFont="1" applyBorder="1" applyAlignment="1" applyProtection="1">
      <alignment horizontal="center" wrapText="1"/>
    </xf>
    <xf numFmtId="0" fontId="89" fillId="0" borderId="61" xfId="0" applyFont="1" applyBorder="1" applyAlignment="1" applyProtection="1">
      <alignment horizontal="center" wrapText="1"/>
    </xf>
    <xf numFmtId="0" fontId="2" fillId="7" borderId="25" xfId="0" applyFont="1" applyFill="1" applyBorder="1" applyAlignment="1" applyProtection="1">
      <alignment horizontal="left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2" fillId="7" borderId="26" xfId="0" applyFont="1" applyFill="1" applyBorder="1" applyAlignment="1" applyProtection="1">
      <alignment horizontal="left" vertical="top" wrapText="1"/>
      <protection locked="0"/>
    </xf>
    <xf numFmtId="0" fontId="2" fillId="7" borderId="23" xfId="0" applyFont="1" applyFill="1" applyBorder="1" applyAlignment="1" applyProtection="1">
      <alignment horizontal="left" vertical="top" wrapText="1"/>
      <protection locked="0"/>
    </xf>
    <xf numFmtId="0" fontId="2" fillId="7" borderId="0" xfId="0" applyFont="1" applyFill="1" applyBorder="1" applyAlignment="1" applyProtection="1">
      <alignment horizontal="left" vertical="top" wrapText="1"/>
      <protection locked="0"/>
    </xf>
    <xf numFmtId="0" fontId="2" fillId="7" borderId="22" xfId="0" applyFont="1" applyFill="1" applyBorder="1" applyAlignment="1" applyProtection="1">
      <alignment horizontal="left" vertical="top" wrapText="1"/>
      <protection locked="0"/>
    </xf>
    <xf numFmtId="0" fontId="2" fillId="7" borderId="27" xfId="0" applyFont="1" applyFill="1" applyBorder="1" applyAlignment="1" applyProtection="1">
      <alignment horizontal="left" vertical="top" wrapText="1"/>
      <protection locked="0"/>
    </xf>
    <xf numFmtId="0" fontId="2" fillId="7" borderId="3" xfId="0" applyFont="1" applyFill="1" applyBorder="1" applyAlignment="1" applyProtection="1">
      <alignment horizontal="left" vertical="top" wrapText="1"/>
      <protection locked="0"/>
    </xf>
    <xf numFmtId="0" fontId="2" fillId="7" borderId="28" xfId="0" applyFont="1" applyFill="1" applyBorder="1" applyAlignment="1" applyProtection="1">
      <alignment horizontal="left" vertical="top" wrapText="1"/>
      <protection locked="0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0" fontId="35" fillId="7" borderId="29" xfId="0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/>
    </xf>
    <xf numFmtId="0" fontId="60" fillId="11" borderId="0" xfId="0" applyFont="1" applyFill="1" applyAlignment="1" applyProtection="1">
      <alignment horizontal="center"/>
    </xf>
    <xf numFmtId="0" fontId="3" fillId="0" borderId="0" xfId="2" applyBorder="1" applyAlignment="1" applyProtection="1">
      <alignment horizontal="left"/>
      <protection locked="0"/>
    </xf>
    <xf numFmtId="0" fontId="34" fillId="0" borderId="0" xfId="5" applyFont="1" applyFill="1" applyBorder="1" applyAlignment="1" applyProtection="1">
      <alignment horizontal="center"/>
    </xf>
    <xf numFmtId="0" fontId="79" fillId="0" borderId="0" xfId="2" applyFont="1" applyBorder="1" applyAlignment="1" applyProtection="1">
      <alignment horizontal="right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0" borderId="0" xfId="0" applyProtection="1"/>
    <xf numFmtId="0" fontId="79" fillId="0" borderId="0" xfId="2" applyFont="1" applyBorder="1" applyAlignment="1" applyProtection="1">
      <alignment horizontal="center"/>
      <protection locked="0"/>
    </xf>
    <xf numFmtId="0" fontId="14" fillId="8" borderId="0" xfId="0" applyFont="1" applyFill="1" applyBorder="1" applyAlignment="1" applyProtection="1">
      <alignment horizontal="center"/>
    </xf>
    <xf numFmtId="0" fontId="23" fillId="0" borderId="14" xfId="0" applyFont="1" applyBorder="1" applyAlignment="1" applyProtection="1">
      <alignment horizontal="center" textRotation="90"/>
    </xf>
    <xf numFmtId="0" fontId="23" fillId="0" borderId="0" xfId="0" applyFont="1" applyBorder="1" applyAlignment="1" applyProtection="1">
      <alignment horizontal="center" textRotation="90"/>
    </xf>
    <xf numFmtId="0" fontId="9" fillId="0" borderId="0" xfId="0" applyFont="1" applyBorder="1" applyAlignment="1" applyProtection="1">
      <alignment horizontal="center"/>
    </xf>
    <xf numFmtId="0" fontId="68" fillId="0" borderId="0" xfId="0" applyFont="1" applyBorder="1" applyAlignment="1" applyProtection="1">
      <alignment horizontal="center" wrapText="1"/>
    </xf>
    <xf numFmtId="0" fontId="18" fillId="6" borderId="3" xfId="0" applyFont="1" applyFill="1" applyBorder="1" applyAlignment="1" applyProtection="1">
      <alignment horizontal="center"/>
    </xf>
    <xf numFmtId="0" fontId="70" fillId="6" borderId="1" xfId="0" applyFont="1" applyFill="1" applyBorder="1" applyAlignment="1" applyProtection="1">
      <alignment horizontal="center"/>
    </xf>
    <xf numFmtId="0" fontId="70" fillId="6" borderId="0" xfId="0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left" wrapText="1"/>
    </xf>
    <xf numFmtId="0" fontId="0" fillId="6" borderId="22" xfId="0" applyFill="1" applyBorder="1" applyAlignment="1" applyProtection="1">
      <alignment horizontal="left" wrapText="1"/>
    </xf>
    <xf numFmtId="0" fontId="11" fillId="6" borderId="0" xfId="0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/>
    </xf>
    <xf numFmtId="0" fontId="11" fillId="8" borderId="25" xfId="0" applyFont="1" applyFill="1" applyBorder="1" applyAlignment="1" applyProtection="1">
      <alignment horizontal="center"/>
    </xf>
    <xf numFmtId="0" fontId="11" fillId="8" borderId="1" xfId="0" applyFont="1" applyFill="1" applyBorder="1" applyAlignment="1" applyProtection="1">
      <alignment horizontal="center"/>
    </xf>
    <xf numFmtId="0" fontId="56" fillId="0" borderId="1" xfId="3" applyFont="1" applyBorder="1" applyAlignment="1">
      <alignment horizontal="center"/>
    </xf>
    <xf numFmtId="0" fontId="56" fillId="0" borderId="3" xfId="3" applyFont="1" applyBorder="1" applyAlignment="1">
      <alignment horizontal="left"/>
    </xf>
    <xf numFmtId="0" fontId="56" fillId="0" borderId="31" xfId="3" applyFont="1" applyBorder="1" applyAlignment="1">
      <alignment horizontal="left"/>
    </xf>
    <xf numFmtId="0" fontId="44" fillId="0" borderId="3" xfId="3" applyFont="1" applyBorder="1" applyAlignment="1">
      <alignment horizontal="center"/>
    </xf>
    <xf numFmtId="0" fontId="49" fillId="0" borderId="0" xfId="6" applyFont="1" applyAlignment="1">
      <alignment horizontal="center" vertical="center"/>
    </xf>
    <xf numFmtId="0" fontId="47" fillId="0" borderId="0" xfId="6" applyFont="1" applyAlignment="1">
      <alignment horizontal="center" vertical="center"/>
    </xf>
    <xf numFmtId="0" fontId="48" fillId="0" borderId="54" xfId="6" applyFont="1" applyBorder="1" applyAlignment="1">
      <alignment horizontal="center" vertical="center" wrapText="1"/>
    </xf>
    <xf numFmtId="0" fontId="48" fillId="0" borderId="55" xfId="6" applyFont="1" applyBorder="1" applyAlignment="1">
      <alignment horizontal="center" vertical="center" wrapText="1"/>
    </xf>
    <xf numFmtId="0" fontId="48" fillId="0" borderId="56" xfId="6" applyFont="1" applyBorder="1" applyAlignment="1">
      <alignment horizontal="center" vertical="center" wrapText="1"/>
    </xf>
    <xf numFmtId="0" fontId="50" fillId="0" borderId="48" xfId="6" applyFont="1" applyBorder="1" applyAlignment="1">
      <alignment horizontal="center" vertical="center" wrapText="1"/>
    </xf>
    <xf numFmtId="0" fontId="50" fillId="0" borderId="50" xfId="6" applyFont="1" applyBorder="1" applyAlignment="1">
      <alignment horizontal="center" vertical="center" wrapText="1"/>
    </xf>
    <xf numFmtId="0" fontId="50" fillId="0" borderId="45" xfId="6" applyFont="1" applyBorder="1" applyAlignment="1">
      <alignment horizontal="center" vertical="center" wrapText="1"/>
    </xf>
    <xf numFmtId="0" fontId="50" fillId="0" borderId="46" xfId="6" applyFont="1" applyBorder="1" applyAlignment="1">
      <alignment horizontal="center" vertical="center" wrapText="1"/>
    </xf>
    <xf numFmtId="0" fontId="50" fillId="0" borderId="47" xfId="6" applyFont="1" applyBorder="1" applyAlignment="1">
      <alignment horizontal="center" vertical="center" wrapText="1"/>
    </xf>
    <xf numFmtId="0" fontId="50" fillId="0" borderId="49" xfId="6" applyFont="1" applyBorder="1" applyAlignment="1">
      <alignment horizontal="center" vertical="center" wrapText="1"/>
    </xf>
    <xf numFmtId="0" fontId="50" fillId="0" borderId="51" xfId="6" applyFont="1" applyBorder="1" applyAlignment="1">
      <alignment horizontal="center" vertical="center" wrapText="1"/>
    </xf>
    <xf numFmtId="0" fontId="50" fillId="0" borderId="52" xfId="6" applyFont="1" applyBorder="1" applyAlignment="1">
      <alignment horizontal="center" vertical="center" wrapText="1"/>
    </xf>
    <xf numFmtId="0" fontId="50" fillId="0" borderId="53" xfId="6" applyFont="1" applyBorder="1" applyAlignment="1">
      <alignment horizontal="center" vertical="center" wrapText="1"/>
    </xf>
  </cellXfs>
  <cellStyles count="8">
    <cellStyle name="Comma" xfId="1" builtinId="3"/>
    <cellStyle name="Hyperlink" xfId="2" builtinId="8"/>
    <cellStyle name="Normal" xfId="0" builtinId="0"/>
    <cellStyle name="Normal_DEVIATIONFORM" xfId="3"/>
    <cellStyle name="Normal_SWRWKSHT" xfId="4"/>
    <cellStyle name="Normal_SWRWKSHT - 3R" xfId="5"/>
    <cellStyle name="Normal_USCS - SE" xfId="6"/>
    <cellStyle name="Percent" xfId="7" builtinId="5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FFCC"/>
        <name val="Cambria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35</xdr:row>
      <xdr:rowOff>66675</xdr:rowOff>
    </xdr:from>
    <xdr:to>
      <xdr:col>9</xdr:col>
      <xdr:colOff>361950</xdr:colOff>
      <xdr:row>35</xdr:row>
      <xdr:rowOff>66675</xdr:rowOff>
    </xdr:to>
    <xdr:sp macro="" textlink="">
      <xdr:nvSpPr>
        <xdr:cNvPr id="2608" name="Line 19"/>
        <xdr:cNvSpPr>
          <a:spLocks noChangeShapeType="1"/>
        </xdr:cNvSpPr>
      </xdr:nvSpPr>
      <xdr:spPr bwMode="auto">
        <a:xfrm>
          <a:off x="3552825" y="5791200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34</xdr:row>
      <xdr:rowOff>85725</xdr:rowOff>
    </xdr:from>
    <xdr:to>
      <xdr:col>9</xdr:col>
      <xdr:colOff>381000</xdr:colOff>
      <xdr:row>34</xdr:row>
      <xdr:rowOff>85725</xdr:rowOff>
    </xdr:to>
    <xdr:sp macro="" textlink="">
      <xdr:nvSpPr>
        <xdr:cNvPr id="2609" name="Line 22"/>
        <xdr:cNvSpPr>
          <a:spLocks noChangeShapeType="1"/>
        </xdr:cNvSpPr>
      </xdr:nvSpPr>
      <xdr:spPr bwMode="auto">
        <a:xfrm>
          <a:off x="4276725" y="56483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333375</xdr:colOff>
      <xdr:row>31</xdr:row>
      <xdr:rowOff>28575</xdr:rowOff>
    </xdr:from>
    <xdr:to>
      <xdr:col>4</xdr:col>
      <xdr:colOff>0</xdr:colOff>
      <xdr:row>33</xdr:row>
      <xdr:rowOff>142875</xdr:rowOff>
    </xdr:to>
    <xdr:sp macro="" textlink="">
      <xdr:nvSpPr>
        <xdr:cNvPr id="2610" name="Left Brace 1"/>
        <xdr:cNvSpPr>
          <a:spLocks/>
        </xdr:cNvSpPr>
      </xdr:nvSpPr>
      <xdr:spPr bwMode="auto">
        <a:xfrm>
          <a:off x="1552575" y="5105400"/>
          <a:ext cx="276225" cy="438150"/>
        </a:xfrm>
        <a:prstGeom prst="leftBrace">
          <a:avLst>
            <a:gd name="adj1" fmla="val 830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352425</xdr:colOff>
      <xdr:row>34</xdr:row>
      <xdr:rowOff>47625</xdr:rowOff>
    </xdr:from>
    <xdr:to>
      <xdr:col>3</xdr:col>
      <xdr:colOff>600075</xdr:colOff>
      <xdr:row>35</xdr:row>
      <xdr:rowOff>123825</xdr:rowOff>
    </xdr:to>
    <xdr:sp macro="" textlink="">
      <xdr:nvSpPr>
        <xdr:cNvPr id="2611" name="Left Brace 2"/>
        <xdr:cNvSpPr>
          <a:spLocks/>
        </xdr:cNvSpPr>
      </xdr:nvSpPr>
      <xdr:spPr bwMode="auto">
        <a:xfrm>
          <a:off x="1571625" y="5610225"/>
          <a:ext cx="247650" cy="238125"/>
        </a:xfrm>
        <a:prstGeom prst="leftBrace">
          <a:avLst>
            <a:gd name="adj1" fmla="val 8333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418170</xdr:colOff>
      <xdr:row>24</xdr:row>
      <xdr:rowOff>65049</xdr:rowOff>
    </xdr:from>
    <xdr:to>
      <xdr:col>8</xdr:col>
      <xdr:colOff>199561</xdr:colOff>
      <xdr:row>24</xdr:row>
      <xdr:rowOff>67139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4047195" y="3675024"/>
          <a:ext cx="400516" cy="209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36</xdr:row>
      <xdr:rowOff>66675</xdr:rowOff>
    </xdr:from>
    <xdr:to>
      <xdr:col>13</xdr:col>
      <xdr:colOff>381000</xdr:colOff>
      <xdr:row>36</xdr:row>
      <xdr:rowOff>66675</xdr:rowOff>
    </xdr:to>
    <xdr:sp macro="" textlink="">
      <xdr:nvSpPr>
        <xdr:cNvPr id="14582" name="Line 22"/>
        <xdr:cNvSpPr>
          <a:spLocks noChangeShapeType="1"/>
        </xdr:cNvSpPr>
      </xdr:nvSpPr>
      <xdr:spPr bwMode="auto">
        <a:xfrm flipH="1">
          <a:off x="5991225" y="57054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48</xdr:row>
      <xdr:rowOff>76200</xdr:rowOff>
    </xdr:from>
    <xdr:to>
      <xdr:col>9</xdr:col>
      <xdr:colOff>514350</xdr:colOff>
      <xdr:row>48</xdr:row>
      <xdr:rowOff>76200</xdr:rowOff>
    </xdr:to>
    <xdr:sp macro="" textlink="">
      <xdr:nvSpPr>
        <xdr:cNvPr id="14583" name="Line 46"/>
        <xdr:cNvSpPr>
          <a:spLocks noChangeShapeType="1"/>
        </xdr:cNvSpPr>
      </xdr:nvSpPr>
      <xdr:spPr bwMode="auto">
        <a:xfrm flipH="1">
          <a:off x="3943350" y="74295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485775</xdr:colOff>
      <xdr:row>54</xdr:row>
      <xdr:rowOff>66675</xdr:rowOff>
    </xdr:from>
    <xdr:to>
      <xdr:col>10</xdr:col>
      <xdr:colOff>38100</xdr:colOff>
      <xdr:row>55</xdr:row>
      <xdr:rowOff>9525</xdr:rowOff>
    </xdr:to>
    <xdr:sp macro="" textlink="">
      <xdr:nvSpPr>
        <xdr:cNvPr id="14584" name="Arc 51"/>
        <xdr:cNvSpPr>
          <a:spLocks/>
        </xdr:cNvSpPr>
      </xdr:nvSpPr>
      <xdr:spPr bwMode="auto">
        <a:xfrm>
          <a:off x="3810000" y="8277225"/>
          <a:ext cx="590550" cy="85725"/>
        </a:xfrm>
        <a:custGeom>
          <a:avLst/>
          <a:gdLst>
            <a:gd name="T0" fmla="*/ 0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55</xdr:row>
      <xdr:rowOff>9525</xdr:rowOff>
    </xdr:from>
    <xdr:to>
      <xdr:col>10</xdr:col>
      <xdr:colOff>219075</xdr:colOff>
      <xdr:row>55</xdr:row>
      <xdr:rowOff>123825</xdr:rowOff>
    </xdr:to>
    <xdr:sp macro="" textlink="">
      <xdr:nvSpPr>
        <xdr:cNvPr id="14585" name="Line 52"/>
        <xdr:cNvSpPr>
          <a:spLocks noChangeShapeType="1"/>
        </xdr:cNvSpPr>
      </xdr:nvSpPr>
      <xdr:spPr bwMode="auto">
        <a:xfrm>
          <a:off x="4410075" y="8362950"/>
          <a:ext cx="1714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48</xdr:row>
      <xdr:rowOff>66675</xdr:rowOff>
    </xdr:from>
    <xdr:to>
      <xdr:col>10</xdr:col>
      <xdr:colOff>0</xdr:colOff>
      <xdr:row>50</xdr:row>
      <xdr:rowOff>47625</xdr:rowOff>
    </xdr:to>
    <xdr:sp macro="" textlink="">
      <xdr:nvSpPr>
        <xdr:cNvPr id="14586" name="Line 243"/>
        <xdr:cNvSpPr>
          <a:spLocks noChangeShapeType="1"/>
        </xdr:cNvSpPr>
      </xdr:nvSpPr>
      <xdr:spPr bwMode="auto">
        <a:xfrm flipH="1">
          <a:off x="3943350" y="7419975"/>
          <a:ext cx="4191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82</xdr:row>
      <xdr:rowOff>0</xdr:rowOff>
    </xdr:from>
    <xdr:to>
      <xdr:col>3</xdr:col>
      <xdr:colOff>304800</xdr:colOff>
      <xdr:row>91</xdr:row>
      <xdr:rowOff>0</xdr:rowOff>
    </xdr:to>
    <xdr:sp macro="" textlink="">
      <xdr:nvSpPr>
        <xdr:cNvPr id="16096" name="Line 4"/>
        <xdr:cNvSpPr>
          <a:spLocks noChangeShapeType="1"/>
        </xdr:cNvSpPr>
      </xdr:nvSpPr>
      <xdr:spPr bwMode="auto">
        <a:xfrm flipH="1" flipV="1">
          <a:off x="1590675" y="12573000"/>
          <a:ext cx="0" cy="128587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50</xdr:row>
      <xdr:rowOff>9525</xdr:rowOff>
    </xdr:from>
    <xdr:to>
      <xdr:col>3</xdr:col>
      <xdr:colOff>304800</xdr:colOff>
      <xdr:row>66</xdr:row>
      <xdr:rowOff>9525</xdr:rowOff>
    </xdr:to>
    <xdr:sp macro="" textlink="">
      <xdr:nvSpPr>
        <xdr:cNvPr id="16097" name="Line 1"/>
        <xdr:cNvSpPr>
          <a:spLocks noChangeShapeType="1"/>
        </xdr:cNvSpPr>
      </xdr:nvSpPr>
      <xdr:spPr bwMode="auto">
        <a:xfrm>
          <a:off x="1590675" y="8010525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50</xdr:row>
      <xdr:rowOff>0</xdr:rowOff>
    </xdr:from>
    <xdr:to>
      <xdr:col>3</xdr:col>
      <xdr:colOff>304800</xdr:colOff>
      <xdr:row>66</xdr:row>
      <xdr:rowOff>0</xdr:rowOff>
    </xdr:to>
    <xdr:sp macro="" textlink="">
      <xdr:nvSpPr>
        <xdr:cNvPr id="16098" name="Line 2"/>
        <xdr:cNvSpPr>
          <a:spLocks noChangeShapeType="1"/>
        </xdr:cNvSpPr>
      </xdr:nvSpPr>
      <xdr:spPr bwMode="auto">
        <a:xfrm flipH="1" flipV="1">
          <a:off x="1590675" y="8001000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82</xdr:row>
      <xdr:rowOff>9525</xdr:rowOff>
    </xdr:from>
    <xdr:to>
      <xdr:col>3</xdr:col>
      <xdr:colOff>304800</xdr:colOff>
      <xdr:row>91</xdr:row>
      <xdr:rowOff>0</xdr:rowOff>
    </xdr:to>
    <xdr:sp macro="" textlink="">
      <xdr:nvSpPr>
        <xdr:cNvPr id="16099" name="Line 3"/>
        <xdr:cNvSpPr>
          <a:spLocks noChangeShapeType="1"/>
        </xdr:cNvSpPr>
      </xdr:nvSpPr>
      <xdr:spPr bwMode="auto">
        <a:xfrm>
          <a:off x="1590675" y="12582525"/>
          <a:ext cx="0" cy="127635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148</xdr:row>
      <xdr:rowOff>0</xdr:rowOff>
    </xdr:from>
    <xdr:to>
      <xdr:col>6</xdr:col>
      <xdr:colOff>266700</xdr:colOff>
      <xdr:row>148</xdr:row>
      <xdr:rowOff>0</xdr:rowOff>
    </xdr:to>
    <xdr:sp macro="" textlink="">
      <xdr:nvSpPr>
        <xdr:cNvPr id="16100" name="Line 73"/>
        <xdr:cNvSpPr>
          <a:spLocks noChangeShapeType="1"/>
        </xdr:cNvSpPr>
      </xdr:nvSpPr>
      <xdr:spPr bwMode="auto">
        <a:xfrm flipV="1">
          <a:off x="30956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148</xdr:row>
      <xdr:rowOff>0</xdr:rowOff>
    </xdr:from>
    <xdr:to>
      <xdr:col>8</xdr:col>
      <xdr:colOff>304800</xdr:colOff>
      <xdr:row>148</xdr:row>
      <xdr:rowOff>0</xdr:rowOff>
    </xdr:to>
    <xdr:sp macro="" textlink="">
      <xdr:nvSpPr>
        <xdr:cNvPr id="16101" name="Line 74"/>
        <xdr:cNvSpPr>
          <a:spLocks noChangeShapeType="1"/>
        </xdr:cNvSpPr>
      </xdr:nvSpPr>
      <xdr:spPr bwMode="auto">
        <a:xfrm flipV="1">
          <a:off x="41624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148</xdr:row>
      <xdr:rowOff>0</xdr:rowOff>
    </xdr:from>
    <xdr:to>
      <xdr:col>9</xdr:col>
      <xdr:colOff>304800</xdr:colOff>
      <xdr:row>148</xdr:row>
      <xdr:rowOff>0</xdr:rowOff>
    </xdr:to>
    <xdr:sp macro="" textlink="">
      <xdr:nvSpPr>
        <xdr:cNvPr id="16102" name="Line 75"/>
        <xdr:cNvSpPr>
          <a:spLocks noChangeShapeType="1"/>
        </xdr:cNvSpPr>
      </xdr:nvSpPr>
      <xdr:spPr bwMode="auto">
        <a:xfrm flipV="1">
          <a:off x="467677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148</xdr:row>
      <xdr:rowOff>0</xdr:rowOff>
    </xdr:from>
    <xdr:to>
      <xdr:col>9</xdr:col>
      <xdr:colOff>304800</xdr:colOff>
      <xdr:row>148</xdr:row>
      <xdr:rowOff>0</xdr:rowOff>
    </xdr:to>
    <xdr:sp macro="" textlink="">
      <xdr:nvSpPr>
        <xdr:cNvPr id="16103" name="Line 76"/>
        <xdr:cNvSpPr>
          <a:spLocks noChangeShapeType="1"/>
        </xdr:cNvSpPr>
      </xdr:nvSpPr>
      <xdr:spPr bwMode="auto">
        <a:xfrm>
          <a:off x="467677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148</xdr:row>
      <xdr:rowOff>0</xdr:rowOff>
    </xdr:from>
    <xdr:to>
      <xdr:col>9</xdr:col>
      <xdr:colOff>304800</xdr:colOff>
      <xdr:row>148</xdr:row>
      <xdr:rowOff>0</xdr:rowOff>
    </xdr:to>
    <xdr:sp macro="" textlink="">
      <xdr:nvSpPr>
        <xdr:cNvPr id="16104" name="Line 77"/>
        <xdr:cNvSpPr>
          <a:spLocks noChangeShapeType="1"/>
        </xdr:cNvSpPr>
      </xdr:nvSpPr>
      <xdr:spPr bwMode="auto">
        <a:xfrm flipV="1">
          <a:off x="467677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148</xdr:row>
      <xdr:rowOff>0</xdr:rowOff>
    </xdr:from>
    <xdr:to>
      <xdr:col>8</xdr:col>
      <xdr:colOff>304800</xdr:colOff>
      <xdr:row>148</xdr:row>
      <xdr:rowOff>0</xdr:rowOff>
    </xdr:to>
    <xdr:sp macro="" textlink="">
      <xdr:nvSpPr>
        <xdr:cNvPr id="16105" name="Line 78"/>
        <xdr:cNvSpPr>
          <a:spLocks noChangeShapeType="1"/>
        </xdr:cNvSpPr>
      </xdr:nvSpPr>
      <xdr:spPr bwMode="auto">
        <a:xfrm>
          <a:off x="41624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148</xdr:row>
      <xdr:rowOff>0</xdr:rowOff>
    </xdr:from>
    <xdr:to>
      <xdr:col>8</xdr:col>
      <xdr:colOff>304800</xdr:colOff>
      <xdr:row>148</xdr:row>
      <xdr:rowOff>0</xdr:rowOff>
    </xdr:to>
    <xdr:sp macro="" textlink="">
      <xdr:nvSpPr>
        <xdr:cNvPr id="16106" name="Line 79"/>
        <xdr:cNvSpPr>
          <a:spLocks noChangeShapeType="1"/>
        </xdr:cNvSpPr>
      </xdr:nvSpPr>
      <xdr:spPr bwMode="auto">
        <a:xfrm flipV="1">
          <a:off x="41624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148</xdr:row>
      <xdr:rowOff>0</xdr:rowOff>
    </xdr:from>
    <xdr:to>
      <xdr:col>6</xdr:col>
      <xdr:colOff>304800</xdr:colOff>
      <xdr:row>148</xdr:row>
      <xdr:rowOff>0</xdr:rowOff>
    </xdr:to>
    <xdr:sp macro="" textlink="">
      <xdr:nvSpPr>
        <xdr:cNvPr id="16107" name="Line 80"/>
        <xdr:cNvSpPr>
          <a:spLocks noChangeShapeType="1"/>
        </xdr:cNvSpPr>
      </xdr:nvSpPr>
      <xdr:spPr bwMode="auto">
        <a:xfrm>
          <a:off x="31337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148</xdr:row>
      <xdr:rowOff>0</xdr:rowOff>
    </xdr:from>
    <xdr:to>
      <xdr:col>6</xdr:col>
      <xdr:colOff>304800</xdr:colOff>
      <xdr:row>148</xdr:row>
      <xdr:rowOff>0</xdr:rowOff>
    </xdr:to>
    <xdr:sp macro="" textlink="">
      <xdr:nvSpPr>
        <xdr:cNvPr id="16108" name="Line 81"/>
        <xdr:cNvSpPr>
          <a:spLocks noChangeShapeType="1"/>
        </xdr:cNvSpPr>
      </xdr:nvSpPr>
      <xdr:spPr bwMode="auto">
        <a:xfrm flipV="1">
          <a:off x="3133725" y="2243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116</xdr:row>
      <xdr:rowOff>9525</xdr:rowOff>
    </xdr:from>
    <xdr:to>
      <xdr:col>3</xdr:col>
      <xdr:colOff>304800</xdr:colOff>
      <xdr:row>122</xdr:row>
      <xdr:rowOff>123825</xdr:rowOff>
    </xdr:to>
    <xdr:sp macro="" textlink="">
      <xdr:nvSpPr>
        <xdr:cNvPr id="16109" name="Line 82"/>
        <xdr:cNvSpPr>
          <a:spLocks noChangeShapeType="1"/>
        </xdr:cNvSpPr>
      </xdr:nvSpPr>
      <xdr:spPr bwMode="auto">
        <a:xfrm>
          <a:off x="1590675" y="17440275"/>
          <a:ext cx="0" cy="97155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116</xdr:row>
      <xdr:rowOff>0</xdr:rowOff>
    </xdr:from>
    <xdr:to>
      <xdr:col>3</xdr:col>
      <xdr:colOff>304800</xdr:colOff>
      <xdr:row>123</xdr:row>
      <xdr:rowOff>0</xdr:rowOff>
    </xdr:to>
    <xdr:sp macro="" textlink="">
      <xdr:nvSpPr>
        <xdr:cNvPr id="16110" name="Line 83"/>
        <xdr:cNvSpPr>
          <a:spLocks noChangeShapeType="1"/>
        </xdr:cNvSpPr>
      </xdr:nvSpPr>
      <xdr:spPr bwMode="auto">
        <a:xfrm flipH="1" flipV="1">
          <a:off x="1590675" y="17430750"/>
          <a:ext cx="0" cy="100012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9525</xdr:colOff>
      <xdr:row>84</xdr:row>
      <xdr:rowOff>47625</xdr:rowOff>
    </xdr:from>
    <xdr:to>
      <xdr:col>34</xdr:col>
      <xdr:colOff>66675</xdr:colOff>
      <xdr:row>89</xdr:row>
      <xdr:rowOff>104775</xdr:rowOff>
    </xdr:to>
    <xdr:sp macro="" textlink="">
      <xdr:nvSpPr>
        <xdr:cNvPr id="16579" name="Line 95"/>
        <xdr:cNvSpPr>
          <a:spLocks noChangeShapeType="1"/>
        </xdr:cNvSpPr>
      </xdr:nvSpPr>
      <xdr:spPr bwMode="auto">
        <a:xfrm>
          <a:off x="17021175" y="13363575"/>
          <a:ext cx="188595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66675</xdr:colOff>
      <xdr:row>84</xdr:row>
      <xdr:rowOff>9525</xdr:rowOff>
    </xdr:from>
    <xdr:to>
      <xdr:col>34</xdr:col>
      <xdr:colOff>47625</xdr:colOff>
      <xdr:row>90</xdr:row>
      <xdr:rowOff>9525</xdr:rowOff>
    </xdr:to>
    <xdr:sp macro="" textlink="">
      <xdr:nvSpPr>
        <xdr:cNvPr id="16580" name="Line 96"/>
        <xdr:cNvSpPr>
          <a:spLocks noChangeShapeType="1"/>
        </xdr:cNvSpPr>
      </xdr:nvSpPr>
      <xdr:spPr bwMode="auto">
        <a:xfrm flipH="1">
          <a:off x="17078325" y="13325475"/>
          <a:ext cx="180975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438150</xdr:colOff>
      <xdr:row>142</xdr:row>
      <xdr:rowOff>19050</xdr:rowOff>
    </xdr:from>
    <xdr:to>
      <xdr:col>6</xdr:col>
      <xdr:colOff>428625</xdr:colOff>
      <xdr:row>142</xdr:row>
      <xdr:rowOff>19050</xdr:rowOff>
    </xdr:to>
    <xdr:sp macro="" textlink="">
      <xdr:nvSpPr>
        <xdr:cNvPr id="16581" name="Line 170"/>
        <xdr:cNvSpPr>
          <a:spLocks noChangeShapeType="1"/>
        </xdr:cNvSpPr>
      </xdr:nvSpPr>
      <xdr:spPr bwMode="auto">
        <a:xfrm flipH="1">
          <a:off x="3219450" y="2177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438150</xdr:colOff>
      <xdr:row>142</xdr:row>
      <xdr:rowOff>104775</xdr:rowOff>
    </xdr:from>
    <xdr:to>
      <xdr:col>6</xdr:col>
      <xdr:colOff>428625</xdr:colOff>
      <xdr:row>142</xdr:row>
      <xdr:rowOff>104775</xdr:rowOff>
    </xdr:to>
    <xdr:sp macro="" textlink="">
      <xdr:nvSpPr>
        <xdr:cNvPr id="16582" name="Line 173"/>
        <xdr:cNvSpPr>
          <a:spLocks noChangeShapeType="1"/>
        </xdr:cNvSpPr>
      </xdr:nvSpPr>
      <xdr:spPr bwMode="auto">
        <a:xfrm>
          <a:off x="3219450" y="2185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38100</xdr:rowOff>
    </xdr:from>
    <xdr:to>
      <xdr:col>5</xdr:col>
      <xdr:colOff>600075</xdr:colOff>
      <xdr:row>6</xdr:row>
      <xdr:rowOff>400050</xdr:rowOff>
    </xdr:to>
    <xdr:sp macro="" textlink="">
      <xdr:nvSpPr>
        <xdr:cNvPr id="3526" name="AutoShape 1"/>
        <xdr:cNvSpPr>
          <a:spLocks/>
        </xdr:cNvSpPr>
      </xdr:nvSpPr>
      <xdr:spPr bwMode="auto">
        <a:xfrm>
          <a:off x="5915025" y="666750"/>
          <a:ext cx="457200" cy="2114550"/>
        </a:xfrm>
        <a:prstGeom prst="rightBrace">
          <a:avLst>
            <a:gd name="adj1" fmla="val 38542"/>
            <a:gd name="adj2" fmla="val 567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7</xdr:row>
      <xdr:rowOff>9525</xdr:rowOff>
    </xdr:from>
    <xdr:to>
      <xdr:col>5</xdr:col>
      <xdr:colOff>581025</xdr:colOff>
      <xdr:row>10</xdr:row>
      <xdr:rowOff>419100</xdr:rowOff>
    </xdr:to>
    <xdr:sp macro="" textlink="">
      <xdr:nvSpPr>
        <xdr:cNvPr id="3527" name="AutoShape 2"/>
        <xdr:cNvSpPr>
          <a:spLocks/>
        </xdr:cNvSpPr>
      </xdr:nvSpPr>
      <xdr:spPr bwMode="auto">
        <a:xfrm>
          <a:off x="5895975" y="2828925"/>
          <a:ext cx="476250" cy="1724025"/>
        </a:xfrm>
        <a:prstGeom prst="rightBrace">
          <a:avLst>
            <a:gd name="adj1" fmla="val 30167"/>
            <a:gd name="adj2" fmla="val 475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0</xdr:row>
      <xdr:rowOff>276225</xdr:rowOff>
    </xdr:from>
    <xdr:to>
      <xdr:col>6</xdr:col>
      <xdr:colOff>219075</xdr:colOff>
      <xdr:row>4</xdr:row>
      <xdr:rowOff>190500</xdr:rowOff>
    </xdr:to>
    <xdr:sp macro="" textlink="">
      <xdr:nvSpPr>
        <xdr:cNvPr id="3528" name="Line 3"/>
        <xdr:cNvSpPr>
          <a:spLocks noChangeShapeType="1"/>
        </xdr:cNvSpPr>
      </xdr:nvSpPr>
      <xdr:spPr bwMode="auto">
        <a:xfrm flipH="1">
          <a:off x="6553200" y="276225"/>
          <a:ext cx="3810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B2:R74"/>
  <sheetViews>
    <sheetView showGridLines="0" tabSelected="1" zoomScale="75" zoomScaleNormal="75" workbookViewId="0">
      <selection activeCell="D42" sqref="D42:E42"/>
    </sheetView>
  </sheetViews>
  <sheetFormatPr defaultRowHeight="12.75" x14ac:dyDescent="0.2"/>
  <cols>
    <col min="1" max="1" width="4.42578125" style="179" customWidth="1"/>
    <col min="2" max="2" width="4.7109375" style="179" customWidth="1"/>
    <col min="3" max="8" width="9.140625" style="179"/>
    <col min="9" max="9" width="10.28515625" style="179" bestFit="1" customWidth="1"/>
    <col min="10" max="11" width="9.140625" style="179"/>
    <col min="12" max="12" width="5.85546875" style="179" customWidth="1"/>
    <col min="13" max="15" width="3" style="179" customWidth="1"/>
    <col min="16" max="16384" width="9.140625" style="179"/>
  </cols>
  <sheetData>
    <row r="2" spans="2:16" ht="13.5" thickBot="1" x14ac:dyDescent="0.25"/>
    <row r="3" spans="2:16" ht="16.5" customHeight="1" x14ac:dyDescent="0.2">
      <c r="B3" s="142"/>
      <c r="C3" s="206"/>
      <c r="D3" s="207"/>
      <c r="E3" s="276"/>
      <c r="F3" s="276"/>
      <c r="G3" s="276"/>
      <c r="H3" s="143"/>
      <c r="I3" s="143"/>
      <c r="J3" s="206"/>
      <c r="K3" s="143"/>
      <c r="L3" s="143"/>
      <c r="M3" s="143"/>
      <c r="N3" s="144"/>
    </row>
    <row r="4" spans="2:16" ht="12.75" customHeight="1" x14ac:dyDescent="0.25">
      <c r="B4" s="208"/>
      <c r="C4" s="581" t="s">
        <v>182</v>
      </c>
      <c r="D4" s="581"/>
      <c r="E4" s="582"/>
      <c r="F4" s="583"/>
      <c r="G4" s="584"/>
      <c r="H4" s="508"/>
      <c r="I4" s="508"/>
      <c r="J4" s="571" t="s">
        <v>431</v>
      </c>
      <c r="K4" s="571"/>
      <c r="L4" s="571"/>
      <c r="M4" s="571"/>
      <c r="N4" s="209"/>
      <c r="O4" s="203"/>
      <c r="P4" s="186"/>
    </row>
    <row r="5" spans="2:16" ht="12.75" customHeight="1" x14ac:dyDescent="0.2">
      <c r="B5" s="208"/>
      <c r="C5" s="2" t="s">
        <v>183</v>
      </c>
      <c r="D5" s="2"/>
      <c r="E5" s="578"/>
      <c r="F5" s="579"/>
      <c r="G5" s="579"/>
      <c r="H5" s="579"/>
      <c r="I5" s="580"/>
      <c r="J5" s="571"/>
      <c r="K5" s="571"/>
      <c r="L5" s="571"/>
      <c r="M5" s="571"/>
      <c r="N5" s="209"/>
      <c r="O5" s="203"/>
      <c r="P5" s="186"/>
    </row>
    <row r="6" spans="2:16" ht="12.75" customHeight="1" x14ac:dyDescent="0.2">
      <c r="B6" s="210"/>
      <c r="C6" s="295" t="s">
        <v>104</v>
      </c>
      <c r="D6" s="2"/>
      <c r="E6" s="2"/>
      <c r="F6" s="506"/>
      <c r="G6" s="164" t="s">
        <v>412</v>
      </c>
      <c r="H6" s="165"/>
      <c r="I6" s="165"/>
      <c r="J6" s="573" t="s">
        <v>413</v>
      </c>
      <c r="K6" s="573"/>
      <c r="L6" s="573"/>
      <c r="M6" s="573"/>
      <c r="N6" s="211"/>
      <c r="O6" s="204"/>
      <c r="P6" s="186"/>
    </row>
    <row r="7" spans="2:16" ht="12.75" customHeight="1" x14ac:dyDescent="0.2">
      <c r="B7" s="210"/>
      <c r="C7" s="2"/>
      <c r="D7" s="2"/>
      <c r="E7" s="2"/>
      <c r="F7" s="503"/>
      <c r="G7" s="160"/>
      <c r="H7" s="161"/>
      <c r="I7" s="161"/>
      <c r="J7" s="573"/>
      <c r="K7" s="573"/>
      <c r="L7" s="573"/>
      <c r="M7" s="573"/>
      <c r="N7" s="211"/>
      <c r="O7" s="204"/>
      <c r="P7" s="186"/>
    </row>
    <row r="8" spans="2:16" ht="12.75" customHeight="1" x14ac:dyDescent="0.2">
      <c r="B8" s="210"/>
      <c r="C8" s="2"/>
      <c r="D8" s="2"/>
      <c r="E8" s="2"/>
      <c r="F8" s="504"/>
      <c r="G8" s="44"/>
      <c r="H8" s="9"/>
      <c r="I8" s="2"/>
      <c r="J8" s="162"/>
      <c r="K8" s="162"/>
      <c r="L8" s="162"/>
      <c r="M8" s="162"/>
      <c r="N8" s="163"/>
      <c r="O8" s="205"/>
      <c r="P8" s="186"/>
    </row>
    <row r="9" spans="2:16" ht="12.75" customHeight="1" x14ac:dyDescent="0.2">
      <c r="B9" s="210"/>
      <c r="C9" s="2"/>
      <c r="D9" s="2"/>
      <c r="E9" s="2"/>
      <c r="F9" s="505"/>
      <c r="G9" s="44"/>
      <c r="H9" s="9"/>
      <c r="I9" s="2"/>
      <c r="J9" s="162"/>
      <c r="K9" s="162"/>
      <c r="L9" s="162"/>
      <c r="M9" s="162"/>
      <c r="N9" s="163"/>
      <c r="O9" s="205"/>
      <c r="P9" s="186"/>
    </row>
    <row r="10" spans="2:16" ht="12.75" customHeight="1" x14ac:dyDescent="0.25">
      <c r="B10" s="210"/>
      <c r="C10" s="212"/>
      <c r="D10" s="2"/>
      <c r="E10" s="40"/>
      <c r="F10" s="574" t="s">
        <v>414</v>
      </c>
      <c r="G10" s="574"/>
      <c r="H10" s="574"/>
      <c r="I10" s="574"/>
      <c r="J10" s="2"/>
      <c r="K10" s="2"/>
      <c r="L10" s="2"/>
      <c r="M10" s="40"/>
      <c r="N10" s="146"/>
    </row>
    <row r="11" spans="2:16" ht="12.75" customHeight="1" x14ac:dyDescent="0.25">
      <c r="B11" s="210"/>
      <c r="C11" s="212"/>
      <c r="D11" s="2"/>
      <c r="E11" s="40"/>
      <c r="F11" s="574"/>
      <c r="G11" s="574"/>
      <c r="H11" s="574"/>
      <c r="I11" s="574"/>
      <c r="J11" s="2"/>
      <c r="K11" s="2"/>
      <c r="L11" s="2"/>
      <c r="M11" s="40"/>
      <c r="N11" s="146"/>
    </row>
    <row r="12" spans="2:16" ht="12.75" customHeight="1" x14ac:dyDescent="0.2">
      <c r="B12" s="210"/>
      <c r="C12" s="44"/>
      <c r="D12" s="2"/>
      <c r="E12" s="213"/>
      <c r="F12" s="166"/>
      <c r="G12" s="166"/>
      <c r="H12" s="46"/>
      <c r="I12" s="9"/>
      <c r="J12" s="46"/>
      <c r="K12" s="2"/>
      <c r="L12" s="2"/>
      <c r="M12" s="40"/>
      <c r="N12" s="146"/>
    </row>
    <row r="13" spans="2:16" ht="12.75" customHeight="1" thickBot="1" x14ac:dyDescent="0.25">
      <c r="B13" s="210"/>
      <c r="C13" s="44"/>
      <c r="D13" s="2"/>
      <c r="E13" s="213"/>
      <c r="F13" s="166"/>
      <c r="G13" s="166"/>
      <c r="H13" s="46"/>
      <c r="I13" s="9"/>
      <c r="J13" s="46"/>
      <c r="K13" s="2"/>
      <c r="L13" s="2"/>
      <c r="M13" s="40"/>
      <c r="N13" s="146"/>
    </row>
    <row r="14" spans="2:16" ht="12.75" customHeight="1" thickTop="1" x14ac:dyDescent="0.2">
      <c r="B14" s="210"/>
      <c r="C14" s="280"/>
      <c r="D14" s="173"/>
      <c r="E14" s="281"/>
      <c r="F14" s="282"/>
      <c r="G14" s="282"/>
      <c r="H14" s="283"/>
      <c r="I14" s="174"/>
      <c r="J14" s="283"/>
      <c r="K14" s="173"/>
      <c r="L14" s="173"/>
      <c r="M14" s="40"/>
      <c r="N14" s="146"/>
    </row>
    <row r="15" spans="2:16" ht="12.75" customHeight="1" x14ac:dyDescent="0.2">
      <c r="B15" s="210" t="s">
        <v>4</v>
      </c>
      <c r="C15" s="2"/>
      <c r="D15" s="2"/>
      <c r="E15" s="2"/>
      <c r="F15" s="40"/>
      <c r="G15" s="40"/>
      <c r="H15" s="2"/>
      <c r="I15" s="9" t="s">
        <v>0</v>
      </c>
      <c r="J15" s="2"/>
      <c r="K15" s="9" t="s">
        <v>1</v>
      </c>
      <c r="L15" s="2"/>
      <c r="M15" s="40"/>
      <c r="N15" s="146"/>
    </row>
    <row r="16" spans="2:16" ht="12.75" customHeight="1" x14ac:dyDescent="0.2">
      <c r="B16" s="210" t="s">
        <v>4</v>
      </c>
      <c r="C16" s="40"/>
      <c r="D16" s="2"/>
      <c r="E16" s="2"/>
      <c r="F16" s="40"/>
      <c r="G16" s="40"/>
      <c r="H16" s="2"/>
      <c r="I16" s="111" t="s">
        <v>3</v>
      </c>
      <c r="J16" s="2"/>
      <c r="K16" s="111" t="s">
        <v>3</v>
      </c>
      <c r="L16" s="2"/>
      <c r="M16" s="40"/>
      <c r="N16" s="146"/>
    </row>
    <row r="17" spans="2:14" ht="12.75" customHeight="1" x14ac:dyDescent="0.2">
      <c r="B17" s="210"/>
      <c r="C17" s="40"/>
      <c r="D17" s="572" t="s">
        <v>446</v>
      </c>
      <c r="E17" s="572"/>
      <c r="F17" s="2"/>
      <c r="G17" s="40"/>
      <c r="H17" s="2"/>
      <c r="I17" s="9"/>
      <c r="J17" s="2"/>
      <c r="K17" s="9"/>
      <c r="L17" s="2"/>
      <c r="M17" s="40"/>
      <c r="N17" s="146"/>
    </row>
    <row r="18" spans="2:14" ht="12.75" customHeight="1" x14ac:dyDescent="0.2">
      <c r="B18" s="210"/>
      <c r="C18" s="40"/>
      <c r="D18" s="2"/>
      <c r="E18" s="577" t="s">
        <v>417</v>
      </c>
      <c r="F18" s="577"/>
      <c r="G18" s="40"/>
      <c r="H18" s="2"/>
      <c r="I18" s="9">
        <v>10</v>
      </c>
      <c r="J18" s="2"/>
      <c r="K18" s="108">
        <f>'TRAFFIC &amp; ACCIDENTS'!K42</f>
        <v>0</v>
      </c>
      <c r="L18" s="44"/>
      <c r="M18" s="40"/>
      <c r="N18" s="146"/>
    </row>
    <row r="19" spans="2:14" ht="12.75" customHeight="1" x14ac:dyDescent="0.2">
      <c r="B19" s="210" t="s">
        <v>4</v>
      </c>
      <c r="C19" s="40"/>
      <c r="D19" s="2"/>
      <c r="E19" s="577" t="s">
        <v>416</v>
      </c>
      <c r="F19" s="577"/>
      <c r="G19" s="40"/>
      <c r="H19" s="2"/>
      <c r="I19" s="16">
        <v>15</v>
      </c>
      <c r="J19" s="2"/>
      <c r="K19" s="495">
        <f>'TRAFFIC &amp; ACCIDENTS'!I18</f>
        <v>0</v>
      </c>
      <c r="L19" s="44"/>
      <c r="M19" s="40"/>
      <c r="N19" s="146"/>
    </row>
    <row r="20" spans="2:14" ht="12.75" customHeight="1" x14ac:dyDescent="0.2">
      <c r="B20" s="210"/>
      <c r="C20" s="40"/>
      <c r="D20" s="40"/>
      <c r="E20" s="577" t="s">
        <v>418</v>
      </c>
      <c r="F20" s="577"/>
      <c r="G20" s="40"/>
      <c r="H20" s="2"/>
      <c r="I20" s="107">
        <v>10</v>
      </c>
      <c r="J20" s="2"/>
      <c r="K20" s="494">
        <f>'TRAFFIC &amp; ACCIDENTS'!K59</f>
        <v>0</v>
      </c>
      <c r="L20" s="2"/>
      <c r="M20" s="40"/>
      <c r="N20" s="146"/>
    </row>
    <row r="21" spans="2:14" ht="12.75" customHeight="1" x14ac:dyDescent="0.2">
      <c r="B21" s="210" t="s">
        <v>4</v>
      </c>
      <c r="C21" s="40"/>
      <c r="D21" s="2"/>
      <c r="E21" s="2"/>
      <c r="F21" s="2"/>
      <c r="G21" s="40"/>
      <c r="H21" s="2" t="s">
        <v>5</v>
      </c>
      <c r="I21" s="8">
        <v>35</v>
      </c>
      <c r="J21" s="2"/>
      <c r="K21" s="20">
        <f>SUM(K18:K20)</f>
        <v>0</v>
      </c>
      <c r="L21" s="44"/>
      <c r="M21" s="40"/>
      <c r="N21" s="146"/>
    </row>
    <row r="22" spans="2:14" ht="12.75" customHeight="1" thickBot="1" x14ac:dyDescent="0.25">
      <c r="B22" s="210" t="s">
        <v>4</v>
      </c>
      <c r="C22" s="40"/>
      <c r="D22" s="2"/>
      <c r="E22" s="2"/>
      <c r="F22" s="2"/>
      <c r="G22" s="40"/>
      <c r="H22" s="2"/>
      <c r="I22" s="9"/>
      <c r="J22" s="2"/>
      <c r="K22" s="9"/>
      <c r="L22" s="2"/>
      <c r="M22" s="40"/>
      <c r="N22" s="146"/>
    </row>
    <row r="23" spans="2:14" ht="12.75" customHeight="1" thickTop="1" x14ac:dyDescent="0.2">
      <c r="B23" s="210"/>
      <c r="C23" s="172"/>
      <c r="D23" s="173"/>
      <c r="E23" s="173"/>
      <c r="F23" s="173"/>
      <c r="G23" s="172"/>
      <c r="H23" s="173"/>
      <c r="I23" s="174"/>
      <c r="J23" s="173"/>
      <c r="K23" s="174"/>
      <c r="L23" s="173"/>
      <c r="M23" s="40"/>
      <c r="N23" s="146"/>
    </row>
    <row r="24" spans="2:14" ht="12.75" customHeight="1" x14ac:dyDescent="0.2">
      <c r="B24" s="210"/>
      <c r="C24" s="40"/>
      <c r="D24" s="2"/>
      <c r="E24" s="2"/>
      <c r="F24" s="2"/>
      <c r="G24" s="40"/>
      <c r="H24" s="2"/>
      <c r="I24" s="9"/>
      <c r="J24" s="2"/>
      <c r="K24" s="9"/>
      <c r="L24" s="2"/>
      <c r="M24" s="40"/>
      <c r="N24" s="146"/>
    </row>
    <row r="25" spans="2:14" ht="12.75" customHeight="1" x14ac:dyDescent="0.2">
      <c r="B25" s="210"/>
      <c r="C25" s="40"/>
      <c r="D25" s="572" t="s">
        <v>415</v>
      </c>
      <c r="E25" s="572"/>
      <c r="F25" s="572"/>
      <c r="G25" s="567" t="s">
        <v>457</v>
      </c>
      <c r="H25" s="567"/>
      <c r="I25" s="8">
        <v>10</v>
      </c>
      <c r="J25" s="2"/>
      <c r="K25" s="293">
        <f>IF('Local &amp; Links'!F4&lt;&gt;"",10,0)</f>
        <v>0</v>
      </c>
      <c r="L25" s="2"/>
      <c r="M25" s="40"/>
      <c r="N25" s="146"/>
    </row>
    <row r="26" spans="2:14" ht="12.75" customHeight="1" x14ac:dyDescent="0.2">
      <c r="B26" s="210"/>
      <c r="C26" s="40"/>
      <c r="D26" s="167"/>
      <c r="E26" s="2"/>
      <c r="F26" s="2"/>
      <c r="G26" s="44"/>
      <c r="H26" s="44"/>
      <c r="I26" s="8"/>
      <c r="J26" s="2"/>
      <c r="K26" s="22"/>
      <c r="L26" s="2"/>
      <c r="M26" s="40"/>
      <c r="N26" s="146"/>
    </row>
    <row r="27" spans="2:14" ht="12.75" customHeight="1" x14ac:dyDescent="0.2">
      <c r="B27" s="210"/>
      <c r="C27" s="40"/>
      <c r="D27" s="572" t="s">
        <v>308</v>
      </c>
      <c r="E27" s="572"/>
      <c r="F27" s="572"/>
      <c r="G27" s="567"/>
      <c r="H27" s="567"/>
      <c r="I27" s="8">
        <v>10</v>
      </c>
      <c r="J27" s="2"/>
      <c r="K27" s="293">
        <f>IF('Local &amp; Links'!F6&gt;10,0,'Local &amp; Links'!F6)</f>
        <v>0</v>
      </c>
      <c r="L27" s="2"/>
      <c r="M27" s="40"/>
      <c r="N27" s="146"/>
    </row>
    <row r="28" spans="2:14" ht="12.75" customHeight="1" x14ac:dyDescent="0.2">
      <c r="B28" s="210"/>
      <c r="C28" s="40"/>
      <c r="D28" s="40"/>
      <c r="E28" s="40"/>
      <c r="F28" s="40"/>
      <c r="G28" s="40"/>
      <c r="H28" s="40"/>
      <c r="I28" s="40"/>
      <c r="J28" s="40"/>
      <c r="K28" s="40"/>
      <c r="L28" s="2"/>
      <c r="M28" s="40"/>
      <c r="N28" s="146"/>
    </row>
    <row r="29" spans="2:14" ht="12.75" customHeight="1" thickBot="1" x14ac:dyDescent="0.25">
      <c r="B29" s="210"/>
      <c r="C29" s="40"/>
      <c r="D29" s="2"/>
      <c r="E29" s="2"/>
      <c r="F29" s="2"/>
      <c r="G29" s="40"/>
      <c r="H29" s="2"/>
      <c r="I29" s="8"/>
      <c r="J29" s="2"/>
      <c r="K29" s="21"/>
      <c r="L29" s="2"/>
      <c r="M29" s="40"/>
      <c r="N29" s="146"/>
    </row>
    <row r="30" spans="2:14" ht="12.75" customHeight="1" thickTop="1" x14ac:dyDescent="0.2">
      <c r="B30" s="210"/>
      <c r="C30" s="172"/>
      <c r="D30" s="172"/>
      <c r="E30" s="172"/>
      <c r="F30" s="172"/>
      <c r="G30" s="172"/>
      <c r="H30" s="172"/>
      <c r="I30" s="172"/>
      <c r="J30" s="172"/>
      <c r="K30" s="172"/>
      <c r="L30" s="173"/>
      <c r="M30" s="40"/>
      <c r="N30" s="146"/>
    </row>
    <row r="31" spans="2:14" ht="12.75" customHeight="1" x14ac:dyDescent="0.2">
      <c r="B31" s="210"/>
      <c r="C31" s="40"/>
      <c r="D31" s="572" t="s">
        <v>165</v>
      </c>
      <c r="E31" s="572"/>
      <c r="F31" s="572"/>
      <c r="G31" s="572"/>
      <c r="H31" s="2"/>
      <c r="I31" s="9" t="s">
        <v>7</v>
      </c>
      <c r="J31" s="2"/>
      <c r="K31" s="9" t="s">
        <v>6</v>
      </c>
      <c r="L31" s="40"/>
      <c r="M31" s="40"/>
      <c r="N31" s="146"/>
    </row>
    <row r="32" spans="2:14" ht="12.75" customHeight="1" x14ac:dyDescent="0.2">
      <c r="B32" s="210"/>
      <c r="C32" s="585" t="s">
        <v>422</v>
      </c>
      <c r="D32" s="585"/>
      <c r="E32" s="2" t="s">
        <v>8</v>
      </c>
      <c r="F32" s="2"/>
      <c r="G32" s="40"/>
      <c r="H32" s="10">
        <v>15</v>
      </c>
      <c r="I32" s="568">
        <f>IF(STRUCTURE!D8&gt;55,55,STRUCTURE!D8)</f>
        <v>0</v>
      </c>
      <c r="J32" s="10">
        <v>10</v>
      </c>
      <c r="K32" s="575">
        <f>IF(I32&lt;&gt;0,0,P35)</f>
        <v>0</v>
      </c>
      <c r="L32" s="171" t="s">
        <v>170</v>
      </c>
      <c r="M32" s="40"/>
      <c r="N32" s="146"/>
    </row>
    <row r="33" spans="2:18" ht="12.75" customHeight="1" x14ac:dyDescent="0.2">
      <c r="B33" s="210" t="s">
        <v>4</v>
      </c>
      <c r="C33" s="585"/>
      <c r="D33" s="585"/>
      <c r="E33" s="2" t="s">
        <v>9</v>
      </c>
      <c r="F33" s="2"/>
      <c r="G33" s="40"/>
      <c r="H33" s="11">
        <v>15</v>
      </c>
      <c r="I33" s="569"/>
      <c r="J33" s="10">
        <v>10</v>
      </c>
      <c r="K33" s="576"/>
      <c r="L33" s="171"/>
      <c r="M33" s="40"/>
      <c r="N33" s="146"/>
    </row>
    <row r="34" spans="2:18" ht="12.75" customHeight="1" x14ac:dyDescent="0.2">
      <c r="B34" s="210" t="s">
        <v>4</v>
      </c>
      <c r="C34" s="585"/>
      <c r="D34" s="585"/>
      <c r="E34" s="2" t="s">
        <v>166</v>
      </c>
      <c r="F34" s="2"/>
      <c r="G34" s="40"/>
      <c r="H34" s="12">
        <v>25</v>
      </c>
      <c r="I34" s="570"/>
      <c r="J34" s="10">
        <v>15</v>
      </c>
      <c r="K34" s="25">
        <f>IF(I32&lt;&gt;0,"",P37)</f>
        <v>0</v>
      </c>
      <c r="L34" s="40" t="s">
        <v>171</v>
      </c>
      <c r="M34" s="40"/>
      <c r="N34" s="146"/>
    </row>
    <row r="35" spans="2:18" ht="12.75" customHeight="1" x14ac:dyDescent="0.2">
      <c r="B35" s="210" t="s">
        <v>4</v>
      </c>
      <c r="C35" s="585" t="s">
        <v>423</v>
      </c>
      <c r="D35" s="585"/>
      <c r="E35" s="2" t="s">
        <v>266</v>
      </c>
      <c r="F35" s="2"/>
      <c r="G35" s="40"/>
      <c r="H35" s="12"/>
      <c r="I35" s="4"/>
      <c r="J35" s="10">
        <v>5</v>
      </c>
      <c r="K35" s="25" t="str">
        <f>IF(AND('TRAFFIC &amp; ACCIDENTS'!E10=7,STRUCTURE!D8=""),5,"")</f>
        <v/>
      </c>
      <c r="L35" s="44" t="s">
        <v>173</v>
      </c>
      <c r="M35" s="40"/>
      <c r="N35" s="146"/>
      <c r="P35" s="187">
        <f>IF(STRUCTURE!F8&gt;20,20,STRUCTURE!F8)</f>
        <v>0</v>
      </c>
    </row>
    <row r="36" spans="2:18" ht="12.75" customHeight="1" x14ac:dyDescent="0.2">
      <c r="B36" s="210" t="s">
        <v>4</v>
      </c>
      <c r="C36" s="585" t="s">
        <v>424</v>
      </c>
      <c r="D36" s="585"/>
      <c r="E36" s="2" t="s">
        <v>167</v>
      </c>
      <c r="F36" s="2"/>
      <c r="G36" s="40"/>
      <c r="H36" s="2"/>
      <c r="I36" s="2"/>
      <c r="J36" s="10">
        <v>15</v>
      </c>
      <c r="K36" s="25">
        <f>IF(I32&lt;&gt;0,"",P39)</f>
        <v>0</v>
      </c>
      <c r="L36" s="44" t="s">
        <v>172</v>
      </c>
      <c r="M36" s="40"/>
      <c r="N36" s="146"/>
      <c r="P36" s="187"/>
    </row>
    <row r="37" spans="2:18" ht="12.75" customHeight="1" x14ac:dyDescent="0.2">
      <c r="B37" s="210"/>
      <c r="C37" s="40"/>
      <c r="D37" s="2"/>
      <c r="E37" s="2"/>
      <c r="F37" s="2"/>
      <c r="G37" s="40"/>
      <c r="H37" s="40"/>
      <c r="I37" s="13" t="str">
        <f>IF(STRUCTURE!D8=0,"",I32)</f>
        <v/>
      </c>
      <c r="J37" s="40"/>
      <c r="K37" s="8" t="str">
        <f>IF(SUM(K32:K36)=0,"",SUM(K32:K36))</f>
        <v/>
      </c>
      <c r="L37" s="40"/>
      <c r="M37" s="40"/>
      <c r="N37" s="146"/>
      <c r="P37" s="187">
        <f>STRUCTURE!C20</f>
        <v>0</v>
      </c>
    </row>
    <row r="38" spans="2:18" ht="12.75" customHeight="1" x14ac:dyDescent="0.2">
      <c r="B38" s="210" t="s">
        <v>4</v>
      </c>
      <c r="C38" s="40"/>
      <c r="D38" s="2"/>
      <c r="E38" s="2"/>
      <c r="F38" s="2" t="s">
        <v>5</v>
      </c>
      <c r="G38" s="40"/>
      <c r="H38" s="14"/>
      <c r="I38" s="15">
        <v>55</v>
      </c>
      <c r="J38" s="14"/>
      <c r="K38" s="24" t="str">
        <f>IF(SUM(K32:K36)=0,I37,K37)</f>
        <v/>
      </c>
      <c r="L38" s="44"/>
      <c r="M38" s="40"/>
      <c r="N38" s="146"/>
      <c r="P38" s="188"/>
    </row>
    <row r="39" spans="2:18" ht="12.75" customHeight="1" x14ac:dyDescent="0.2">
      <c r="B39" s="210" t="s">
        <v>4</v>
      </c>
      <c r="C39" s="40"/>
      <c r="D39" s="2"/>
      <c r="E39" s="2"/>
      <c r="F39" s="2"/>
      <c r="G39" s="40"/>
      <c r="H39" s="14"/>
      <c r="I39" s="16" t="s">
        <v>180</v>
      </c>
      <c r="J39" s="14"/>
      <c r="K39" s="16" t="s">
        <v>181</v>
      </c>
      <c r="L39" s="44"/>
      <c r="M39" s="40"/>
      <c r="N39" s="146"/>
      <c r="P39" s="187">
        <f>STRUCTURE!K20</f>
        <v>0</v>
      </c>
    </row>
    <row r="40" spans="2:18" ht="12.75" customHeight="1" thickBot="1" x14ac:dyDescent="0.25">
      <c r="B40" s="210" t="s">
        <v>4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146"/>
    </row>
    <row r="41" spans="2:18" ht="12.75" customHeight="1" thickTop="1" x14ac:dyDescent="0.2">
      <c r="B41" s="210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40"/>
      <c r="N41" s="146"/>
    </row>
    <row r="42" spans="2:18" ht="12.75" customHeight="1" x14ac:dyDescent="0.2">
      <c r="B42" s="210"/>
      <c r="C42" s="40"/>
      <c r="D42" s="572" t="s">
        <v>447</v>
      </c>
      <c r="E42" s="572"/>
      <c r="F42" s="2"/>
      <c r="G42" s="40"/>
      <c r="H42" s="2"/>
      <c r="I42" s="2"/>
      <c r="J42" s="2"/>
      <c r="K42" s="9"/>
      <c r="L42" s="2"/>
      <c r="M42" s="40"/>
      <c r="N42" s="146"/>
      <c r="P42" s="189"/>
      <c r="Q42" s="190"/>
      <c r="R42" s="191"/>
    </row>
    <row r="43" spans="2:18" ht="12.75" customHeight="1" x14ac:dyDescent="0.2">
      <c r="B43" s="210"/>
      <c r="C43" s="40"/>
      <c r="D43" s="2"/>
      <c r="E43" s="577" t="s">
        <v>425</v>
      </c>
      <c r="F43" s="577"/>
      <c r="G43" s="40"/>
      <c r="H43" s="2"/>
      <c r="I43" s="9">
        <v>10</v>
      </c>
      <c r="J43" s="73" t="str">
        <f>IF(GEOMETRY!L6&lt;GEOMETRY!N6,"Reduced","")</f>
        <v/>
      </c>
      <c r="K43" s="23">
        <f>IF(P45&lt;0,0,P45)</f>
        <v>0</v>
      </c>
      <c r="L43" s="44"/>
      <c r="M43" s="40"/>
      <c r="N43" s="146"/>
      <c r="P43" s="192"/>
      <c r="Q43" s="193" t="s">
        <v>191</v>
      </c>
      <c r="R43" s="194"/>
    </row>
    <row r="44" spans="2:18" ht="12.75" customHeight="1" x14ac:dyDescent="0.2">
      <c r="B44" s="210"/>
      <c r="C44" s="40"/>
      <c r="D44" s="2"/>
      <c r="E44" s="577" t="s">
        <v>428</v>
      </c>
      <c r="F44" s="577"/>
      <c r="G44" s="40"/>
      <c r="H44" s="2"/>
      <c r="I44" s="9">
        <v>10</v>
      </c>
      <c r="J44" s="73" t="str">
        <f>IF(GEOMETRY!L7&lt;GEOMETRY!N7,"Reduced","")</f>
        <v/>
      </c>
      <c r="K44" s="23">
        <f>P46</f>
        <v>0</v>
      </c>
      <c r="L44" s="44"/>
      <c r="M44" s="40"/>
      <c r="N44" s="146"/>
      <c r="P44" s="192"/>
      <c r="Q44" s="193"/>
      <c r="R44" s="194"/>
    </row>
    <row r="45" spans="2:18" ht="12.75" customHeight="1" x14ac:dyDescent="0.2">
      <c r="B45" s="210" t="s">
        <v>4</v>
      </c>
      <c r="C45" s="40"/>
      <c r="D45" s="2"/>
      <c r="E45" s="577" t="s">
        <v>426</v>
      </c>
      <c r="F45" s="577"/>
      <c r="G45" s="577"/>
      <c r="H45" s="2"/>
      <c r="I45" s="9">
        <v>10</v>
      </c>
      <c r="J45" s="73" t="str">
        <f>IF(AND(GEOMETRY!F36&lt;&gt;0,GEOMETRY!F36&lt;1),"Reduced","")</f>
        <v/>
      </c>
      <c r="K45" s="23">
        <f>IF(SUM(GEOMETRY!F22:F35)=0,0,GEOMETRY!D18)</f>
        <v>0</v>
      </c>
      <c r="L45" s="2"/>
      <c r="M45" s="40"/>
      <c r="N45" s="146"/>
      <c r="P45" s="195">
        <f>IF(GEOMETRY!L6&lt;GEOMETRY!N6,Q45,GEOMETRY!F62)</f>
        <v>0</v>
      </c>
      <c r="Q45" s="196" t="e">
        <f>GEOMETRY!F62*((GEOMETRY!L6-GEOMETRY!K6)/(GEOMETRY!N6-GEOMETRY!K6))</f>
        <v>#VALUE!</v>
      </c>
      <c r="R45" s="194"/>
    </row>
    <row r="46" spans="2:18" ht="12.75" customHeight="1" x14ac:dyDescent="0.2">
      <c r="B46" s="210"/>
      <c r="C46" s="40"/>
      <c r="D46" s="2"/>
      <c r="E46" s="577" t="s">
        <v>427</v>
      </c>
      <c r="F46" s="577"/>
      <c r="G46" s="577"/>
      <c r="H46" s="2"/>
      <c r="I46" s="7">
        <v>10</v>
      </c>
      <c r="J46" s="73" t="e">
        <f>IF(GEOMETRY!M33&lt;1,"Reduced","")</f>
        <v>#VALUE!</v>
      </c>
      <c r="K46" s="123">
        <f>IF(SUM(GEOMETRY!L22:L35)=0,0,GEOMETRY!J19)</f>
        <v>0</v>
      </c>
      <c r="L46" s="2"/>
      <c r="M46" s="40"/>
      <c r="N46" s="146"/>
      <c r="P46" s="197">
        <f>IF(GEOMETRY!L7&lt;GEOMETRY!N7,Q46,GEOMETRY!M62)</f>
        <v>0</v>
      </c>
      <c r="Q46" s="198" t="e">
        <f>GEOMETRY!M63*((GEOMETRY!L7-GEOMETRY!K7)/(GEOMETRY!N7-GEOMETRY!K7))</f>
        <v>#VALUE!</v>
      </c>
      <c r="R46" s="194"/>
    </row>
    <row r="47" spans="2:18" ht="12.75" customHeight="1" x14ac:dyDescent="0.2">
      <c r="B47" s="210"/>
      <c r="C47" s="40"/>
      <c r="D47" s="2"/>
      <c r="E47" s="2"/>
      <c r="F47" s="2"/>
      <c r="G47" s="40"/>
      <c r="H47" s="2" t="s">
        <v>5</v>
      </c>
      <c r="I47" s="8">
        <v>40</v>
      </c>
      <c r="J47" s="2"/>
      <c r="K47" s="20">
        <f>SUM(K43:K46)</f>
        <v>0</v>
      </c>
      <c r="L47" s="2"/>
      <c r="M47" s="40"/>
      <c r="N47" s="146"/>
      <c r="P47" s="199"/>
      <c r="Q47" s="200"/>
      <c r="R47" s="201"/>
    </row>
    <row r="48" spans="2:18" ht="12.75" customHeight="1" x14ac:dyDescent="0.2">
      <c r="B48" s="210"/>
      <c r="C48" s="40"/>
      <c r="D48" s="2"/>
      <c r="E48" s="2"/>
      <c r="F48" s="2"/>
      <c r="G48" s="40"/>
      <c r="H48" s="2"/>
      <c r="I48" s="9"/>
      <c r="J48" s="2"/>
      <c r="K48" s="9"/>
      <c r="L48" s="2"/>
      <c r="M48" s="40"/>
      <c r="N48" s="146"/>
      <c r="P48" s="202"/>
      <c r="Q48" s="202"/>
    </row>
    <row r="49" spans="2:14" x14ac:dyDescent="0.2">
      <c r="B49" s="208"/>
      <c r="C49" s="40"/>
      <c r="D49" s="2"/>
      <c r="E49" s="2"/>
      <c r="F49" s="2"/>
      <c r="G49" s="40"/>
      <c r="H49" s="2"/>
      <c r="I49" s="9"/>
      <c r="J49" s="2"/>
      <c r="K49" s="9"/>
      <c r="L49" s="2"/>
      <c r="M49" s="40"/>
      <c r="N49" s="146"/>
    </row>
    <row r="50" spans="2:14" x14ac:dyDescent="0.2">
      <c r="B50" s="208"/>
      <c r="C50" s="40"/>
      <c r="D50" s="97" t="s">
        <v>310</v>
      </c>
      <c r="E50" s="2"/>
      <c r="F50" s="2"/>
      <c r="G50" s="40"/>
      <c r="H50" s="2"/>
      <c r="I50" s="169">
        <f>SUM(I21,I25,I27,I38,I47)</f>
        <v>150</v>
      </c>
      <c r="J50" s="168"/>
      <c r="K50" s="170">
        <f>SUM(K21,K25,K27,K38,K47)</f>
        <v>0</v>
      </c>
      <c r="L50" s="2"/>
      <c r="M50" s="40"/>
      <c r="N50" s="146"/>
    </row>
    <row r="51" spans="2:14" x14ac:dyDescent="0.2">
      <c r="B51" s="208"/>
      <c r="C51" s="40"/>
      <c r="D51" s="40"/>
      <c r="E51" s="2"/>
      <c r="F51" s="2"/>
      <c r="G51" s="2"/>
      <c r="H51" s="2"/>
      <c r="I51" s="2"/>
      <c r="J51" s="2"/>
      <c r="K51" s="40"/>
      <c r="L51" s="40"/>
      <c r="M51" s="40"/>
      <c r="N51" s="146"/>
    </row>
    <row r="52" spans="2:14" x14ac:dyDescent="0.2">
      <c r="B52" s="208"/>
      <c r="C52" s="10" t="s">
        <v>11</v>
      </c>
      <c r="D52" s="2" t="s">
        <v>130</v>
      </c>
      <c r="E52" s="2"/>
      <c r="F52" s="2"/>
      <c r="G52" s="2"/>
      <c r="H52" s="2"/>
      <c r="I52" s="2"/>
      <c r="J52" s="2"/>
      <c r="K52" s="40"/>
      <c r="L52" s="40"/>
      <c r="M52" s="40"/>
      <c r="N52" s="146"/>
    </row>
    <row r="53" spans="2:14" ht="12.75" customHeight="1" x14ac:dyDescent="0.2">
      <c r="B53" s="208"/>
      <c r="C53" s="2"/>
      <c r="D53" s="2" t="s">
        <v>131</v>
      </c>
      <c r="E53" s="2"/>
      <c r="F53" s="2"/>
      <c r="G53" s="2"/>
      <c r="H53" s="2"/>
      <c r="I53" s="2"/>
      <c r="J53" s="2"/>
      <c r="K53" s="40"/>
      <c r="L53" s="40"/>
      <c r="M53" s="40"/>
      <c r="N53" s="146"/>
    </row>
    <row r="54" spans="2:14" x14ac:dyDescent="0.2">
      <c r="B54" s="214"/>
      <c r="C54" s="2"/>
      <c r="D54" s="97" t="s">
        <v>12</v>
      </c>
      <c r="E54" s="2"/>
      <c r="F54" s="2"/>
      <c r="G54" s="2"/>
      <c r="H54" s="2"/>
      <c r="I54" s="2"/>
      <c r="J54" s="2"/>
      <c r="K54" s="40"/>
      <c r="L54" s="40"/>
      <c r="M54" s="40"/>
      <c r="N54" s="146"/>
    </row>
    <row r="55" spans="2:14" ht="13.5" thickBot="1" x14ac:dyDescent="0.25">
      <c r="B55" s="215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216"/>
    </row>
    <row r="56" spans="2:14" ht="12.75" customHeight="1" x14ac:dyDescent="0.2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</row>
    <row r="57" spans="2:14" ht="12.75" customHeight="1" x14ac:dyDescent="0.2"/>
    <row r="58" spans="2:14" ht="12.75" customHeight="1" x14ac:dyDescent="0.2"/>
    <row r="59" spans="2:14" ht="12.75" customHeight="1" x14ac:dyDescent="0.2"/>
    <row r="60" spans="2:14" ht="12.75" customHeight="1" x14ac:dyDescent="0.2"/>
    <row r="61" spans="2:14" ht="12.75" customHeight="1" x14ac:dyDescent="0.2"/>
    <row r="62" spans="2:14" ht="12.75" customHeight="1" x14ac:dyDescent="0.2"/>
    <row r="63" spans="2:14" ht="12.75" customHeight="1" x14ac:dyDescent="0.2"/>
    <row r="64" spans="2:1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</sheetData>
  <sheetProtection algorithmName="SHA-512" hashValue="B8w9BkqdWsK2J8mCoNcr7yhY4sSvocZCJlRlk4kM7SznOexeH7FJfFM7jtly1hzRgT4pb9XFZ5zIyTDEa2bIGQ==" saltValue="a7ONAZsXSu2hoYCf4bjSgg==" spinCount="100000" sheet="1" selectLockedCells="1"/>
  <mergeCells count="25">
    <mergeCell ref="E46:G46"/>
    <mergeCell ref="E45:G45"/>
    <mergeCell ref="D31:G31"/>
    <mergeCell ref="E43:F43"/>
    <mergeCell ref="C32:D34"/>
    <mergeCell ref="C35:D35"/>
    <mergeCell ref="E44:F44"/>
    <mergeCell ref="C36:D36"/>
    <mergeCell ref="D42:E42"/>
    <mergeCell ref="G25:H25"/>
    <mergeCell ref="G27:H27"/>
    <mergeCell ref="I32:I34"/>
    <mergeCell ref="J4:M5"/>
    <mergeCell ref="D27:F27"/>
    <mergeCell ref="J6:M7"/>
    <mergeCell ref="F10:I11"/>
    <mergeCell ref="K32:K33"/>
    <mergeCell ref="D25:F25"/>
    <mergeCell ref="D17:E17"/>
    <mergeCell ref="E18:F18"/>
    <mergeCell ref="E19:F19"/>
    <mergeCell ref="E20:F20"/>
    <mergeCell ref="E5:I5"/>
    <mergeCell ref="C4:D4"/>
    <mergeCell ref="E4:G4"/>
  </mergeCells>
  <phoneticPr fontId="23" type="noConversion"/>
  <conditionalFormatting sqref="I32 K32 K34:K36">
    <cfRule type="cellIs" dxfId="12" priority="15" stopIfTrue="1" operator="equal">
      <formula>0</formula>
    </cfRule>
  </conditionalFormatting>
  <conditionalFormatting sqref="K50">
    <cfRule type="expression" dxfId="11" priority="16" stopIfTrue="1">
      <formula>ISERROR($K$46)</formula>
    </cfRule>
  </conditionalFormatting>
  <conditionalFormatting sqref="J46">
    <cfRule type="expression" dxfId="10" priority="17" stopIfTrue="1">
      <formula>ISERROR($J$46)</formula>
    </cfRule>
  </conditionalFormatting>
  <conditionalFormatting sqref="J45">
    <cfRule type="expression" dxfId="9" priority="18" stopIfTrue="1">
      <formula>ISERROR($J$45)</formula>
    </cfRule>
  </conditionalFormatting>
  <conditionalFormatting sqref="K20">
    <cfRule type="containsErrors" dxfId="8" priority="3" stopIfTrue="1">
      <formula>ISERROR(K20)</formula>
    </cfRule>
  </conditionalFormatting>
  <conditionalFormatting sqref="K21">
    <cfRule type="containsErrors" dxfId="7" priority="19" stopIfTrue="1">
      <formula>ISERROR(K21)</formula>
    </cfRule>
  </conditionalFormatting>
  <conditionalFormatting sqref="K18:K19">
    <cfRule type="containsErrors" dxfId="6" priority="1" stopIfTrue="1">
      <formula>ISERROR(K18)</formula>
    </cfRule>
  </conditionalFormatting>
  <hyperlinks>
    <hyperlink ref="D31:G31" location="STRUCTURE!A1" display="STRUCTURAL CONDITION:"/>
    <hyperlink ref="D27:F27" location="'Local &amp; Links'!A1" display="MISSING LINKS"/>
    <hyperlink ref="D25:F25" location="'Local &amp; Links'!A1" display="LOCAL SIGNIFICANCE "/>
    <hyperlink ref="D42" location="GEOMETRY!A1" display="GEOMETRY                                          "/>
    <hyperlink ref="D17" location="'TRAFFIC &amp; ACCIDENTS'!A1" display="TRAFFIC                                                 "/>
  </hyperlinks>
  <pageMargins left="0.5" right="0.5" top="0.4" bottom="0.4" header="0.25" footer="0.24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60"/>
  <sheetViews>
    <sheetView showGridLines="0" workbookViewId="0">
      <selection activeCell="H16" sqref="H16"/>
    </sheetView>
  </sheetViews>
  <sheetFormatPr defaultRowHeight="12.75" x14ac:dyDescent="0.2"/>
  <cols>
    <col min="1" max="1" width="3.140625" style="147" customWidth="1"/>
    <col min="2" max="2" width="3.7109375" style="147" customWidth="1"/>
    <col min="3" max="3" width="4.42578125" style="147" customWidth="1"/>
    <col min="4" max="9" width="7.7109375" style="147" customWidth="1"/>
    <col min="10" max="10" width="7.85546875" style="147" customWidth="1"/>
    <col min="11" max="13" width="7.7109375" style="147" customWidth="1"/>
    <col min="14" max="16384" width="9.140625" style="147"/>
  </cols>
  <sheetData>
    <row r="3" spans="2:15" ht="13.5" thickBot="1" x14ac:dyDescent="0.25">
      <c r="E3" s="180"/>
      <c r="F3" s="150"/>
      <c r="I3" s="181"/>
      <c r="J3" s="181"/>
      <c r="K3" s="182"/>
      <c r="L3" s="182"/>
      <c r="M3" s="182"/>
    </row>
    <row r="4" spans="2:15" x14ac:dyDescent="0.2">
      <c r="B4" s="83" t="s">
        <v>307</v>
      </c>
      <c r="C4" s="70"/>
      <c r="D4" s="60"/>
      <c r="E4" s="60"/>
      <c r="F4" s="60"/>
      <c r="G4" s="60"/>
      <c r="H4" s="70"/>
      <c r="I4" s="70"/>
      <c r="J4" s="70"/>
      <c r="K4" s="70"/>
      <c r="L4" s="70"/>
      <c r="M4" s="84"/>
    </row>
    <row r="5" spans="2:15" x14ac:dyDescent="0.2">
      <c r="B5" s="126"/>
      <c r="C5" s="40"/>
      <c r="D5" s="69"/>
      <c r="E5" s="69"/>
      <c r="F5" s="69"/>
      <c r="G5" s="69"/>
      <c r="H5" s="40"/>
      <c r="I5" s="40"/>
      <c r="J5" s="40"/>
      <c r="K5" s="40"/>
      <c r="L5" s="40"/>
      <c r="M5" s="146"/>
    </row>
    <row r="6" spans="2:15" x14ac:dyDescent="0.2">
      <c r="B6" s="85"/>
      <c r="C6" s="69"/>
      <c r="D6" s="69"/>
      <c r="E6" s="39" t="s">
        <v>175</v>
      </c>
      <c r="F6" s="69"/>
      <c r="G6" s="39" t="s">
        <v>311</v>
      </c>
      <c r="H6" s="296"/>
      <c r="I6" s="40"/>
      <c r="J6" s="40"/>
      <c r="K6" s="78"/>
      <c r="L6" s="78" t="s">
        <v>177</v>
      </c>
      <c r="M6" s="146"/>
    </row>
    <row r="7" spans="2:15" x14ac:dyDescent="0.2">
      <c r="B7" s="85"/>
      <c r="C7" s="40"/>
      <c r="D7" s="40"/>
      <c r="E7" s="296"/>
      <c r="F7" s="72"/>
      <c r="G7" s="40"/>
      <c r="H7" s="71" t="s">
        <v>176</v>
      </c>
      <c r="I7" s="178" t="s">
        <v>345</v>
      </c>
      <c r="J7" s="178"/>
      <c r="K7" s="125"/>
      <c r="L7" s="125"/>
      <c r="M7" s="175"/>
      <c r="N7" s="183"/>
      <c r="O7" s="183"/>
    </row>
    <row r="8" spans="2:15" x14ac:dyDescent="0.2">
      <c r="B8" s="85"/>
      <c r="C8" s="40"/>
      <c r="D8" s="73" t="s">
        <v>19</v>
      </c>
      <c r="E8" s="294"/>
      <c r="F8" s="40"/>
      <c r="G8" s="100" t="s">
        <v>312</v>
      </c>
      <c r="H8" s="497"/>
      <c r="I8" s="447" t="str">
        <f t="shared" ref="I8:I14" si="0">IF(H8&lt;&gt;0,2,"")</f>
        <v/>
      </c>
      <c r="J8" s="4"/>
      <c r="K8" s="587" t="s">
        <v>454</v>
      </c>
      <c r="L8" s="587"/>
      <c r="M8" s="588"/>
      <c r="N8" s="184"/>
      <c r="O8" s="184"/>
    </row>
    <row r="9" spans="2:15" x14ac:dyDescent="0.2">
      <c r="B9" s="85"/>
      <c r="C9" s="40"/>
      <c r="D9" s="73" t="s">
        <v>112</v>
      </c>
      <c r="E9" s="294"/>
      <c r="F9" s="40"/>
      <c r="G9" s="100" t="s">
        <v>313</v>
      </c>
      <c r="H9" s="497"/>
      <c r="I9" s="447" t="str">
        <f t="shared" si="0"/>
        <v/>
      </c>
      <c r="J9" s="4"/>
      <c r="K9" s="587"/>
      <c r="L9" s="587"/>
      <c r="M9" s="588"/>
      <c r="N9" s="150"/>
      <c r="O9" s="150"/>
    </row>
    <row r="10" spans="2:15" x14ac:dyDescent="0.2">
      <c r="B10" s="85"/>
      <c r="C10" s="40"/>
      <c r="D10" s="73" t="s">
        <v>174</v>
      </c>
      <c r="E10" s="496"/>
      <c r="F10" s="40"/>
      <c r="G10" s="100" t="s">
        <v>314</v>
      </c>
      <c r="H10" s="497"/>
      <c r="I10" s="447" t="str">
        <f t="shared" si="0"/>
        <v/>
      </c>
      <c r="J10" s="4"/>
      <c r="K10" s="105"/>
      <c r="L10" s="4" t="s">
        <v>358</v>
      </c>
      <c r="M10" s="176"/>
      <c r="N10" s="150"/>
      <c r="O10" s="150"/>
    </row>
    <row r="11" spans="2:15" x14ac:dyDescent="0.2">
      <c r="B11" s="85"/>
      <c r="C11" s="40"/>
      <c r="D11" s="74" t="s">
        <v>104</v>
      </c>
      <c r="E11" s="448">
        <f>'RC RATING SUMMARY'!F6</f>
        <v>0</v>
      </c>
      <c r="F11" s="62"/>
      <c r="G11" s="100" t="s">
        <v>315</v>
      </c>
      <c r="H11" s="497"/>
      <c r="I11" s="447" t="str">
        <f t="shared" si="0"/>
        <v/>
      </c>
      <c r="J11" s="4"/>
      <c r="K11" s="74" t="s">
        <v>359</v>
      </c>
      <c r="L11" s="294">
        <v>2</v>
      </c>
      <c r="M11" s="177"/>
      <c r="N11" s="150"/>
      <c r="O11" s="150"/>
    </row>
    <row r="12" spans="2:15" x14ac:dyDescent="0.2">
      <c r="B12" s="85"/>
      <c r="C12" s="40"/>
      <c r="D12" s="104" t="s">
        <v>343</v>
      </c>
      <c r="E12" s="449"/>
      <c r="F12" s="62"/>
      <c r="G12" s="100" t="s">
        <v>316</v>
      </c>
      <c r="H12" s="497"/>
      <c r="I12" s="447" t="str">
        <f t="shared" si="0"/>
        <v/>
      </c>
      <c r="J12" s="4"/>
      <c r="K12" s="74" t="s">
        <v>344</v>
      </c>
      <c r="L12" s="294">
        <v>1</v>
      </c>
      <c r="M12" s="176"/>
      <c r="N12" s="150"/>
      <c r="O12" s="150"/>
    </row>
    <row r="13" spans="2:15" x14ac:dyDescent="0.2">
      <c r="B13" s="85"/>
      <c r="C13" s="40"/>
      <c r="D13" s="73"/>
      <c r="E13" s="449"/>
      <c r="F13" s="62"/>
      <c r="G13" s="100" t="s">
        <v>317</v>
      </c>
      <c r="H13" s="294"/>
      <c r="I13" s="447" t="str">
        <f t="shared" si="0"/>
        <v/>
      </c>
      <c r="J13" s="4"/>
      <c r="K13" s="73"/>
      <c r="L13" s="4"/>
      <c r="M13" s="176"/>
      <c r="N13" s="150"/>
      <c r="O13" s="150"/>
    </row>
    <row r="14" spans="2:15" x14ac:dyDescent="0.2">
      <c r="B14" s="85"/>
      <c r="C14" s="40"/>
      <c r="D14" s="73"/>
      <c r="E14" s="449"/>
      <c r="F14" s="62"/>
      <c r="G14" s="100" t="s">
        <v>318</v>
      </c>
      <c r="H14" s="294"/>
      <c r="I14" s="447" t="str">
        <f t="shared" si="0"/>
        <v/>
      </c>
      <c r="J14" s="4"/>
      <c r="K14" s="73"/>
      <c r="L14" s="4"/>
      <c r="M14" s="176"/>
      <c r="N14" s="150"/>
    </row>
    <row r="15" spans="2:15" x14ac:dyDescent="0.2">
      <c r="B15" s="85"/>
      <c r="C15" s="40"/>
      <c r="D15" s="73"/>
      <c r="E15" s="449"/>
      <c r="F15" s="62"/>
      <c r="G15" s="101" t="s">
        <v>319</v>
      </c>
      <c r="H15" s="294"/>
      <c r="I15" s="447" t="str">
        <f>IF(H15&lt;&gt;0,1,"")</f>
        <v/>
      </c>
      <c r="J15" s="4"/>
      <c r="K15" s="73"/>
      <c r="L15" s="4"/>
      <c r="M15" s="176"/>
      <c r="N15" s="150"/>
      <c r="O15" s="150"/>
    </row>
    <row r="16" spans="2:15" x14ac:dyDescent="0.2">
      <c r="B16" s="85"/>
      <c r="C16" s="40"/>
      <c r="D16" s="73"/>
      <c r="E16" s="449"/>
      <c r="F16" s="62"/>
      <c r="G16" s="101" t="s">
        <v>356</v>
      </c>
      <c r="H16" s="497"/>
      <c r="I16" s="447" t="str">
        <f>IF(H16&lt;&gt;0,1,"")</f>
        <v/>
      </c>
      <c r="J16" s="4"/>
      <c r="K16" s="73"/>
      <c r="L16" s="4"/>
      <c r="M16" s="75"/>
      <c r="N16" s="150"/>
      <c r="O16" s="150"/>
    </row>
    <row r="17" spans="1:20" x14ac:dyDescent="0.2">
      <c r="B17" s="85"/>
      <c r="C17" s="40"/>
      <c r="D17" s="73"/>
      <c r="E17" s="449"/>
      <c r="F17" s="62"/>
      <c r="G17" s="101" t="s">
        <v>357</v>
      </c>
      <c r="H17" s="497"/>
      <c r="I17" s="450" t="str">
        <f>IF(H17&lt;&gt;0,1,"")</f>
        <v/>
      </c>
      <c r="J17" s="4"/>
      <c r="K17" s="73"/>
      <c r="L17" s="4"/>
      <c r="M17" s="75"/>
      <c r="N17" s="150"/>
      <c r="O17" s="150"/>
    </row>
    <row r="18" spans="1:20" x14ac:dyDescent="0.2">
      <c r="B18" s="85"/>
      <c r="C18" s="40"/>
      <c r="D18" s="73"/>
      <c r="E18" s="449"/>
      <c r="F18" s="62"/>
      <c r="G18" s="101"/>
      <c r="H18" s="451"/>
      <c r="I18" s="9">
        <f>IF(SUM(I8:I17)&gt;15,15,SUM(I8:I17))</f>
        <v>0</v>
      </c>
      <c r="J18" s="9"/>
      <c r="K18" s="73"/>
      <c r="L18" s="4"/>
      <c r="M18" s="75"/>
      <c r="N18" s="150"/>
      <c r="O18" s="150"/>
    </row>
    <row r="19" spans="1:20" ht="13.5" thickBot="1" x14ac:dyDescent="0.25">
      <c r="B19" s="86"/>
      <c r="C19" s="67"/>
      <c r="D19" s="67"/>
      <c r="E19" s="67"/>
      <c r="F19" s="67"/>
      <c r="G19" s="67"/>
      <c r="H19" s="124"/>
      <c r="I19" s="67"/>
      <c r="J19" s="67"/>
      <c r="K19" s="67"/>
      <c r="L19" s="67"/>
      <c r="M19" s="68"/>
      <c r="O19" s="150"/>
    </row>
    <row r="20" spans="1:20" x14ac:dyDescent="0.2">
      <c r="F20" s="246"/>
      <c r="G20" s="236"/>
    </row>
    <row r="26" spans="1:20" s="184" customFormat="1" ht="11.25" customHeight="1" x14ac:dyDescent="0.2">
      <c r="K26" s="269"/>
      <c r="R26" s="277"/>
      <c r="S26" s="277"/>
      <c r="T26" s="277"/>
    </row>
    <row r="27" spans="1:20" s="184" customFormat="1" ht="11.25" customHeight="1" x14ac:dyDescent="0.2">
      <c r="R27" s="277"/>
      <c r="S27" s="277"/>
      <c r="T27" s="277"/>
    </row>
    <row r="28" spans="1:20" s="184" customFormat="1" ht="11.25" customHeight="1" x14ac:dyDescent="0.2">
      <c r="A28" s="269"/>
      <c r="H28" s="247"/>
      <c r="R28" s="277"/>
      <c r="S28" s="277"/>
      <c r="T28" s="277"/>
    </row>
    <row r="29" spans="1:20" s="184" customFormat="1" ht="11.25" customHeight="1" x14ac:dyDescent="0.2">
      <c r="A29" s="269"/>
      <c r="B29" s="452" t="s">
        <v>404</v>
      </c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R29" s="277"/>
      <c r="S29" s="277"/>
      <c r="T29" s="277"/>
    </row>
    <row r="30" spans="1:20" s="184" customFormat="1" ht="11.25" customHeight="1" x14ac:dyDescent="0.2">
      <c r="A30" s="269"/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453"/>
      <c r="O30" s="454" t="s">
        <v>13</v>
      </c>
      <c r="P30" s="455"/>
      <c r="Q30" s="456"/>
      <c r="R30" s="456"/>
      <c r="S30" s="277"/>
      <c r="T30" s="277"/>
    </row>
    <row r="31" spans="1:20" s="184" customFormat="1" ht="11.25" customHeight="1" x14ac:dyDescent="0.2">
      <c r="A31" s="269"/>
      <c r="B31" s="340"/>
      <c r="C31" s="340" t="s">
        <v>14</v>
      </c>
      <c r="D31" s="340"/>
      <c r="E31" s="340"/>
      <c r="F31" s="340" t="s">
        <v>15</v>
      </c>
      <c r="G31" s="457">
        <f>'TRAFFIC &amp; ACCIDENTS'!E8</f>
        <v>0</v>
      </c>
      <c r="H31" s="340"/>
      <c r="I31" s="399" t="s">
        <v>16</v>
      </c>
      <c r="J31" s="457">
        <f>'TRAFFIC &amp; ACCIDENTS'!E9</f>
        <v>0</v>
      </c>
      <c r="K31" s="340"/>
      <c r="L31" s="340"/>
      <c r="M31" s="340"/>
      <c r="N31" s="458"/>
      <c r="O31" s="459"/>
      <c r="P31" s="460"/>
      <c r="R31" s="277"/>
      <c r="S31" s="277"/>
      <c r="T31" s="277"/>
    </row>
    <row r="32" spans="1:20" s="184" customFormat="1" ht="11.25" customHeight="1" x14ac:dyDescent="0.2">
      <c r="A32" s="269"/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93"/>
      <c r="M32" s="461"/>
      <c r="N32" s="462"/>
      <c r="O32" s="463" t="s">
        <v>17</v>
      </c>
      <c r="P32" s="464" t="s">
        <v>17</v>
      </c>
      <c r="R32" s="277"/>
      <c r="S32" s="277"/>
      <c r="T32" s="277"/>
    </row>
    <row r="33" spans="1:20" s="184" customFormat="1" ht="11.25" customHeight="1" x14ac:dyDescent="0.2">
      <c r="A33" s="269"/>
      <c r="B33" s="340"/>
      <c r="C33" s="340" t="s">
        <v>18</v>
      </c>
      <c r="D33" s="340"/>
      <c r="E33" s="340"/>
      <c r="F33" s="340"/>
      <c r="G33" s="340"/>
      <c r="H33" s="340"/>
      <c r="I33" s="340"/>
      <c r="J33" s="340"/>
      <c r="K33" s="340"/>
      <c r="L33" s="393"/>
      <c r="M33" s="465"/>
      <c r="N33" s="466"/>
      <c r="O33" s="463" t="s">
        <v>19</v>
      </c>
      <c r="P33" s="464" t="s">
        <v>20</v>
      </c>
      <c r="R33" s="277"/>
      <c r="S33" s="277"/>
      <c r="T33" s="277"/>
    </row>
    <row r="34" spans="1:20" s="184" customFormat="1" ht="11.25" customHeight="1" x14ac:dyDescent="0.2">
      <c r="A34" s="269"/>
      <c r="B34" s="393"/>
      <c r="C34" s="340" t="s">
        <v>21</v>
      </c>
      <c r="D34" s="340"/>
      <c r="E34" s="340"/>
      <c r="F34" s="340"/>
      <c r="G34" s="340"/>
      <c r="H34" s="340"/>
      <c r="I34" s="340"/>
      <c r="J34" s="340"/>
      <c r="K34" s="340"/>
      <c r="L34" s="393"/>
      <c r="M34" s="340"/>
      <c r="N34" s="467"/>
      <c r="O34" s="468" t="s">
        <v>22</v>
      </c>
      <c r="P34" s="469" t="s">
        <v>22</v>
      </c>
      <c r="R34" s="277"/>
      <c r="S34" s="277"/>
      <c r="T34" s="277"/>
    </row>
    <row r="35" spans="1:20" s="184" customFormat="1" ht="11.25" customHeight="1" x14ac:dyDescent="0.2">
      <c r="A35" s="269"/>
      <c r="B35" s="340" t="s">
        <v>23</v>
      </c>
      <c r="C35" s="340"/>
      <c r="D35" s="340"/>
      <c r="E35" s="340"/>
      <c r="F35" s="340"/>
      <c r="G35" s="340"/>
      <c r="H35" s="340"/>
      <c r="I35" s="340"/>
      <c r="J35" s="340"/>
      <c r="K35" s="340"/>
      <c r="L35" s="393"/>
      <c r="M35" s="340"/>
      <c r="N35" s="467"/>
      <c r="O35" s="463"/>
      <c r="P35" s="464"/>
      <c r="R35" s="277"/>
      <c r="T35" s="277"/>
    </row>
    <row r="36" spans="1:20" s="184" customFormat="1" ht="11.25" customHeight="1" x14ac:dyDescent="0.2">
      <c r="A36" s="269"/>
      <c r="B36" s="470" t="s">
        <v>19</v>
      </c>
      <c r="C36" s="471" t="s">
        <v>24</v>
      </c>
      <c r="D36" s="471" t="s">
        <v>25</v>
      </c>
      <c r="E36" s="471" t="s">
        <v>26</v>
      </c>
      <c r="F36" s="471" t="s">
        <v>27</v>
      </c>
      <c r="G36" s="471" t="s">
        <v>28</v>
      </c>
      <c r="H36" s="471" t="s">
        <v>29</v>
      </c>
      <c r="I36" s="471" t="s">
        <v>348</v>
      </c>
      <c r="J36" s="471" t="s">
        <v>349</v>
      </c>
      <c r="K36" s="471" t="s">
        <v>346</v>
      </c>
      <c r="L36" s="472" t="s">
        <v>347</v>
      </c>
      <c r="M36" s="340"/>
      <c r="N36" s="467"/>
      <c r="O36" s="463">
        <f>IF(AND(G31&lt;101,G31&gt;0),C38,O37)</f>
        <v>2</v>
      </c>
      <c r="P36" s="464" t="str">
        <f>IF(AND(J31&lt;11,J31&gt;0),C38,P37)</f>
        <v/>
      </c>
      <c r="R36" s="277"/>
      <c r="S36" s="277"/>
      <c r="T36" s="277"/>
    </row>
    <row r="37" spans="1:20" s="184" customFormat="1" ht="11.25" customHeight="1" x14ac:dyDescent="0.2">
      <c r="A37" s="269"/>
      <c r="B37" s="473"/>
      <c r="C37" s="474"/>
      <c r="D37" s="474"/>
      <c r="E37" s="474"/>
      <c r="F37" s="474"/>
      <c r="G37" s="474"/>
      <c r="H37" s="474"/>
      <c r="I37" s="474"/>
      <c r="J37" s="474"/>
      <c r="K37" s="474"/>
      <c r="L37" s="475"/>
      <c r="M37" s="340"/>
      <c r="N37" s="467"/>
      <c r="O37" s="463">
        <f>IF(G31&lt;201,D38,O38)</f>
        <v>2</v>
      </c>
      <c r="P37" s="464" t="str">
        <f>IF(AND(J31&lt;21,J31&gt;10),D38,P38)</f>
        <v/>
      </c>
      <c r="R37" s="277"/>
      <c r="S37" s="277"/>
      <c r="T37" s="277"/>
    </row>
    <row r="38" spans="1:20" s="184" customFormat="1" ht="11.25" customHeight="1" x14ac:dyDescent="0.2">
      <c r="A38" s="269"/>
      <c r="B38" s="473" t="s">
        <v>22</v>
      </c>
      <c r="C38" s="474">
        <v>1</v>
      </c>
      <c r="D38" s="474">
        <v>2</v>
      </c>
      <c r="E38" s="474">
        <v>3</v>
      </c>
      <c r="F38" s="474">
        <v>4</v>
      </c>
      <c r="G38" s="474">
        <v>5</v>
      </c>
      <c r="H38" s="474">
        <v>6</v>
      </c>
      <c r="I38" s="474">
        <v>7</v>
      </c>
      <c r="J38" s="474">
        <v>8</v>
      </c>
      <c r="K38" s="474">
        <v>9</v>
      </c>
      <c r="L38" s="475">
        <v>10</v>
      </c>
      <c r="M38" s="340"/>
      <c r="N38" s="467"/>
      <c r="O38" s="463">
        <f>IF(G31&lt;301,E38,O39)</f>
        <v>3</v>
      </c>
      <c r="P38" s="464" t="str">
        <f>IF(AND(J31&lt;31,J31&gt;20),E38,P39)</f>
        <v/>
      </c>
      <c r="R38" s="277"/>
      <c r="S38" s="277"/>
      <c r="T38" s="277"/>
    </row>
    <row r="39" spans="1:20" s="184" customFormat="1" ht="11.25" customHeight="1" x14ac:dyDescent="0.2">
      <c r="A39" s="269"/>
      <c r="B39" s="473"/>
      <c r="C39" s="476"/>
      <c r="D39" s="476"/>
      <c r="E39" s="476"/>
      <c r="F39" s="476"/>
      <c r="G39" s="476"/>
      <c r="H39" s="476"/>
      <c r="I39" s="476"/>
      <c r="J39" s="476"/>
      <c r="K39" s="476"/>
      <c r="L39" s="477"/>
      <c r="M39" s="340"/>
      <c r="N39" s="467"/>
      <c r="O39" s="463">
        <f>IF(G31&lt;451,F38,O40)</f>
        <v>4</v>
      </c>
      <c r="P39" s="464" t="str">
        <f>IF(AND(J31&lt;46,J31&gt;30),F38,P40)</f>
        <v/>
      </c>
      <c r="R39" s="277"/>
      <c r="S39" s="277"/>
      <c r="T39" s="277"/>
    </row>
    <row r="40" spans="1:20" s="184" customFormat="1" ht="11.25" customHeight="1" x14ac:dyDescent="0.2">
      <c r="A40" s="269"/>
      <c r="B40" s="478" t="s">
        <v>30</v>
      </c>
      <c r="C40" s="479" t="s">
        <v>31</v>
      </c>
      <c r="D40" s="479" t="s">
        <v>32</v>
      </c>
      <c r="E40" s="479" t="s">
        <v>33</v>
      </c>
      <c r="F40" s="479" t="s">
        <v>34</v>
      </c>
      <c r="G40" s="479" t="s">
        <v>35</v>
      </c>
      <c r="H40" s="479" t="s">
        <v>36</v>
      </c>
      <c r="I40" s="479" t="s">
        <v>350</v>
      </c>
      <c r="J40" s="479" t="s">
        <v>351</v>
      </c>
      <c r="K40" s="479" t="s">
        <v>352</v>
      </c>
      <c r="L40" s="480" t="s">
        <v>353</v>
      </c>
      <c r="M40" s="340"/>
      <c r="N40" s="467"/>
      <c r="O40" s="463">
        <f>IF(G31&lt;601,G38,O41)</f>
        <v>5</v>
      </c>
      <c r="P40" s="464" t="str">
        <f>IF(AND(J31&lt;61,J31&gt;45),G38,P41)</f>
        <v/>
      </c>
      <c r="R40" s="277"/>
      <c r="S40" s="277"/>
      <c r="T40" s="277"/>
    </row>
    <row r="41" spans="1:20" s="184" customFormat="1" ht="11.25" customHeight="1" thickBot="1" x14ac:dyDescent="0.25">
      <c r="A41" s="269"/>
      <c r="B41" s="340"/>
      <c r="C41" s="340"/>
      <c r="D41" s="481"/>
      <c r="E41" s="394"/>
      <c r="F41" s="394"/>
      <c r="G41" s="394"/>
      <c r="H41" s="394"/>
      <c r="I41" s="394"/>
      <c r="J41" s="340"/>
      <c r="K41" s="340"/>
      <c r="L41" s="393"/>
      <c r="M41" s="340"/>
      <c r="N41" s="467"/>
      <c r="O41" s="463">
        <f>IF(G31&lt;751,H38,O42)</f>
        <v>6</v>
      </c>
      <c r="P41" s="464" t="str">
        <f>IF(AND(J31&lt;76,J31&gt;60),H38,P42)</f>
        <v/>
      </c>
      <c r="R41" s="277"/>
      <c r="S41" s="277"/>
      <c r="T41" s="277"/>
    </row>
    <row r="42" spans="1:20" s="184" customFormat="1" ht="11.25" customHeight="1" thickBot="1" x14ac:dyDescent="0.25">
      <c r="A42" s="269"/>
      <c r="B42" s="340"/>
      <c r="C42" s="340"/>
      <c r="D42" s="394"/>
      <c r="E42" s="394"/>
      <c r="F42" s="393"/>
      <c r="G42" s="393"/>
      <c r="H42" s="394"/>
      <c r="I42" s="393"/>
      <c r="J42" s="399" t="s">
        <v>37</v>
      </c>
      <c r="K42" s="482">
        <f>IF(AND(G31=0,J31=0),0,IF(G31&gt;J31*10,O36,P36))</f>
        <v>0</v>
      </c>
      <c r="L42" s="393"/>
      <c r="M42" s="340"/>
      <c r="N42" s="467"/>
      <c r="O42" s="463">
        <f>IF(G31&lt;901,I38,O43)</f>
        <v>7</v>
      </c>
      <c r="P42" s="464" t="str">
        <f>IF(AND(J31&lt;91,J31&gt;75),I38,P43)</f>
        <v/>
      </c>
      <c r="R42" s="277"/>
      <c r="S42" s="277"/>
      <c r="T42" s="277"/>
    </row>
    <row r="43" spans="1:20" s="184" customFormat="1" ht="11.25" customHeight="1" x14ac:dyDescent="0.2">
      <c r="A43" s="269"/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467"/>
      <c r="O43" s="463">
        <f>IF(G31&lt;1051,J38,O44)</f>
        <v>8</v>
      </c>
      <c r="P43" s="464" t="str">
        <f>IF(AND(J31&lt;106,J31&gt;90),J38,P44)</f>
        <v/>
      </c>
      <c r="Q43" s="483"/>
      <c r="R43" s="277"/>
      <c r="S43" s="277"/>
      <c r="T43" s="277"/>
    </row>
    <row r="44" spans="1:20" s="184" customFormat="1" ht="11.25" customHeight="1" x14ac:dyDescent="0.2">
      <c r="A44" s="269"/>
      <c r="B44" s="307"/>
      <c r="C44" s="484"/>
      <c r="D44" s="307"/>
      <c r="E44" s="307"/>
      <c r="F44" s="307"/>
      <c r="G44" s="343"/>
      <c r="H44" s="343"/>
      <c r="I44" s="307"/>
      <c r="J44" s="307"/>
      <c r="K44" s="307"/>
      <c r="L44" s="307"/>
      <c r="M44" s="340"/>
      <c r="N44" s="467"/>
      <c r="O44" s="463">
        <f>IF(G31&lt;1301,K38,O45)</f>
        <v>9</v>
      </c>
      <c r="P44" s="464" t="str">
        <f>IF(AND(J31&lt;131,J31&gt;105),K38,P45)</f>
        <v/>
      </c>
      <c r="Q44" s="483"/>
      <c r="R44" s="277"/>
      <c r="S44" s="277"/>
      <c r="T44" s="277"/>
    </row>
    <row r="45" spans="1:20" s="184" customFormat="1" ht="11.25" customHeight="1" x14ac:dyDescent="0.2">
      <c r="A45" s="269"/>
      <c r="B45" s="307"/>
      <c r="C45" s="307"/>
      <c r="D45" s="335"/>
      <c r="E45" s="307"/>
      <c r="F45" s="335"/>
      <c r="G45" s="425"/>
      <c r="H45" s="425"/>
      <c r="I45" s="307"/>
      <c r="J45" s="307"/>
      <c r="K45" s="307"/>
      <c r="L45" s="307"/>
      <c r="M45" s="340"/>
      <c r="N45" s="485"/>
      <c r="O45" s="486" t="str">
        <f>IF(G31&gt;1300,L38,"")</f>
        <v/>
      </c>
      <c r="P45" s="486" t="str">
        <f>IF(J31&gt;130,L38,"")</f>
        <v/>
      </c>
      <c r="Q45" s="483"/>
      <c r="R45" s="277"/>
      <c r="S45" s="277"/>
      <c r="T45" s="277"/>
    </row>
    <row r="46" spans="1:20" s="184" customFormat="1" ht="11.25" customHeight="1" x14ac:dyDescent="0.2">
      <c r="A46" s="269"/>
      <c r="B46" s="307"/>
      <c r="C46" s="343"/>
      <c r="D46" s="343"/>
      <c r="E46" s="335"/>
      <c r="F46" s="487"/>
      <c r="G46" s="343"/>
      <c r="H46" s="343"/>
      <c r="I46" s="307"/>
      <c r="J46" s="307"/>
      <c r="K46" s="307"/>
      <c r="L46" s="307"/>
      <c r="M46" s="340"/>
      <c r="P46" s="483"/>
      <c r="Q46" s="488"/>
      <c r="R46" s="277"/>
      <c r="S46" s="277"/>
      <c r="T46" s="277"/>
    </row>
    <row r="47" spans="1:20" s="184" customFormat="1" ht="11.25" customHeight="1" x14ac:dyDescent="0.2">
      <c r="A47" s="269"/>
      <c r="B47" s="240"/>
      <c r="C47" s="248" t="s">
        <v>360</v>
      </c>
      <c r="D47" s="248"/>
      <c r="E47" s="248"/>
      <c r="F47" s="239"/>
      <c r="G47" s="239"/>
      <c r="H47" s="239"/>
      <c r="I47" s="239"/>
      <c r="J47" s="239"/>
      <c r="K47" s="239"/>
      <c r="L47" s="240"/>
      <c r="M47" s="243"/>
      <c r="N47" s="185"/>
    </row>
    <row r="48" spans="1:20" s="184" customFormat="1" ht="11.25" customHeight="1" x14ac:dyDescent="0.2">
      <c r="A48" s="269"/>
      <c r="B48" s="239"/>
      <c r="C48" s="239"/>
      <c r="D48" s="239"/>
      <c r="E48" s="239"/>
      <c r="F48" s="239"/>
      <c r="G48" s="239"/>
      <c r="H48" s="239"/>
      <c r="I48" s="239"/>
      <c r="J48" s="240"/>
      <c r="K48" s="239" t="s">
        <v>361</v>
      </c>
      <c r="L48" s="239"/>
      <c r="M48" s="340"/>
    </row>
    <row r="49" spans="1:20" s="184" customFormat="1" ht="11.25" customHeight="1" x14ac:dyDescent="0.2">
      <c r="A49" s="269"/>
      <c r="B49" s="239" t="s">
        <v>362</v>
      </c>
      <c r="C49" s="239"/>
      <c r="D49" s="239"/>
      <c r="E49" s="239"/>
      <c r="F49" s="239"/>
      <c r="G49" s="239"/>
      <c r="H49" s="240"/>
      <c r="I49" s="242">
        <f>'TRAFFIC &amp; ACCIDENTS'!L11</f>
        <v>2</v>
      </c>
      <c r="J49" s="240"/>
      <c r="K49" s="239" t="s">
        <v>363</v>
      </c>
      <c r="L49" s="239"/>
      <c r="M49" s="340"/>
    </row>
    <row r="50" spans="1:20" s="184" customFormat="1" ht="11.25" customHeight="1" x14ac:dyDescent="0.2">
      <c r="A50" s="269"/>
      <c r="B50" s="239"/>
      <c r="C50" s="239"/>
      <c r="D50" s="239"/>
      <c r="E50" s="239"/>
      <c r="F50" s="239"/>
      <c r="G50" s="239"/>
      <c r="H50" s="240"/>
      <c r="I50" s="239"/>
      <c r="J50" s="240"/>
      <c r="K50" s="243"/>
      <c r="L50" s="240"/>
      <c r="M50" s="340"/>
    </row>
    <row r="51" spans="1:20" s="184" customFormat="1" ht="11.25" customHeight="1" x14ac:dyDescent="0.2">
      <c r="A51" s="269"/>
      <c r="B51" s="239" t="s">
        <v>364</v>
      </c>
      <c r="C51" s="239"/>
      <c r="D51" s="239"/>
      <c r="E51" s="239"/>
      <c r="F51" s="239"/>
      <c r="G51" s="239"/>
      <c r="H51" s="240"/>
      <c r="I51" s="242">
        <f>'TRAFFIC &amp; ACCIDENTS'!L12</f>
        <v>1</v>
      </c>
      <c r="J51" s="240"/>
      <c r="K51" s="243"/>
      <c r="L51" s="240"/>
      <c r="M51" s="340"/>
    </row>
    <row r="52" spans="1:20" s="184" customFormat="1" ht="11.25" customHeight="1" x14ac:dyDescent="0.2">
      <c r="A52" s="269"/>
      <c r="B52" s="239"/>
      <c r="C52" s="239"/>
      <c r="D52" s="239"/>
      <c r="E52" s="239"/>
      <c r="F52" s="239"/>
      <c r="G52" s="239"/>
      <c r="H52" s="239"/>
      <c r="I52" s="239"/>
      <c r="J52" s="240"/>
      <c r="K52" s="241"/>
      <c r="L52" s="240"/>
      <c r="M52" s="340"/>
    </row>
    <row r="53" spans="1:20" s="184" customFormat="1" ht="11.25" customHeight="1" x14ac:dyDescent="0.2">
      <c r="A53" s="269"/>
      <c r="B53" s="239" t="s">
        <v>365</v>
      </c>
      <c r="C53" s="239"/>
      <c r="D53" s="239"/>
      <c r="E53" s="240"/>
      <c r="F53" s="249" t="s">
        <v>366</v>
      </c>
      <c r="G53" s="250"/>
      <c r="H53" s="251"/>
      <c r="I53" s="249">
        <f>I49+(I51*3)</f>
        <v>5</v>
      </c>
      <c r="J53" s="251"/>
      <c r="K53" s="249" t="s">
        <v>367</v>
      </c>
      <c r="L53" s="240"/>
      <c r="M53" s="340"/>
    </row>
    <row r="54" spans="1:20" s="184" customFormat="1" ht="11.25" customHeight="1" x14ac:dyDescent="0.2">
      <c r="A54" s="269"/>
      <c r="B54" s="239"/>
      <c r="C54" s="239"/>
      <c r="D54" s="239"/>
      <c r="E54" s="586" t="s">
        <v>368</v>
      </c>
      <c r="F54" s="586"/>
      <c r="G54" s="586"/>
      <c r="H54" s="251"/>
      <c r="I54" s="252">
        <f>'TRAFFIC &amp; ACCIDENTS'!E11</f>
        <v>0</v>
      </c>
      <c r="J54" s="251"/>
      <c r="K54" s="240" t="s">
        <v>369</v>
      </c>
      <c r="L54" s="240"/>
      <c r="M54" s="340"/>
    </row>
    <row r="55" spans="1:20" s="184" customFormat="1" ht="11.25" customHeight="1" x14ac:dyDescent="0.2">
      <c r="A55" s="269"/>
      <c r="B55" s="239"/>
      <c r="C55" s="239"/>
      <c r="D55" s="239"/>
      <c r="E55" s="239"/>
      <c r="F55" s="239"/>
      <c r="G55" s="239"/>
      <c r="H55" s="239"/>
      <c r="I55" s="253" t="e">
        <f>I53/I54</f>
        <v>#DIV/0!</v>
      </c>
      <c r="J55" s="240"/>
      <c r="K55" s="243"/>
      <c r="L55" s="240"/>
      <c r="M55" s="340"/>
    </row>
    <row r="56" spans="1:20" s="184" customFormat="1" ht="11.25" customHeight="1" x14ac:dyDescent="0.2">
      <c r="A56" s="269"/>
      <c r="B56" s="239"/>
      <c r="C56" s="239"/>
      <c r="D56" s="239"/>
      <c r="E56" s="239"/>
      <c r="F56" s="239"/>
      <c r="G56" s="239"/>
      <c r="H56" s="239"/>
      <c r="I56" s="239"/>
      <c r="J56" s="240"/>
      <c r="K56" s="243"/>
      <c r="L56" s="240"/>
      <c r="M56" s="340"/>
    </row>
    <row r="57" spans="1:20" s="184" customFormat="1" ht="11.25" customHeight="1" x14ac:dyDescent="0.2">
      <c r="A57" s="269"/>
      <c r="B57" s="239" t="s">
        <v>370</v>
      </c>
      <c r="C57" s="239"/>
      <c r="D57" s="239"/>
      <c r="E57" s="242">
        <v>0</v>
      </c>
      <c r="F57" s="297">
        <v>1</v>
      </c>
      <c r="G57" s="254">
        <v>2</v>
      </c>
      <c r="H57" s="254">
        <v>3</v>
      </c>
      <c r="I57" s="254">
        <v>4</v>
      </c>
      <c r="J57" s="255">
        <v>5</v>
      </c>
      <c r="K57" s="256">
        <f>IF(I54=0,0,I53/I54)</f>
        <v>0</v>
      </c>
      <c r="L57" s="240"/>
      <c r="M57" s="340"/>
    </row>
    <row r="58" spans="1:20" s="184" customFormat="1" ht="11.25" customHeight="1" x14ac:dyDescent="0.2">
      <c r="A58" s="269"/>
      <c r="B58" s="239" t="s">
        <v>22</v>
      </c>
      <c r="C58" s="239"/>
      <c r="D58" s="240"/>
      <c r="E58" s="257">
        <v>0</v>
      </c>
      <c r="F58" s="258">
        <v>2</v>
      </c>
      <c r="G58" s="259">
        <v>4</v>
      </c>
      <c r="H58" s="259">
        <v>6</v>
      </c>
      <c r="I58" s="259">
        <v>8</v>
      </c>
      <c r="J58" s="242">
        <v>10</v>
      </c>
      <c r="K58" s="260" t="s">
        <v>371</v>
      </c>
      <c r="L58" s="240"/>
      <c r="M58" s="340"/>
    </row>
    <row r="59" spans="1:20" s="184" customFormat="1" ht="11.25" customHeight="1" x14ac:dyDescent="0.2">
      <c r="A59" s="269"/>
      <c r="B59" s="239"/>
      <c r="C59" s="240"/>
      <c r="D59" s="239"/>
      <c r="E59" s="239"/>
      <c r="F59" s="239"/>
      <c r="G59" s="239"/>
      <c r="H59" s="239"/>
      <c r="I59" s="239"/>
      <c r="J59" s="261" t="s">
        <v>38</v>
      </c>
      <c r="K59" s="262">
        <f>IF(K57*2&gt;10,10,K57*2)</f>
        <v>0</v>
      </c>
      <c r="L59" s="239"/>
      <c r="M59" s="340"/>
    </row>
    <row r="60" spans="1:20" s="184" customFormat="1" ht="11.25" customHeight="1" x14ac:dyDescent="0.2">
      <c r="A60" s="269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S60" s="277"/>
      <c r="T60" s="277"/>
    </row>
  </sheetData>
  <sheetProtection password="EC65" sheet="1" selectLockedCells="1"/>
  <mergeCells count="2">
    <mergeCell ref="E54:G54"/>
    <mergeCell ref="K8:M9"/>
  </mergeCells>
  <conditionalFormatting sqref="I55">
    <cfRule type="expression" dxfId="5" priority="1" stopIfTrue="1">
      <formula>ISERROR(#REF!)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showGridLines="0" workbookViewId="0">
      <selection activeCell="F4" sqref="F4"/>
    </sheetView>
  </sheetViews>
  <sheetFormatPr defaultRowHeight="12.75" x14ac:dyDescent="0.2"/>
  <cols>
    <col min="1" max="1" width="4.28515625" style="147" customWidth="1"/>
    <col min="2" max="17" width="7.7109375" style="147" customWidth="1"/>
    <col min="18" max="16384" width="9.140625" style="147"/>
  </cols>
  <sheetData>
    <row r="2" spans="1:15" ht="13.5" thickBot="1" x14ac:dyDescent="0.25"/>
    <row r="3" spans="1:15" x14ac:dyDescent="0.2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</row>
    <row r="4" spans="1:15" x14ac:dyDescent="0.2">
      <c r="B4" s="145" t="s">
        <v>178</v>
      </c>
      <c r="C4" s="69"/>
      <c r="D4" s="69"/>
      <c r="E4" s="153"/>
      <c r="F4" s="218"/>
      <c r="G4" s="228" t="s">
        <v>450</v>
      </c>
      <c r="H4" s="40"/>
      <c r="I4" s="40"/>
      <c r="J4" s="40"/>
      <c r="K4" s="40"/>
      <c r="L4" s="76"/>
      <c r="M4" s="2"/>
      <c r="N4" s="264"/>
      <c r="O4" s="146"/>
    </row>
    <row r="5" spans="1:15" x14ac:dyDescent="0.2">
      <c r="B5" s="106"/>
      <c r="C5" s="40"/>
      <c r="D5" s="2"/>
      <c r="E5" s="2"/>
      <c r="F5" s="4"/>
      <c r="G5" s="40"/>
      <c r="H5" s="40"/>
      <c r="I5" s="40"/>
      <c r="J5" s="40"/>
      <c r="K5" s="40"/>
      <c r="L5" s="76"/>
      <c r="M5" s="2"/>
      <c r="N5" s="264"/>
      <c r="O5" s="65"/>
    </row>
    <row r="6" spans="1:15" x14ac:dyDescent="0.2">
      <c r="B6" s="145" t="s">
        <v>421</v>
      </c>
      <c r="C6" s="3"/>
      <c r="D6" s="3"/>
      <c r="E6" s="40"/>
      <c r="F6" s="218"/>
      <c r="G6" s="229" t="s">
        <v>451</v>
      </c>
      <c r="H6" s="9"/>
      <c r="I6" s="1"/>
      <c r="J6" s="166"/>
      <c r="K6" s="166"/>
      <c r="L6" s="3"/>
      <c r="M6" s="166"/>
      <c r="N6" s="9"/>
      <c r="O6" s="65"/>
    </row>
    <row r="7" spans="1:15" ht="13.5" thickBot="1" x14ac:dyDescent="0.25">
      <c r="B7" s="154"/>
      <c r="C7" s="155"/>
      <c r="D7" s="155"/>
      <c r="E7" s="156"/>
      <c r="F7" s="265"/>
      <c r="G7" s="157"/>
      <c r="H7" s="158"/>
      <c r="I7" s="158"/>
      <c r="J7" s="266"/>
      <c r="K7" s="266"/>
      <c r="L7" s="156"/>
      <c r="M7" s="267"/>
      <c r="N7" s="158"/>
      <c r="O7" s="159"/>
    </row>
    <row r="8" spans="1:15" x14ac:dyDescent="0.2">
      <c r="A8" s="268"/>
      <c r="B8" s="185"/>
      <c r="C8" s="185"/>
      <c r="D8" s="185"/>
      <c r="E8" s="185"/>
      <c r="F8" s="185"/>
      <c r="G8" s="185"/>
      <c r="H8" s="185"/>
      <c r="I8" s="185"/>
      <c r="J8" s="185"/>
      <c r="K8" s="237"/>
      <c r="L8" s="185"/>
    </row>
    <row r="9" spans="1:15" x14ac:dyDescent="0.2">
      <c r="A9" s="26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</row>
    <row r="10" spans="1:15" x14ac:dyDescent="0.2">
      <c r="A10" s="26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185"/>
    </row>
    <row r="11" spans="1:15" x14ac:dyDescent="0.2">
      <c r="A11" s="268"/>
      <c r="B11" s="102"/>
      <c r="C11" s="102"/>
      <c r="D11" s="102"/>
      <c r="E11" s="102"/>
      <c r="F11" s="102"/>
      <c r="G11" s="102"/>
      <c r="H11" s="102"/>
      <c r="I11" s="102"/>
      <c r="J11" s="109"/>
      <c r="K11" s="102"/>
      <c r="L11" s="103"/>
      <c r="M11" s="270"/>
      <c r="N11" s="270"/>
      <c r="O11" s="270"/>
    </row>
    <row r="12" spans="1:15" x14ac:dyDescent="0.2">
      <c r="A12" s="269"/>
      <c r="B12" s="271" t="s">
        <v>320</v>
      </c>
      <c r="C12" s="271"/>
      <c r="D12" s="271"/>
      <c r="E12" s="271"/>
      <c r="F12" s="102" t="s">
        <v>321</v>
      </c>
      <c r="G12" s="102"/>
      <c r="H12" s="102"/>
      <c r="I12" s="102"/>
      <c r="J12" s="102"/>
      <c r="K12" s="263"/>
      <c r="L12" s="103"/>
      <c r="M12" s="270"/>
      <c r="N12" s="270"/>
      <c r="O12" s="270"/>
    </row>
    <row r="13" spans="1:15" x14ac:dyDescent="0.2">
      <c r="A13" s="268"/>
      <c r="B13" s="102"/>
      <c r="C13" s="102"/>
      <c r="D13" s="102"/>
      <c r="E13" s="102"/>
      <c r="F13" s="102"/>
      <c r="G13" s="102"/>
      <c r="H13" s="102"/>
      <c r="I13" s="102"/>
      <c r="J13" s="102"/>
      <c r="K13" s="263"/>
      <c r="L13" s="103"/>
      <c r="M13" s="270"/>
      <c r="N13" s="270"/>
      <c r="O13" s="270"/>
    </row>
    <row r="14" spans="1:15" x14ac:dyDescent="0.2">
      <c r="A14" s="268"/>
      <c r="B14" s="272" t="s">
        <v>115</v>
      </c>
      <c r="C14" s="102" t="s">
        <v>322</v>
      </c>
      <c r="D14" s="102"/>
      <c r="E14" s="273" t="s">
        <v>323</v>
      </c>
      <c r="F14" s="273"/>
      <c r="G14" s="273"/>
      <c r="H14" s="273"/>
      <c r="I14" s="273"/>
      <c r="J14" s="273"/>
      <c r="K14" s="263"/>
      <c r="L14" s="566"/>
      <c r="M14" s="270"/>
      <c r="N14" s="270"/>
      <c r="O14" s="270"/>
    </row>
    <row r="15" spans="1:15" x14ac:dyDescent="0.2">
      <c r="A15" s="268"/>
      <c r="B15" s="102"/>
      <c r="C15" s="589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1"/>
      <c r="O15" s="270"/>
    </row>
    <row r="16" spans="1:15" x14ac:dyDescent="0.2">
      <c r="A16" s="268"/>
      <c r="B16" s="102"/>
      <c r="C16" s="592"/>
      <c r="D16" s="593"/>
      <c r="E16" s="593"/>
      <c r="F16" s="593"/>
      <c r="G16" s="593"/>
      <c r="H16" s="593"/>
      <c r="I16" s="593"/>
      <c r="J16" s="593"/>
      <c r="K16" s="593"/>
      <c r="L16" s="593"/>
      <c r="M16" s="593"/>
      <c r="N16" s="594"/>
      <c r="O16" s="270"/>
    </row>
    <row r="17" spans="1:15" x14ac:dyDescent="0.2">
      <c r="A17" s="268"/>
      <c r="B17" s="102"/>
      <c r="C17" s="592"/>
      <c r="D17" s="593"/>
      <c r="E17" s="593"/>
      <c r="F17" s="593"/>
      <c r="G17" s="593"/>
      <c r="H17" s="593"/>
      <c r="I17" s="593"/>
      <c r="J17" s="593"/>
      <c r="K17" s="593"/>
      <c r="L17" s="593"/>
      <c r="M17" s="593"/>
      <c r="N17" s="594"/>
      <c r="O17" s="270"/>
    </row>
    <row r="18" spans="1:15" x14ac:dyDescent="0.2">
      <c r="A18" s="268"/>
      <c r="B18" s="102"/>
      <c r="C18" s="592"/>
      <c r="D18" s="593"/>
      <c r="E18" s="593"/>
      <c r="F18" s="593"/>
      <c r="G18" s="593"/>
      <c r="H18" s="593"/>
      <c r="I18" s="593"/>
      <c r="J18" s="593"/>
      <c r="K18" s="593"/>
      <c r="L18" s="593"/>
      <c r="M18" s="593"/>
      <c r="N18" s="594"/>
      <c r="O18" s="270"/>
    </row>
    <row r="19" spans="1:15" x14ac:dyDescent="0.2">
      <c r="A19" s="268"/>
      <c r="B19" s="102"/>
      <c r="C19" s="595"/>
      <c r="D19" s="596"/>
      <c r="E19" s="596"/>
      <c r="F19" s="596"/>
      <c r="G19" s="596"/>
      <c r="H19" s="596"/>
      <c r="I19" s="596"/>
      <c r="J19" s="596"/>
      <c r="K19" s="596"/>
      <c r="L19" s="596"/>
      <c r="M19" s="596"/>
      <c r="N19" s="597"/>
      <c r="O19" s="270"/>
    </row>
    <row r="20" spans="1:15" x14ac:dyDescent="0.2">
      <c r="A20" s="268"/>
      <c r="B20" s="272" t="s">
        <v>324</v>
      </c>
      <c r="C20" s="102" t="s">
        <v>325</v>
      </c>
      <c r="D20" s="102"/>
      <c r="E20" s="102"/>
      <c r="F20" s="102"/>
      <c r="G20" s="102"/>
      <c r="H20" s="102"/>
      <c r="I20" s="102"/>
      <c r="J20" s="102"/>
      <c r="K20" s="263"/>
      <c r="L20" s="103"/>
      <c r="M20" s="270"/>
      <c r="N20" s="270"/>
      <c r="O20" s="270"/>
    </row>
    <row r="21" spans="1:15" x14ac:dyDescent="0.2">
      <c r="A21" s="268"/>
      <c r="B21" s="102"/>
      <c r="C21" s="102"/>
      <c r="D21" s="102"/>
      <c r="E21" s="102"/>
      <c r="F21" s="102"/>
      <c r="G21" s="102"/>
      <c r="H21" s="102"/>
      <c r="I21" s="102"/>
      <c r="J21" s="102"/>
      <c r="K21" s="263"/>
      <c r="L21" s="103"/>
      <c r="M21" s="270"/>
      <c r="N21" s="270"/>
      <c r="O21" s="270"/>
    </row>
    <row r="22" spans="1:15" x14ac:dyDescent="0.2">
      <c r="A22" s="268"/>
      <c r="B22" s="274" t="s">
        <v>88</v>
      </c>
      <c r="C22" s="102"/>
      <c r="D22" s="102" t="s">
        <v>326</v>
      </c>
      <c r="E22" s="102"/>
      <c r="F22" s="102"/>
      <c r="G22" s="102"/>
      <c r="H22" s="102"/>
      <c r="I22" s="102"/>
      <c r="J22" s="102"/>
      <c r="K22" s="263"/>
      <c r="L22" s="103"/>
      <c r="M22" s="270"/>
      <c r="N22" s="270"/>
      <c r="O22" s="270"/>
    </row>
    <row r="23" spans="1:15" x14ac:dyDescent="0.2">
      <c r="A23" s="268"/>
      <c r="B23" s="275"/>
      <c r="C23" s="102"/>
      <c r="D23" s="102"/>
      <c r="E23" s="103"/>
      <c r="F23" s="102"/>
      <c r="G23" s="102"/>
      <c r="H23" s="102"/>
      <c r="I23" s="102"/>
      <c r="J23" s="102"/>
      <c r="K23" s="263"/>
      <c r="L23" s="103"/>
      <c r="M23" s="270"/>
      <c r="N23" s="270"/>
      <c r="O23" s="270"/>
    </row>
    <row r="24" spans="1:15" x14ac:dyDescent="0.2">
      <c r="A24" s="268"/>
      <c r="B24" s="275">
        <v>10</v>
      </c>
      <c r="C24" s="103"/>
      <c r="D24" s="102" t="s">
        <v>327</v>
      </c>
      <c r="E24" s="102"/>
      <c r="F24" s="102"/>
      <c r="G24" s="102"/>
      <c r="H24" s="102"/>
      <c r="I24" s="102"/>
      <c r="J24" s="102"/>
      <c r="K24" s="263"/>
      <c r="L24" s="103"/>
      <c r="M24" s="270"/>
      <c r="N24" s="270"/>
      <c r="O24" s="270"/>
    </row>
    <row r="25" spans="1:15" x14ac:dyDescent="0.2">
      <c r="A25" s="268"/>
      <c r="B25" s="275"/>
      <c r="C25" s="102"/>
      <c r="D25" s="102"/>
      <c r="E25" s="103"/>
      <c r="F25" s="102"/>
      <c r="G25" s="102"/>
      <c r="H25" s="102"/>
      <c r="I25" s="102"/>
      <c r="J25" s="102"/>
      <c r="K25" s="263"/>
      <c r="L25" s="103"/>
      <c r="M25" s="270"/>
      <c r="N25" s="270"/>
      <c r="O25" s="270"/>
    </row>
    <row r="26" spans="1:15" x14ac:dyDescent="0.2">
      <c r="A26" s="268"/>
      <c r="B26" s="275">
        <v>9</v>
      </c>
      <c r="C26" s="103"/>
      <c r="D26" s="102" t="s">
        <v>328</v>
      </c>
      <c r="E26" s="102"/>
      <c r="F26" s="102"/>
      <c r="G26" s="102"/>
      <c r="H26" s="102"/>
      <c r="I26" s="102"/>
      <c r="J26" s="102"/>
      <c r="K26" s="102"/>
      <c r="L26" s="103"/>
      <c r="M26" s="270"/>
      <c r="N26" s="270"/>
      <c r="O26" s="270"/>
    </row>
    <row r="27" spans="1:15" x14ac:dyDescent="0.2">
      <c r="A27" s="268"/>
      <c r="B27" s="275"/>
      <c r="C27" s="102"/>
      <c r="D27" s="102"/>
      <c r="E27" s="103"/>
      <c r="F27" s="102"/>
      <c r="G27" s="102"/>
      <c r="H27" s="102"/>
      <c r="I27" s="102"/>
      <c r="J27" s="102"/>
      <c r="K27" s="263"/>
      <c r="L27" s="103"/>
      <c r="M27" s="270"/>
      <c r="N27" s="270"/>
      <c r="O27" s="270"/>
    </row>
    <row r="28" spans="1:15" x14ac:dyDescent="0.2">
      <c r="A28" s="268"/>
      <c r="B28" s="275">
        <v>8</v>
      </c>
      <c r="C28" s="103"/>
      <c r="D28" s="102" t="s">
        <v>329</v>
      </c>
      <c r="E28" s="102"/>
      <c r="F28" s="102"/>
      <c r="G28" s="102"/>
      <c r="H28" s="102"/>
      <c r="I28" s="102"/>
      <c r="J28" s="102"/>
      <c r="K28" s="263"/>
      <c r="L28" s="103"/>
      <c r="M28" s="270"/>
      <c r="N28" s="270"/>
      <c r="O28" s="270"/>
    </row>
    <row r="29" spans="1:15" x14ac:dyDescent="0.2">
      <c r="A29" s="268"/>
      <c r="B29" s="275"/>
      <c r="C29" s="102"/>
      <c r="D29" s="102"/>
      <c r="E29" s="103"/>
      <c r="F29" s="102"/>
      <c r="G29" s="102"/>
      <c r="H29" s="102"/>
      <c r="I29" s="102"/>
      <c r="J29" s="102"/>
      <c r="K29" s="263"/>
      <c r="L29" s="103"/>
      <c r="M29" s="270"/>
      <c r="N29" s="270"/>
      <c r="O29" s="270"/>
    </row>
    <row r="30" spans="1:15" x14ac:dyDescent="0.2">
      <c r="A30" s="268"/>
      <c r="B30" s="275">
        <v>7</v>
      </c>
      <c r="C30" s="103"/>
      <c r="D30" s="102" t="s">
        <v>330</v>
      </c>
      <c r="E30" s="102"/>
      <c r="F30" s="102"/>
      <c r="G30" s="102"/>
      <c r="H30" s="102"/>
      <c r="I30" s="102"/>
      <c r="J30" s="102"/>
      <c r="K30" s="263"/>
      <c r="L30" s="103"/>
      <c r="M30" s="270"/>
      <c r="N30" s="270"/>
      <c r="O30" s="270"/>
    </row>
    <row r="31" spans="1:15" x14ac:dyDescent="0.2">
      <c r="A31" s="268"/>
      <c r="B31" s="275"/>
      <c r="C31" s="102"/>
      <c r="D31" s="102"/>
      <c r="E31" s="103"/>
      <c r="F31" s="102"/>
      <c r="G31" s="102"/>
      <c r="H31" s="102"/>
      <c r="I31" s="102"/>
      <c r="J31" s="102"/>
      <c r="K31" s="263"/>
      <c r="L31" s="103"/>
      <c r="M31" s="270"/>
      <c r="N31" s="270"/>
      <c r="O31" s="270"/>
    </row>
    <row r="32" spans="1:15" x14ac:dyDescent="0.2">
      <c r="A32" s="268"/>
      <c r="B32" s="275">
        <v>6</v>
      </c>
      <c r="C32" s="103"/>
      <c r="D32" s="102" t="s">
        <v>331</v>
      </c>
      <c r="E32" s="102"/>
      <c r="F32" s="102"/>
      <c r="G32" s="102"/>
      <c r="H32" s="102"/>
      <c r="I32" s="102"/>
      <c r="J32" s="102"/>
      <c r="K32" s="263"/>
      <c r="L32" s="103"/>
      <c r="M32" s="270"/>
      <c r="N32" s="270"/>
      <c r="O32" s="270"/>
    </row>
    <row r="33" spans="1:15" x14ac:dyDescent="0.2">
      <c r="A33" s="268"/>
      <c r="B33" s="275"/>
      <c r="C33" s="102"/>
      <c r="D33" s="102"/>
      <c r="E33" s="103"/>
      <c r="F33" s="102"/>
      <c r="G33" s="102"/>
      <c r="H33" s="102"/>
      <c r="I33" s="102"/>
      <c r="J33" s="102"/>
      <c r="K33" s="263"/>
      <c r="L33" s="103"/>
      <c r="M33" s="270"/>
      <c r="N33" s="270"/>
      <c r="O33" s="270"/>
    </row>
    <row r="34" spans="1:15" x14ac:dyDescent="0.2">
      <c r="A34" s="268"/>
      <c r="B34" s="275">
        <v>5</v>
      </c>
      <c r="C34" s="103"/>
      <c r="D34" s="102" t="s">
        <v>332</v>
      </c>
      <c r="E34" s="102"/>
      <c r="F34" s="102"/>
      <c r="G34" s="102"/>
      <c r="H34" s="102"/>
      <c r="I34" s="102"/>
      <c r="J34" s="102"/>
      <c r="K34" s="263"/>
      <c r="L34" s="103"/>
      <c r="M34" s="270"/>
      <c r="N34" s="270"/>
      <c r="O34" s="270"/>
    </row>
    <row r="35" spans="1:15" x14ac:dyDescent="0.2">
      <c r="A35" s="268"/>
      <c r="B35" s="275"/>
      <c r="C35" s="102"/>
      <c r="D35" s="102"/>
      <c r="E35" s="103"/>
      <c r="F35" s="102"/>
      <c r="G35" s="102"/>
      <c r="H35" s="102"/>
      <c r="I35" s="102"/>
      <c r="J35" s="102"/>
      <c r="K35" s="263"/>
      <c r="L35" s="103"/>
      <c r="M35" s="270"/>
      <c r="N35" s="270"/>
      <c r="O35" s="270"/>
    </row>
    <row r="36" spans="1:15" x14ac:dyDescent="0.2">
      <c r="A36" s="268"/>
      <c r="B36" s="275">
        <v>4</v>
      </c>
      <c r="C36" s="103"/>
      <c r="D36" s="102" t="s">
        <v>333</v>
      </c>
      <c r="E36" s="102"/>
      <c r="F36" s="102"/>
      <c r="G36" s="102"/>
      <c r="H36" s="102"/>
      <c r="I36" s="102"/>
      <c r="J36" s="102"/>
      <c r="K36" s="102"/>
      <c r="L36" s="102"/>
      <c r="M36" s="270"/>
      <c r="N36" s="270"/>
      <c r="O36" s="270"/>
    </row>
    <row r="37" spans="1:15" x14ac:dyDescent="0.2">
      <c r="A37" s="268"/>
      <c r="B37" s="275"/>
      <c r="C37" s="102"/>
      <c r="D37" s="102"/>
      <c r="E37" s="102" t="s">
        <v>334</v>
      </c>
      <c r="F37" s="102"/>
      <c r="G37" s="102"/>
      <c r="H37" s="102"/>
      <c r="I37" s="102"/>
      <c r="J37" s="102"/>
      <c r="K37" s="102"/>
      <c r="L37" s="102"/>
      <c r="M37" s="270"/>
      <c r="N37" s="270"/>
      <c r="O37" s="270"/>
    </row>
    <row r="38" spans="1:15" x14ac:dyDescent="0.2">
      <c r="A38" s="268"/>
      <c r="B38" s="275">
        <v>3</v>
      </c>
      <c r="C38" s="103"/>
      <c r="D38" s="102" t="s">
        <v>335</v>
      </c>
      <c r="E38" s="102"/>
      <c r="F38" s="102"/>
      <c r="G38" s="102"/>
      <c r="H38" s="102"/>
      <c r="I38" s="102"/>
      <c r="J38" s="102"/>
      <c r="K38" s="263"/>
      <c r="L38" s="103"/>
      <c r="M38" s="270"/>
      <c r="N38" s="270"/>
      <c r="O38" s="270"/>
    </row>
    <row r="39" spans="1:15" x14ac:dyDescent="0.2">
      <c r="A39" s="268"/>
      <c r="B39" s="275"/>
      <c r="C39" s="102"/>
      <c r="D39" s="102"/>
      <c r="E39" s="103"/>
      <c r="F39" s="102"/>
      <c r="G39" s="102"/>
      <c r="H39" s="102"/>
      <c r="I39" s="102"/>
      <c r="J39" s="102"/>
      <c r="K39" s="263"/>
      <c r="L39" s="103"/>
      <c r="M39" s="270"/>
      <c r="N39" s="270"/>
      <c r="O39" s="270"/>
    </row>
    <row r="40" spans="1:15" x14ac:dyDescent="0.2">
      <c r="A40" s="268"/>
      <c r="B40" s="275">
        <v>2</v>
      </c>
      <c r="C40" s="103"/>
      <c r="D40" s="102" t="s">
        <v>336</v>
      </c>
      <c r="E40" s="102"/>
      <c r="F40" s="102"/>
      <c r="G40" s="102"/>
      <c r="H40" s="102"/>
      <c r="I40" s="102"/>
      <c r="J40" s="102"/>
      <c r="K40" s="263"/>
      <c r="L40" s="103"/>
      <c r="M40" s="270"/>
      <c r="N40" s="270"/>
      <c r="O40" s="270"/>
    </row>
    <row r="41" spans="1:15" x14ac:dyDescent="0.2">
      <c r="A41" s="268"/>
      <c r="B41" s="275"/>
      <c r="C41" s="102"/>
      <c r="D41" s="102"/>
      <c r="E41" s="103"/>
      <c r="F41" s="102"/>
      <c r="G41" s="102"/>
      <c r="H41" s="102"/>
      <c r="I41" s="102"/>
      <c r="J41" s="102"/>
      <c r="K41" s="263"/>
      <c r="L41" s="103"/>
      <c r="M41" s="270"/>
      <c r="N41" s="270"/>
      <c r="O41" s="270"/>
    </row>
    <row r="42" spans="1:15" x14ac:dyDescent="0.2">
      <c r="A42" s="268"/>
      <c r="B42" s="275">
        <v>1</v>
      </c>
      <c r="C42" s="103"/>
      <c r="D42" s="102" t="s">
        <v>337</v>
      </c>
      <c r="E42" s="102"/>
      <c r="F42" s="102"/>
      <c r="G42" s="102"/>
      <c r="H42" s="102"/>
      <c r="I42" s="102"/>
      <c r="J42" s="102"/>
      <c r="K42" s="263"/>
      <c r="L42" s="103"/>
      <c r="M42" s="270"/>
      <c r="N42" s="270"/>
      <c r="O42" s="270"/>
    </row>
    <row r="43" spans="1:15" x14ac:dyDescent="0.2">
      <c r="A43" s="268"/>
      <c r="B43" s="102"/>
      <c r="C43" s="102"/>
      <c r="D43" s="102"/>
      <c r="E43" s="103"/>
      <c r="F43" s="102"/>
      <c r="G43" s="102"/>
      <c r="H43" s="102"/>
      <c r="I43" s="102"/>
      <c r="J43" s="102"/>
      <c r="K43" s="263"/>
      <c r="L43" s="103"/>
      <c r="M43" s="270"/>
      <c r="N43" s="270"/>
      <c r="O43" s="270"/>
    </row>
    <row r="44" spans="1:15" x14ac:dyDescent="0.2">
      <c r="A44" s="268"/>
      <c r="B44" s="102"/>
      <c r="C44" s="102"/>
      <c r="D44" s="102"/>
      <c r="E44" s="103"/>
      <c r="F44" s="102"/>
      <c r="G44" s="102"/>
      <c r="H44" s="102"/>
      <c r="I44" s="102"/>
      <c r="J44" s="102"/>
      <c r="K44" s="263"/>
      <c r="L44" s="103"/>
      <c r="M44" s="270"/>
      <c r="N44" s="270"/>
      <c r="O44" s="270"/>
    </row>
    <row r="45" spans="1:15" x14ac:dyDescent="0.2">
      <c r="A45" s="268"/>
      <c r="B45" s="272" t="s">
        <v>338</v>
      </c>
      <c r="C45" s="102" t="s">
        <v>339</v>
      </c>
      <c r="D45" s="102"/>
      <c r="E45" s="102"/>
      <c r="F45" s="102"/>
      <c r="G45" s="102"/>
      <c r="H45" s="102"/>
      <c r="I45" s="102"/>
      <c r="J45" s="102"/>
      <c r="K45" s="263"/>
      <c r="L45" s="103"/>
      <c r="M45" s="270"/>
      <c r="N45" s="270"/>
      <c r="O45" s="270"/>
    </row>
    <row r="46" spans="1:15" x14ac:dyDescent="0.2">
      <c r="A46" s="268"/>
      <c r="B46" s="102"/>
      <c r="C46" s="102"/>
      <c r="D46" s="102"/>
      <c r="E46" s="103"/>
      <c r="F46" s="102"/>
      <c r="G46" s="102"/>
      <c r="H46" s="102"/>
      <c r="I46" s="102"/>
      <c r="J46" s="102"/>
      <c r="K46" s="263"/>
      <c r="L46" s="103"/>
      <c r="M46" s="270"/>
      <c r="N46" s="270"/>
      <c r="O46" s="270"/>
    </row>
    <row r="47" spans="1:15" x14ac:dyDescent="0.2">
      <c r="A47" s="268"/>
      <c r="B47" s="102"/>
      <c r="C47" s="102"/>
      <c r="D47" s="102" t="s">
        <v>340</v>
      </c>
      <c r="E47" s="102"/>
      <c r="F47" s="102"/>
      <c r="G47" s="102"/>
      <c r="H47" s="102"/>
      <c r="I47" s="102"/>
      <c r="J47" s="102"/>
      <c r="K47" s="263"/>
      <c r="L47" s="103"/>
      <c r="M47" s="270"/>
      <c r="N47" s="270"/>
      <c r="O47" s="270"/>
    </row>
    <row r="48" spans="1:15" x14ac:dyDescent="0.2">
      <c r="A48" s="268"/>
      <c r="B48" s="102"/>
      <c r="C48" s="102"/>
      <c r="D48" s="102" t="s">
        <v>341</v>
      </c>
      <c r="E48" s="102"/>
      <c r="F48" s="102"/>
      <c r="G48" s="102"/>
      <c r="H48" s="102"/>
      <c r="I48" s="102"/>
      <c r="J48" s="102"/>
      <c r="K48" s="102"/>
      <c r="L48" s="103"/>
      <c r="M48" s="270"/>
      <c r="N48" s="270"/>
      <c r="O48" s="270"/>
    </row>
    <row r="49" spans="1:15" x14ac:dyDescent="0.2">
      <c r="A49" s="148"/>
      <c r="B49" s="102"/>
      <c r="C49" s="102"/>
      <c r="D49" s="102" t="s">
        <v>342</v>
      </c>
      <c r="E49" s="102"/>
      <c r="F49" s="102"/>
      <c r="G49" s="102"/>
      <c r="H49" s="102"/>
      <c r="I49" s="102"/>
      <c r="J49" s="102"/>
      <c r="K49" s="263"/>
      <c r="L49" s="103"/>
      <c r="M49" s="270"/>
      <c r="N49" s="270"/>
      <c r="O49" s="270"/>
    </row>
    <row r="50" spans="1:15" x14ac:dyDescent="0.2">
      <c r="A50" s="148"/>
      <c r="B50" s="102"/>
      <c r="C50" s="102"/>
      <c r="D50" s="566"/>
      <c r="E50" s="102"/>
      <c r="F50" s="102"/>
      <c r="G50" s="102"/>
      <c r="H50" s="102"/>
      <c r="I50" s="102"/>
      <c r="J50" s="102"/>
      <c r="K50" s="102"/>
      <c r="L50" s="103"/>
      <c r="M50" s="270"/>
      <c r="N50" s="270"/>
      <c r="O50" s="270"/>
    </row>
    <row r="51" spans="1:15" x14ac:dyDescent="0.2">
      <c r="A51" s="148"/>
      <c r="B51" s="102"/>
      <c r="C51" s="102"/>
      <c r="D51" s="102"/>
      <c r="E51" s="102"/>
      <c r="F51" s="285"/>
      <c r="G51" s="285"/>
      <c r="H51" s="285"/>
      <c r="I51" s="285"/>
      <c r="J51" s="110"/>
      <c r="K51" s="286"/>
      <c r="L51" s="110"/>
      <c r="M51" s="270"/>
      <c r="N51" s="270"/>
      <c r="O51" s="270"/>
    </row>
    <row r="52" spans="1:15" x14ac:dyDescent="0.2">
      <c r="A52" s="148"/>
      <c r="B52" s="102"/>
      <c r="C52" s="102"/>
      <c r="D52" s="102"/>
      <c r="E52" s="102"/>
      <c r="F52" s="102"/>
      <c r="G52" s="102"/>
      <c r="H52" s="102"/>
      <c r="I52" s="102"/>
      <c r="J52" s="102"/>
      <c r="K52" s="263"/>
      <c r="L52" s="103"/>
      <c r="M52" s="270"/>
      <c r="N52" s="270"/>
      <c r="O52" s="270"/>
    </row>
  </sheetData>
  <sheetProtection algorithmName="SHA-512" hashValue="GKFNc+OguUlAgR+fIOPS/006ymlrEsetYO8jNE8iU7d7GzOvEgu/INWBJnSQsEeEsusI/H9pd4HZE87R+kWAIQ==" saltValue="3/7jzxL5niblDB5Tq1flMQ==" spinCount="100000" sheet="1" selectLockedCells="1"/>
  <mergeCells count="1">
    <mergeCell ref="C15:N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8"/>
  <sheetViews>
    <sheetView showGridLines="0" topLeftCell="A5" workbookViewId="0">
      <selection activeCell="I5" sqref="I5:J5"/>
    </sheetView>
  </sheetViews>
  <sheetFormatPr defaultRowHeight="12.75" x14ac:dyDescent="0.2"/>
  <cols>
    <col min="1" max="1" width="3.85546875" style="147" customWidth="1"/>
    <col min="2" max="2" width="10.28515625" style="3" customWidth="1"/>
    <col min="3" max="3" width="6.42578125" style="3" customWidth="1"/>
    <col min="4" max="12" width="7.7109375" style="3" customWidth="1"/>
    <col min="13" max="16" width="7.7109375" style="147" customWidth="1"/>
    <col min="17" max="16384" width="9.140625" style="147"/>
  </cols>
  <sheetData>
    <row r="1" spans="2:14" x14ac:dyDescent="0.2"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14" x14ac:dyDescent="0.2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4" ht="13.5" thickBot="1" x14ac:dyDescent="0.25">
      <c r="B3" s="230"/>
      <c r="C3" s="230"/>
      <c r="D3" s="231"/>
      <c r="E3" s="233"/>
      <c r="F3" s="232"/>
      <c r="G3" s="233"/>
      <c r="H3" s="489"/>
      <c r="I3" s="231"/>
      <c r="J3" s="490"/>
      <c r="K3" s="233"/>
      <c r="L3" s="231"/>
    </row>
    <row r="4" spans="2:14" x14ac:dyDescent="0.2">
      <c r="B4" s="127"/>
      <c r="C4" s="70"/>
      <c r="D4" s="128"/>
      <c r="E4" s="129"/>
      <c r="F4" s="130"/>
      <c r="G4" s="130"/>
      <c r="H4" s="70"/>
      <c r="I4" s="70"/>
      <c r="J4" s="70"/>
      <c r="K4" s="70"/>
      <c r="L4" s="84"/>
    </row>
    <row r="5" spans="2:14" x14ac:dyDescent="0.2">
      <c r="B5" s="131" t="s">
        <v>354</v>
      </c>
      <c r="C5" s="69"/>
      <c r="D5" s="69"/>
      <c r="E5" s="40"/>
      <c r="F5" s="40"/>
      <c r="G5" s="40"/>
      <c r="H5" s="77" t="s">
        <v>270</v>
      </c>
      <c r="I5" s="598"/>
      <c r="J5" s="599"/>
      <c r="K5" s="40"/>
      <c r="L5" s="65"/>
    </row>
    <row r="6" spans="2:14" x14ac:dyDescent="0.2">
      <c r="B6" s="132"/>
      <c r="C6" s="40"/>
      <c r="D6" s="40"/>
      <c r="E6" s="4"/>
      <c r="F6" s="40"/>
      <c r="G6" s="40"/>
      <c r="H6" s="2"/>
      <c r="I6" s="10" t="s">
        <v>184</v>
      </c>
      <c r="J6" s="2" t="s">
        <v>185</v>
      </c>
      <c r="K6" s="40"/>
      <c r="L6" s="65"/>
    </row>
    <row r="7" spans="2:14" x14ac:dyDescent="0.2">
      <c r="B7" s="133" t="s">
        <v>271</v>
      </c>
      <c r="C7" s="491" t="s">
        <v>273</v>
      </c>
      <c r="D7" s="9" t="s">
        <v>168</v>
      </c>
      <c r="E7" s="9" t="s">
        <v>169</v>
      </c>
      <c r="F7" s="44" t="s">
        <v>188</v>
      </c>
      <c r="G7" s="44"/>
      <c r="H7" s="2"/>
      <c r="I7" s="10" t="s">
        <v>186</v>
      </c>
      <c r="J7" s="2" t="s">
        <v>187</v>
      </c>
      <c r="K7" s="40"/>
      <c r="L7" s="65"/>
    </row>
    <row r="8" spans="2:14" x14ac:dyDescent="0.2">
      <c r="B8" s="85"/>
      <c r="C8" s="137" t="s">
        <v>138</v>
      </c>
      <c r="D8" s="218"/>
      <c r="E8" s="87"/>
      <c r="F8" s="218"/>
      <c r="G8" s="4"/>
      <c r="H8" s="40"/>
      <c r="I8" s="40"/>
      <c r="J8" s="40"/>
      <c r="K8" s="40"/>
      <c r="L8" s="65"/>
    </row>
    <row r="9" spans="2:14" x14ac:dyDescent="0.2">
      <c r="B9" s="85"/>
      <c r="C9" s="137"/>
      <c r="D9" s="4"/>
      <c r="E9" s="139"/>
      <c r="F9" s="4"/>
      <c r="G9" s="4"/>
      <c r="H9" s="40"/>
      <c r="I9" s="40"/>
      <c r="J9" s="40"/>
      <c r="K9" s="40"/>
      <c r="L9" s="65"/>
    </row>
    <row r="10" spans="2:14" x14ac:dyDescent="0.2">
      <c r="B10" s="85"/>
      <c r="C10" s="137"/>
      <c r="D10" s="4"/>
      <c r="E10" s="139"/>
      <c r="F10" s="4"/>
      <c r="G10" s="4"/>
      <c r="H10" s="40"/>
      <c r="I10" s="40"/>
      <c r="J10" s="40"/>
      <c r="K10" s="40"/>
      <c r="L10" s="65"/>
    </row>
    <row r="11" spans="2:14" x14ac:dyDescent="0.2">
      <c r="B11" s="85"/>
      <c r="C11" s="137"/>
      <c r="D11" s="492"/>
      <c r="E11" s="140" t="s">
        <v>408</v>
      </c>
      <c r="F11" s="493"/>
      <c r="G11" s="493"/>
      <c r="H11" s="141"/>
      <c r="I11" s="141"/>
      <c r="J11" s="18"/>
      <c r="K11" s="40"/>
      <c r="L11" s="65"/>
    </row>
    <row r="12" spans="2:14" x14ac:dyDescent="0.2">
      <c r="B12" s="85"/>
      <c r="C12" s="40"/>
      <c r="D12" s="4"/>
      <c r="E12" s="88"/>
      <c r="F12" s="4"/>
      <c r="G12" s="4"/>
      <c r="H12" s="40"/>
      <c r="I12" s="40"/>
      <c r="J12" s="40"/>
      <c r="K12" s="40"/>
      <c r="L12" s="65"/>
    </row>
    <row r="13" spans="2:14" x14ac:dyDescent="0.2">
      <c r="B13" s="133" t="s">
        <v>272</v>
      </c>
      <c r="C13" s="97" t="s">
        <v>409</v>
      </c>
      <c r="D13" s="138"/>
      <c r="E13" s="40"/>
      <c r="F13" s="40"/>
      <c r="G13" s="40"/>
      <c r="H13" s="166"/>
      <c r="I13" s="89" t="s">
        <v>156</v>
      </c>
      <c r="J13" s="5"/>
      <c r="K13" s="40"/>
      <c r="L13" s="65"/>
    </row>
    <row r="14" spans="2:14" ht="15.75" x14ac:dyDescent="0.25">
      <c r="B14" s="134"/>
      <c r="C14" s="63" t="s">
        <v>22</v>
      </c>
      <c r="D14" s="79" t="s">
        <v>276</v>
      </c>
      <c r="E14" s="40"/>
      <c r="F14" s="602" t="s">
        <v>306</v>
      </c>
      <c r="G14" s="602"/>
      <c r="H14" s="40"/>
      <c r="I14" s="98"/>
      <c r="J14" s="40"/>
      <c r="K14" s="40"/>
      <c r="L14" s="65"/>
    </row>
    <row r="15" spans="2:14" x14ac:dyDescent="0.2">
      <c r="B15" s="135" t="str">
        <f>IF(D15="","",1)</f>
        <v/>
      </c>
      <c r="C15" s="17" t="str">
        <f>IF(D15&lt;&gt;0,3,"")</f>
        <v/>
      </c>
      <c r="D15" s="244"/>
      <c r="E15" s="26" t="s">
        <v>6</v>
      </c>
      <c r="F15" s="26" t="s">
        <v>218</v>
      </c>
      <c r="G15" s="26"/>
      <c r="H15" s="40"/>
      <c r="I15" s="79" t="s">
        <v>145</v>
      </c>
      <c r="J15" s="284" t="s">
        <v>429</v>
      </c>
      <c r="K15" s="63" t="s">
        <v>22</v>
      </c>
      <c r="L15" s="65"/>
    </row>
    <row r="16" spans="2:14" x14ac:dyDescent="0.2">
      <c r="B16" s="135" t="str">
        <f>IF(D16="","",1)</f>
        <v/>
      </c>
      <c r="C16" s="17" t="str">
        <f>IF(D16&lt;&gt;0,6,"")</f>
        <v/>
      </c>
      <c r="D16" s="507"/>
      <c r="E16" s="62" t="s">
        <v>214</v>
      </c>
      <c r="F16" s="26" t="s">
        <v>219</v>
      </c>
      <c r="G16" s="26"/>
      <c r="H16" s="40"/>
      <c r="I16" s="45" t="s">
        <v>147</v>
      </c>
      <c r="J16" s="245"/>
      <c r="K16" s="61" t="str">
        <f>IF(J16&lt;&gt;0,4,"")</f>
        <v/>
      </c>
      <c r="L16" s="80" t="str">
        <f>IF(K16="","",1)</f>
        <v/>
      </c>
      <c r="M16" s="234"/>
      <c r="N16" s="234"/>
    </row>
    <row r="17" spans="2:14" x14ac:dyDescent="0.2">
      <c r="B17" s="135" t="str">
        <f>IF(D17="","",1)</f>
        <v/>
      </c>
      <c r="C17" s="17" t="str">
        <f>IF(D17&lt;&gt;0,9,"")</f>
        <v/>
      </c>
      <c r="D17" s="245"/>
      <c r="E17" s="62" t="s">
        <v>217</v>
      </c>
      <c r="F17" s="26" t="s">
        <v>220</v>
      </c>
      <c r="G17" s="26"/>
      <c r="H17" s="40"/>
      <c r="I17" s="45" t="s">
        <v>148</v>
      </c>
      <c r="J17" s="507"/>
      <c r="K17" s="61" t="str">
        <f>IF(J17&lt;&gt;0,7,"")</f>
        <v/>
      </c>
      <c r="L17" s="80" t="str">
        <f>IF(K17="","",1)</f>
        <v/>
      </c>
      <c r="M17" s="234"/>
      <c r="N17" s="234"/>
    </row>
    <row r="18" spans="2:14" x14ac:dyDescent="0.2">
      <c r="B18" s="135" t="str">
        <f>IF(D18="","",1)</f>
        <v/>
      </c>
      <c r="C18" s="17" t="str">
        <f>IF(D18&lt;&gt;0,12,"")</f>
        <v/>
      </c>
      <c r="D18" s="244"/>
      <c r="E18" s="62" t="s">
        <v>215</v>
      </c>
      <c r="F18" s="26" t="s">
        <v>221</v>
      </c>
      <c r="G18" s="26"/>
      <c r="H18" s="40"/>
      <c r="I18" s="45" t="s">
        <v>149</v>
      </c>
      <c r="J18" s="507"/>
      <c r="K18" s="61" t="str">
        <f>IF(J18&lt;&gt;0,11,"")</f>
        <v/>
      </c>
      <c r="L18" s="80" t="str">
        <f>IF(K18="","",1)</f>
        <v/>
      </c>
      <c r="M18" s="234"/>
      <c r="N18" s="234"/>
    </row>
    <row r="19" spans="2:14" x14ac:dyDescent="0.2">
      <c r="B19" s="135" t="str">
        <f>IF(D19="","",1)</f>
        <v/>
      </c>
      <c r="C19" s="17" t="str">
        <f>IF(D19&lt;&gt;0,15,"")</f>
        <v/>
      </c>
      <c r="D19" s="245"/>
      <c r="E19" s="62" t="s">
        <v>216</v>
      </c>
      <c r="F19" s="26" t="s">
        <v>222</v>
      </c>
      <c r="G19" s="26"/>
      <c r="H19" s="40"/>
      <c r="I19" s="45" t="s">
        <v>150</v>
      </c>
      <c r="J19" s="245"/>
      <c r="K19" s="61" t="str">
        <f>IF(J19&lt;&gt;0,15,"")</f>
        <v/>
      </c>
      <c r="L19" s="80" t="str">
        <f>IF(K19="","",1)</f>
        <v/>
      </c>
      <c r="M19" s="234"/>
      <c r="N19" s="234"/>
    </row>
    <row r="20" spans="2:14" ht="13.5" thickBot="1" x14ac:dyDescent="0.25">
      <c r="B20" s="136">
        <f>SUM(B15:B19)</f>
        <v>0</v>
      </c>
      <c r="C20" s="81">
        <f>IF(B20&gt;1,0,SUM(C15:C19))</f>
        <v>0</v>
      </c>
      <c r="D20" s="67"/>
      <c r="E20" s="90"/>
      <c r="F20" s="67"/>
      <c r="G20" s="67"/>
      <c r="H20" s="67"/>
      <c r="I20" s="67"/>
      <c r="J20" s="67"/>
      <c r="K20" s="81">
        <f>IF(L20&gt;1,0,SUM(K16:K19))</f>
        <v>0</v>
      </c>
      <c r="L20" s="82">
        <f>SUM(L16:L19)</f>
        <v>0</v>
      </c>
      <c r="M20" s="234"/>
      <c r="N20" s="234"/>
    </row>
    <row r="21" spans="2:14" x14ac:dyDescent="0.2">
      <c r="B21" s="234"/>
      <c r="C21" s="235"/>
      <c r="D21" s="147"/>
      <c r="E21" s="236"/>
      <c r="F21" s="147"/>
      <c r="G21" s="147"/>
      <c r="H21" s="147"/>
      <c r="I21" s="147"/>
      <c r="J21" s="147"/>
      <c r="K21" s="147"/>
      <c r="L21" s="147"/>
    </row>
    <row r="22" spans="2:14" x14ac:dyDescent="0.2"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2:14" x14ac:dyDescent="0.2"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</row>
    <row r="24" spans="2:14" x14ac:dyDescent="0.2"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5" spans="2:14" x14ac:dyDescent="0.2"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2:14" x14ac:dyDescent="0.2"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2:14" x14ac:dyDescent="0.2"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2:14" x14ac:dyDescent="0.2"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2:14" x14ac:dyDescent="0.2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2:14" x14ac:dyDescent="0.2"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2:14" x14ac:dyDescent="0.2"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2:14" x14ac:dyDescent="0.2"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18" x14ac:dyDescent="0.2"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</row>
    <row r="34" spans="1:18" x14ac:dyDescent="0.2"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1:18" x14ac:dyDescent="0.2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1:18" x14ac:dyDescent="0.2"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</row>
    <row r="37" spans="1:18" x14ac:dyDescent="0.2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1:18" x14ac:dyDescent="0.2"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1:18" x14ac:dyDescent="0.2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1:18" x14ac:dyDescent="0.2"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1:18" x14ac:dyDescent="0.2"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8" x14ac:dyDescent="0.2"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</row>
    <row r="43" spans="1:18" s="184" customFormat="1" ht="11.25" customHeight="1" x14ac:dyDescent="0.2">
      <c r="A43" s="600"/>
      <c r="B43" s="509" t="s">
        <v>456</v>
      </c>
      <c r="C43" s="509"/>
      <c r="D43" s="509"/>
      <c r="E43" s="509"/>
      <c r="F43" s="509"/>
      <c r="G43" s="509"/>
      <c r="H43" s="509"/>
      <c r="I43" s="509"/>
      <c r="J43" s="509"/>
      <c r="K43" s="509"/>
      <c r="L43" s="509"/>
      <c r="M43" s="269"/>
    </row>
    <row r="44" spans="1:18" s="184" customFormat="1" ht="11.25" customHeight="1" x14ac:dyDescent="0.2">
      <c r="A44" s="600"/>
      <c r="B44" s="509" t="s">
        <v>41</v>
      </c>
      <c r="C44" s="509"/>
      <c r="D44" s="509"/>
      <c r="E44" s="509"/>
      <c r="F44" s="509"/>
      <c r="G44" s="509"/>
      <c r="H44" s="509"/>
      <c r="I44" s="509"/>
      <c r="J44" s="509"/>
      <c r="K44" s="509"/>
      <c r="L44" s="509"/>
      <c r="M44" s="269"/>
    </row>
    <row r="45" spans="1:18" s="184" customFormat="1" ht="11.25" customHeight="1" x14ac:dyDescent="0.2">
      <c r="A45" s="600"/>
      <c r="B45" s="509" t="s">
        <v>42</v>
      </c>
      <c r="C45" s="509"/>
      <c r="D45" s="509"/>
      <c r="E45" s="509"/>
      <c r="F45" s="509"/>
      <c r="G45" s="509"/>
      <c r="H45" s="510"/>
      <c r="I45" s="509"/>
      <c r="J45" s="509"/>
      <c r="K45" s="509"/>
      <c r="L45" s="509"/>
    </row>
    <row r="46" spans="1:18" s="184" customFormat="1" ht="11.25" customHeight="1" x14ac:dyDescent="0.2">
      <c r="A46" s="600"/>
      <c r="B46" s="509"/>
      <c r="C46" s="509"/>
      <c r="D46" s="509"/>
      <c r="E46" s="509"/>
      <c r="F46" s="509"/>
      <c r="G46" s="509"/>
      <c r="H46" s="509"/>
      <c r="I46" s="601" t="s">
        <v>309</v>
      </c>
      <c r="J46" s="601"/>
      <c r="K46" s="601"/>
      <c r="L46" s="601"/>
    </row>
    <row r="47" spans="1:18" s="184" customFormat="1" ht="11.25" customHeight="1" x14ac:dyDescent="0.2">
      <c r="A47" s="600"/>
      <c r="B47" s="509"/>
      <c r="C47" s="509"/>
      <c r="D47" s="509"/>
      <c r="E47" s="509"/>
      <c r="F47" s="509"/>
      <c r="G47" s="509"/>
      <c r="H47" s="511"/>
      <c r="I47" s="601"/>
      <c r="J47" s="601"/>
      <c r="K47" s="601"/>
      <c r="L47" s="601"/>
      <c r="R47" s="269"/>
    </row>
    <row r="48" spans="1:18" s="184" customFormat="1" ht="11.25" customHeight="1" x14ac:dyDescent="0.2">
      <c r="A48" s="600"/>
      <c r="B48" s="512" t="s">
        <v>372</v>
      </c>
      <c r="C48" s="513"/>
      <c r="D48" s="513"/>
      <c r="E48" s="513"/>
      <c r="F48" s="513"/>
      <c r="G48" s="509"/>
      <c r="H48" s="509"/>
      <c r="I48" s="601"/>
      <c r="J48" s="601"/>
      <c r="K48" s="601"/>
      <c r="L48" s="601"/>
    </row>
    <row r="49" spans="1:17" s="184" customFormat="1" ht="11.25" customHeight="1" x14ac:dyDescent="0.2">
      <c r="A49" s="600"/>
      <c r="B49" s="509"/>
      <c r="C49" s="509"/>
      <c r="D49" s="509"/>
      <c r="E49" s="509"/>
      <c r="F49" s="509"/>
      <c r="G49" s="509"/>
      <c r="H49" s="509"/>
      <c r="I49" s="601"/>
      <c r="J49" s="601"/>
      <c r="K49" s="601"/>
      <c r="L49" s="601"/>
    </row>
    <row r="50" spans="1:17" s="184" customFormat="1" ht="11.25" customHeight="1" x14ac:dyDescent="0.2">
      <c r="A50" s="600"/>
      <c r="B50" s="509"/>
      <c r="C50" s="509"/>
      <c r="D50" s="509"/>
      <c r="E50" s="509"/>
      <c r="F50" s="509"/>
      <c r="G50" s="509"/>
      <c r="H50" s="509"/>
      <c r="I50" s="509"/>
      <c r="J50" s="509"/>
      <c r="K50" s="509"/>
      <c r="L50" s="509"/>
    </row>
    <row r="51" spans="1:17" s="184" customFormat="1" ht="11.25" customHeight="1" x14ac:dyDescent="0.2">
      <c r="A51" s="600"/>
      <c r="B51" s="514" t="s">
        <v>43</v>
      </c>
      <c r="C51" s="515">
        <v>0</v>
      </c>
      <c r="D51" s="511"/>
      <c r="E51" s="509" t="s">
        <v>43</v>
      </c>
      <c r="F51" s="509" t="s">
        <v>44</v>
      </c>
      <c r="G51" s="509"/>
      <c r="H51" s="509"/>
      <c r="I51" s="509"/>
      <c r="J51" s="509"/>
      <c r="K51" s="509"/>
      <c r="L51" s="514"/>
      <c r="M51" s="277"/>
      <c r="N51" s="269"/>
    </row>
    <row r="52" spans="1:17" s="184" customFormat="1" ht="11.25" customHeight="1" x14ac:dyDescent="0.2">
      <c r="A52" s="600"/>
      <c r="B52" s="514"/>
      <c r="C52" s="515"/>
      <c r="D52" s="511"/>
      <c r="E52" s="509"/>
      <c r="F52" s="509" t="s">
        <v>45</v>
      </c>
      <c r="G52" s="509"/>
      <c r="H52" s="509"/>
      <c r="I52" s="509"/>
      <c r="J52" s="509"/>
      <c r="K52" s="509"/>
      <c r="L52" s="514"/>
      <c r="M52" s="277"/>
      <c r="N52" s="269"/>
    </row>
    <row r="53" spans="1:17" s="184" customFormat="1" ht="11.25" customHeight="1" x14ac:dyDescent="0.2">
      <c r="A53" s="600"/>
      <c r="B53" s="565"/>
      <c r="C53" s="515"/>
      <c r="D53" s="511"/>
      <c r="E53" s="511"/>
      <c r="F53" s="511"/>
      <c r="G53" s="511"/>
      <c r="H53" s="509"/>
      <c r="I53" s="509"/>
      <c r="J53" s="509"/>
      <c r="K53" s="509"/>
      <c r="L53" s="509"/>
      <c r="M53" s="277"/>
      <c r="N53" s="269"/>
      <c r="O53" s="269"/>
      <c r="P53" s="269"/>
      <c r="Q53" s="269"/>
    </row>
    <row r="54" spans="1:17" s="184" customFormat="1" ht="11.25" customHeight="1" x14ac:dyDescent="0.2">
      <c r="A54" s="600"/>
      <c r="B54" s="514" t="s">
        <v>46</v>
      </c>
      <c r="C54" s="515">
        <v>3</v>
      </c>
      <c r="D54" s="511"/>
      <c r="E54" s="509" t="s">
        <v>46</v>
      </c>
      <c r="F54" s="509" t="s">
        <v>47</v>
      </c>
      <c r="G54" s="509"/>
      <c r="H54" s="509"/>
      <c r="I54" s="509"/>
      <c r="J54" s="509"/>
      <c r="K54" s="509"/>
      <c r="L54" s="514"/>
      <c r="M54" s="277"/>
      <c r="N54" s="269"/>
      <c r="Q54" s="269"/>
    </row>
    <row r="55" spans="1:17" s="184" customFormat="1" ht="11.25" customHeight="1" x14ac:dyDescent="0.2">
      <c r="A55" s="600"/>
      <c r="B55" s="514"/>
      <c r="C55" s="515"/>
      <c r="D55" s="511"/>
      <c r="E55" s="511"/>
      <c r="F55" s="511"/>
      <c r="G55" s="511" t="s">
        <v>48</v>
      </c>
      <c r="H55" s="511"/>
      <c r="I55" s="511"/>
      <c r="J55" s="509"/>
      <c r="K55" s="509"/>
      <c r="L55" s="514"/>
      <c r="M55" s="277"/>
      <c r="N55" s="269"/>
      <c r="O55" s="269"/>
      <c r="P55" s="269"/>
      <c r="Q55" s="269"/>
    </row>
    <row r="56" spans="1:17" s="184" customFormat="1" ht="11.25" customHeight="1" x14ac:dyDescent="0.2">
      <c r="A56" s="600"/>
      <c r="B56" s="565"/>
      <c r="C56" s="515"/>
      <c r="D56" s="511"/>
      <c r="E56" s="511"/>
      <c r="F56" s="511"/>
      <c r="G56" s="511"/>
      <c r="H56" s="509"/>
      <c r="I56" s="509"/>
      <c r="J56" s="509"/>
      <c r="K56" s="509"/>
      <c r="L56" s="509"/>
      <c r="M56" s="277"/>
      <c r="N56" s="269"/>
      <c r="O56" s="269"/>
      <c r="P56" s="269"/>
      <c r="Q56" s="269"/>
    </row>
    <row r="57" spans="1:17" s="184" customFormat="1" ht="11.25" customHeight="1" x14ac:dyDescent="0.2">
      <c r="A57" s="600"/>
      <c r="B57" s="514" t="s">
        <v>49</v>
      </c>
      <c r="C57" s="515">
        <v>6</v>
      </c>
      <c r="D57" s="511"/>
      <c r="E57" s="509" t="s">
        <v>49</v>
      </c>
      <c r="F57" s="509" t="s">
        <v>50</v>
      </c>
      <c r="G57" s="509"/>
      <c r="H57" s="509"/>
      <c r="I57" s="509"/>
      <c r="J57" s="509"/>
      <c r="K57" s="509"/>
      <c r="L57" s="514"/>
      <c r="M57" s="277"/>
      <c r="N57" s="269"/>
    </row>
    <row r="58" spans="1:17" s="184" customFormat="1" ht="11.25" customHeight="1" x14ac:dyDescent="0.2">
      <c r="A58" s="600"/>
      <c r="B58" s="514"/>
      <c r="C58" s="515"/>
      <c r="D58" s="511"/>
      <c r="E58" s="511"/>
      <c r="F58" s="509" t="s">
        <v>51</v>
      </c>
      <c r="G58" s="509"/>
      <c r="H58" s="509"/>
      <c r="I58" s="509"/>
      <c r="J58" s="509"/>
      <c r="K58" s="509"/>
      <c r="L58" s="514"/>
      <c r="M58" s="277"/>
      <c r="N58" s="269"/>
      <c r="O58" s="269"/>
      <c r="Q58" s="269"/>
    </row>
    <row r="59" spans="1:17" s="184" customFormat="1" ht="11.25" customHeight="1" x14ac:dyDescent="0.2">
      <c r="A59" s="600"/>
      <c r="B59" s="514"/>
      <c r="C59" s="515"/>
      <c r="D59" s="511"/>
      <c r="E59" s="511"/>
      <c r="F59" s="509" t="s">
        <v>52</v>
      </c>
      <c r="G59" s="509"/>
      <c r="H59" s="509"/>
      <c r="I59" s="509"/>
      <c r="J59" s="509"/>
      <c r="K59" s="509"/>
      <c r="L59" s="514"/>
      <c r="M59" s="277"/>
      <c r="N59" s="269"/>
      <c r="O59" s="269"/>
      <c r="Q59" s="269"/>
    </row>
    <row r="60" spans="1:17" s="184" customFormat="1" ht="11.25" customHeight="1" x14ac:dyDescent="0.2">
      <c r="A60" s="600"/>
      <c r="B60" s="514" t="s">
        <v>53</v>
      </c>
      <c r="C60" s="515">
        <v>9</v>
      </c>
      <c r="D60" s="511"/>
      <c r="E60" s="509" t="s">
        <v>53</v>
      </c>
      <c r="F60" s="509" t="s">
        <v>54</v>
      </c>
      <c r="G60" s="509"/>
      <c r="H60" s="509"/>
      <c r="I60" s="509"/>
      <c r="J60" s="509"/>
      <c r="K60" s="509"/>
      <c r="L60" s="514"/>
      <c r="M60" s="277"/>
      <c r="N60" s="269"/>
      <c r="Q60" s="269"/>
    </row>
    <row r="61" spans="1:17" s="184" customFormat="1" ht="11.25" customHeight="1" x14ac:dyDescent="0.2">
      <c r="A61" s="600"/>
      <c r="B61" s="514"/>
      <c r="C61" s="515"/>
      <c r="D61" s="511"/>
      <c r="E61" s="511"/>
      <c r="F61" s="509" t="s">
        <v>55</v>
      </c>
      <c r="G61" s="509"/>
      <c r="H61" s="509"/>
      <c r="I61" s="509"/>
      <c r="J61" s="509"/>
      <c r="K61" s="509"/>
      <c r="L61" s="514"/>
      <c r="M61" s="277"/>
      <c r="N61" s="269"/>
      <c r="O61" s="269"/>
      <c r="Q61" s="269"/>
    </row>
    <row r="62" spans="1:17" s="184" customFormat="1" ht="11.25" customHeight="1" x14ac:dyDescent="0.2">
      <c r="A62" s="600"/>
      <c r="B62" s="514"/>
      <c r="C62" s="515"/>
      <c r="D62" s="511"/>
      <c r="E62" s="511"/>
      <c r="F62" s="509" t="s">
        <v>56</v>
      </c>
      <c r="G62" s="509"/>
      <c r="H62" s="509"/>
      <c r="I62" s="509"/>
      <c r="J62" s="509"/>
      <c r="K62" s="509"/>
      <c r="L62" s="514"/>
      <c r="M62" s="277"/>
      <c r="N62" s="269"/>
      <c r="O62" s="269"/>
      <c r="Q62" s="269"/>
    </row>
    <row r="63" spans="1:17" s="184" customFormat="1" ht="11.25" customHeight="1" x14ac:dyDescent="0.2">
      <c r="A63" s="600"/>
      <c r="B63" s="514" t="s">
        <v>57</v>
      </c>
      <c r="C63" s="515">
        <v>12</v>
      </c>
      <c r="D63" s="511"/>
      <c r="E63" s="509" t="s">
        <v>57</v>
      </c>
      <c r="F63" s="509" t="s">
        <v>58</v>
      </c>
      <c r="G63" s="509"/>
      <c r="H63" s="509"/>
      <c r="I63" s="509"/>
      <c r="J63" s="509"/>
      <c r="K63" s="509"/>
      <c r="L63" s="514"/>
      <c r="M63" s="277"/>
      <c r="N63" s="269"/>
    </row>
    <row r="64" spans="1:17" s="184" customFormat="1" ht="11.25" customHeight="1" x14ac:dyDescent="0.2">
      <c r="A64" s="600"/>
      <c r="B64" s="514"/>
      <c r="C64" s="515"/>
      <c r="D64" s="511"/>
      <c r="E64" s="511"/>
      <c r="F64" s="509" t="s">
        <v>59</v>
      </c>
      <c r="G64" s="509"/>
      <c r="H64" s="509"/>
      <c r="I64" s="509"/>
      <c r="J64" s="509"/>
      <c r="K64" s="509"/>
      <c r="L64" s="514"/>
      <c r="M64" s="277"/>
      <c r="N64" s="269"/>
      <c r="O64" s="269"/>
      <c r="Q64" s="269"/>
    </row>
    <row r="65" spans="1:17" s="184" customFormat="1" ht="11.25" customHeight="1" x14ac:dyDescent="0.2">
      <c r="A65" s="600"/>
      <c r="B65" s="514"/>
      <c r="C65" s="515"/>
      <c r="D65" s="511"/>
      <c r="E65" s="509"/>
      <c r="F65" s="509" t="s">
        <v>60</v>
      </c>
      <c r="G65" s="509"/>
      <c r="H65" s="509"/>
      <c r="I65" s="509"/>
      <c r="J65" s="509"/>
      <c r="K65" s="509"/>
      <c r="L65" s="514"/>
      <c r="M65" s="277"/>
      <c r="N65" s="269"/>
    </row>
    <row r="66" spans="1:17" s="184" customFormat="1" ht="11.25" customHeight="1" x14ac:dyDescent="0.2">
      <c r="A66" s="600"/>
      <c r="B66" s="514" t="s">
        <v>61</v>
      </c>
      <c r="C66" s="515">
        <v>15</v>
      </c>
      <c r="D66" s="511"/>
      <c r="E66" s="509" t="s">
        <v>61</v>
      </c>
      <c r="F66" s="509" t="s">
        <v>62</v>
      </c>
      <c r="G66" s="509"/>
      <c r="H66" s="509"/>
      <c r="I66" s="509"/>
      <c r="J66" s="509"/>
      <c r="K66" s="509"/>
      <c r="L66" s="514"/>
      <c r="M66" s="277"/>
      <c r="N66" s="269"/>
      <c r="Q66" s="269"/>
    </row>
    <row r="67" spans="1:17" s="184" customFormat="1" ht="11.25" customHeight="1" x14ac:dyDescent="0.2">
      <c r="A67" s="600"/>
      <c r="B67" s="514"/>
      <c r="C67" s="509"/>
      <c r="D67" s="511"/>
      <c r="E67" s="511"/>
      <c r="F67" s="509" t="s">
        <v>63</v>
      </c>
      <c r="G67" s="509"/>
      <c r="H67" s="509"/>
      <c r="I67" s="509"/>
      <c r="J67" s="509"/>
      <c r="K67" s="509"/>
      <c r="L67" s="514"/>
      <c r="N67" s="269"/>
      <c r="O67" s="269"/>
      <c r="Q67" s="269"/>
    </row>
    <row r="68" spans="1:17" s="184" customFormat="1" ht="11.25" customHeight="1" x14ac:dyDescent="0.2">
      <c r="A68" s="600"/>
      <c r="B68" s="514"/>
      <c r="C68" s="511"/>
      <c r="D68" s="511"/>
      <c r="E68" s="511"/>
      <c r="F68" s="509" t="s">
        <v>64</v>
      </c>
      <c r="G68" s="509"/>
      <c r="H68" s="509"/>
      <c r="I68" s="509"/>
      <c r="J68" s="509"/>
      <c r="K68" s="509"/>
      <c r="L68" s="514"/>
      <c r="M68" s="269"/>
      <c r="N68" s="269"/>
      <c r="O68" s="269"/>
      <c r="Q68" s="269"/>
    </row>
    <row r="69" spans="1:17" s="184" customFormat="1" ht="11.25" customHeight="1" x14ac:dyDescent="0.2">
      <c r="A69" s="600"/>
      <c r="B69" s="514"/>
      <c r="C69" s="509" t="s">
        <v>65</v>
      </c>
      <c r="D69" s="509"/>
      <c r="E69" s="509"/>
      <c r="F69" s="509"/>
      <c r="G69" s="509"/>
      <c r="H69" s="509"/>
      <c r="I69" s="509"/>
      <c r="J69" s="509"/>
      <c r="K69" s="509"/>
      <c r="L69" s="514"/>
    </row>
    <row r="70" spans="1:17" s="184" customFormat="1" ht="11.25" customHeight="1" x14ac:dyDescent="0.2">
      <c r="A70" s="600"/>
      <c r="B70" s="514"/>
      <c r="C70" s="509"/>
      <c r="D70" s="509"/>
      <c r="E70" s="509"/>
      <c r="F70" s="509"/>
      <c r="G70" s="509"/>
      <c r="H70" s="509"/>
      <c r="I70" s="509"/>
      <c r="J70" s="509"/>
      <c r="K70" s="509"/>
      <c r="L70" s="514"/>
    </row>
    <row r="71" spans="1:17" s="184" customFormat="1" ht="11.25" customHeight="1" x14ac:dyDescent="0.2">
      <c r="A71" s="600"/>
      <c r="B71" s="514"/>
      <c r="C71" s="509"/>
      <c r="D71" s="509"/>
      <c r="E71" s="509"/>
      <c r="F71" s="509"/>
      <c r="G71" s="509"/>
      <c r="H71" s="509"/>
      <c r="I71" s="509"/>
      <c r="J71" s="509"/>
      <c r="K71" s="509"/>
      <c r="L71" s="514"/>
    </row>
    <row r="72" spans="1:17" s="184" customFormat="1" ht="11.25" customHeight="1" x14ac:dyDescent="0.2">
      <c r="A72" s="600"/>
      <c r="B72" s="514"/>
      <c r="C72" s="509"/>
      <c r="D72" s="509"/>
      <c r="E72" s="509"/>
      <c r="F72" s="509"/>
      <c r="G72" s="509"/>
      <c r="H72" s="509"/>
      <c r="I72" s="509"/>
      <c r="J72" s="509"/>
      <c r="K72" s="509"/>
      <c r="L72" s="514"/>
    </row>
    <row r="73" spans="1:17" s="184" customFormat="1" ht="11.25" customHeight="1" x14ac:dyDescent="0.2">
      <c r="A73" s="600"/>
      <c r="B73" s="511"/>
      <c r="C73" s="511"/>
      <c r="D73" s="511"/>
      <c r="E73" s="509"/>
      <c r="F73" s="509"/>
      <c r="G73" s="509"/>
      <c r="H73" s="509"/>
      <c r="I73" s="509"/>
      <c r="J73" s="509"/>
      <c r="K73" s="509"/>
      <c r="L73" s="511"/>
      <c r="M73" s="269"/>
      <c r="N73" s="269"/>
    </row>
    <row r="74" spans="1:17" s="184" customFormat="1" ht="11.25" customHeight="1" x14ac:dyDescent="0.2">
      <c r="A74" s="600"/>
      <c r="B74" s="513" t="s">
        <v>66</v>
      </c>
      <c r="C74" s="513"/>
      <c r="D74" s="513"/>
      <c r="E74" s="509" t="s">
        <v>67</v>
      </c>
      <c r="F74" s="509"/>
      <c r="G74" s="511"/>
      <c r="H74" s="509" t="s">
        <v>68</v>
      </c>
      <c r="I74" s="509"/>
      <c r="J74" s="509" t="s">
        <v>69</v>
      </c>
      <c r="K74" s="509"/>
      <c r="L74" s="513"/>
      <c r="Q74" s="269"/>
    </row>
    <row r="75" spans="1:17" s="184" customFormat="1" ht="11.25" customHeight="1" x14ac:dyDescent="0.2">
      <c r="A75" s="600"/>
      <c r="B75" s="513"/>
      <c r="C75" s="509"/>
      <c r="D75" s="509"/>
      <c r="E75" s="509"/>
      <c r="F75" s="509"/>
      <c r="G75" s="509"/>
      <c r="H75" s="509"/>
      <c r="I75" s="509"/>
      <c r="J75" s="509"/>
      <c r="K75" s="509"/>
      <c r="L75" s="513"/>
    </row>
    <row r="76" spans="1:17" s="184" customFormat="1" ht="11.25" customHeight="1" x14ac:dyDescent="0.2">
      <c r="B76" s="513"/>
      <c r="C76" s="509"/>
      <c r="D76" s="509"/>
      <c r="E76" s="509"/>
      <c r="F76" s="509"/>
      <c r="G76" s="509"/>
      <c r="H76" s="509"/>
      <c r="I76" s="509"/>
      <c r="J76" s="509"/>
      <c r="K76" s="509"/>
      <c r="L76" s="513"/>
    </row>
    <row r="77" spans="1:17" s="184" customFormat="1" ht="11.25" customHeight="1" x14ac:dyDescent="0.2">
      <c r="B77" s="513"/>
      <c r="C77" s="509"/>
      <c r="D77" s="509"/>
      <c r="E77" s="509"/>
      <c r="F77" s="509"/>
      <c r="G77" s="509"/>
      <c r="H77" s="509"/>
      <c r="I77" s="509"/>
      <c r="J77" s="509"/>
      <c r="K77" s="509"/>
      <c r="L77" s="513"/>
    </row>
    <row r="78" spans="1:17" s="184" customFormat="1" ht="11.25" customHeight="1" x14ac:dyDescent="0.2">
      <c r="B78" s="513"/>
      <c r="C78" s="509"/>
      <c r="D78" s="509"/>
      <c r="E78" s="509"/>
      <c r="F78" s="509"/>
      <c r="G78" s="509"/>
      <c r="H78" s="509"/>
      <c r="I78" s="509"/>
      <c r="J78" s="509"/>
      <c r="K78" s="509"/>
      <c r="L78" s="513"/>
    </row>
    <row r="79" spans="1:17" s="184" customFormat="1" ht="11.25" customHeight="1" x14ac:dyDescent="0.2">
      <c r="B79" s="509"/>
      <c r="C79" s="509"/>
      <c r="D79" s="509"/>
      <c r="E79" s="509"/>
      <c r="F79" s="509"/>
      <c r="G79" s="509"/>
      <c r="H79" s="509"/>
      <c r="I79" s="509"/>
      <c r="J79" s="509"/>
      <c r="K79" s="509"/>
      <c r="L79" s="509"/>
    </row>
    <row r="80" spans="1:17" s="184" customFormat="1" ht="11.25" customHeight="1" x14ac:dyDescent="0.2">
      <c r="B80" s="512" t="s">
        <v>373</v>
      </c>
      <c r="C80" s="513"/>
      <c r="D80" s="513"/>
      <c r="E80" s="513"/>
      <c r="F80" s="513"/>
      <c r="G80" s="509"/>
      <c r="H80" s="509"/>
      <c r="I80" s="509"/>
      <c r="J80" s="509"/>
      <c r="K80" s="509"/>
      <c r="L80" s="513"/>
    </row>
    <row r="81" spans="2:17" s="184" customFormat="1" ht="11.25" customHeight="1" x14ac:dyDescent="0.2">
      <c r="B81" s="509"/>
      <c r="C81" s="509"/>
      <c r="D81" s="509"/>
      <c r="E81" s="509"/>
      <c r="F81" s="509"/>
      <c r="G81" s="509"/>
      <c r="H81" s="509"/>
      <c r="I81" s="509"/>
      <c r="J81" s="509"/>
      <c r="K81" s="509"/>
      <c r="L81" s="509"/>
    </row>
    <row r="82" spans="2:17" s="184" customFormat="1" ht="11.25" customHeight="1" x14ac:dyDescent="0.2">
      <c r="B82" s="509" t="s">
        <v>2</v>
      </c>
      <c r="C82" s="509"/>
      <c r="D82" s="509"/>
      <c r="E82" s="509"/>
      <c r="F82" s="509"/>
      <c r="G82" s="509"/>
      <c r="H82" s="509"/>
      <c r="I82" s="509"/>
      <c r="J82" s="509"/>
      <c r="K82" s="509"/>
      <c r="L82" s="509"/>
    </row>
    <row r="83" spans="2:17" s="184" customFormat="1" ht="11.25" customHeight="1" x14ac:dyDescent="0.2">
      <c r="B83" s="514" t="s">
        <v>43</v>
      </c>
      <c r="C83" s="515">
        <v>0</v>
      </c>
      <c r="D83" s="516"/>
      <c r="E83" s="509" t="s">
        <v>43</v>
      </c>
      <c r="F83" s="509" t="s">
        <v>70</v>
      </c>
      <c r="G83" s="509"/>
      <c r="H83" s="509"/>
      <c r="I83" s="509"/>
      <c r="J83" s="509"/>
      <c r="K83" s="509"/>
      <c r="L83" s="514"/>
      <c r="M83" s="277"/>
    </row>
    <row r="84" spans="2:17" s="184" customFormat="1" ht="11.25" customHeight="1" x14ac:dyDescent="0.2">
      <c r="B84" s="514"/>
      <c r="C84" s="515"/>
      <c r="D84" s="511"/>
      <c r="E84" s="509"/>
      <c r="F84" s="509"/>
      <c r="G84" s="509"/>
      <c r="H84" s="509"/>
      <c r="I84" s="509"/>
      <c r="J84" s="509"/>
      <c r="K84" s="509"/>
      <c r="L84" s="514"/>
      <c r="M84" s="277"/>
      <c r="N84" s="269"/>
    </row>
    <row r="85" spans="2:17" s="184" customFormat="1" ht="11.25" customHeight="1" x14ac:dyDescent="0.2">
      <c r="B85" s="514" t="s">
        <v>46</v>
      </c>
      <c r="C85" s="515">
        <v>6</v>
      </c>
      <c r="D85" s="511"/>
      <c r="E85" s="509" t="s">
        <v>46</v>
      </c>
      <c r="F85" s="509" t="s">
        <v>71</v>
      </c>
      <c r="G85" s="509"/>
      <c r="H85" s="509"/>
      <c r="I85" s="509"/>
      <c r="J85" s="509"/>
      <c r="K85" s="509"/>
      <c r="L85" s="514"/>
      <c r="M85" s="277"/>
      <c r="N85" s="269"/>
      <c r="Q85" s="269"/>
    </row>
    <row r="86" spans="2:17" s="184" customFormat="1" ht="11.25" customHeight="1" x14ac:dyDescent="0.2">
      <c r="B86" s="514"/>
      <c r="C86" s="515"/>
      <c r="D86" s="511"/>
      <c r="E86" s="509"/>
      <c r="F86" s="509"/>
      <c r="G86" s="511"/>
      <c r="H86" s="509"/>
      <c r="I86" s="509"/>
      <c r="J86" s="509"/>
      <c r="K86" s="509"/>
      <c r="L86" s="514"/>
      <c r="M86" s="277"/>
      <c r="N86" s="269"/>
      <c r="Q86" s="269"/>
    </row>
    <row r="87" spans="2:17" s="184" customFormat="1" ht="11.25" customHeight="1" x14ac:dyDescent="0.2">
      <c r="B87" s="514" t="s">
        <v>53</v>
      </c>
      <c r="C87" s="515">
        <v>12</v>
      </c>
      <c r="D87" s="511"/>
      <c r="E87" s="509" t="s">
        <v>53</v>
      </c>
      <c r="F87" s="509" t="s">
        <v>72</v>
      </c>
      <c r="G87" s="509"/>
      <c r="H87" s="509"/>
      <c r="I87" s="509"/>
      <c r="J87" s="509"/>
      <c r="K87" s="509"/>
      <c r="L87" s="514"/>
      <c r="M87" s="277"/>
      <c r="N87" s="269"/>
      <c r="Q87" s="269"/>
    </row>
    <row r="88" spans="2:17" s="184" customFormat="1" ht="11.25" customHeight="1" x14ac:dyDescent="0.2">
      <c r="B88" s="517"/>
      <c r="C88" s="515"/>
      <c r="D88" s="511"/>
      <c r="E88" s="511"/>
      <c r="F88" s="509" t="s">
        <v>73</v>
      </c>
      <c r="G88" s="509"/>
      <c r="H88" s="509"/>
      <c r="I88" s="509"/>
      <c r="J88" s="509"/>
      <c r="K88" s="509"/>
      <c r="L88" s="517"/>
      <c r="M88" s="277"/>
      <c r="N88" s="269"/>
      <c r="O88" s="269"/>
      <c r="Q88" s="269"/>
    </row>
    <row r="89" spans="2:17" s="184" customFormat="1" ht="11.25" customHeight="1" x14ac:dyDescent="0.2">
      <c r="B89" s="514" t="s">
        <v>61</v>
      </c>
      <c r="C89" s="515">
        <v>18</v>
      </c>
      <c r="D89" s="511"/>
      <c r="E89" s="509" t="s">
        <v>61</v>
      </c>
      <c r="F89" s="509" t="s">
        <v>74</v>
      </c>
      <c r="G89" s="509"/>
      <c r="H89" s="509"/>
      <c r="I89" s="509"/>
      <c r="J89" s="509"/>
      <c r="K89" s="509"/>
      <c r="L89" s="514"/>
      <c r="M89" s="277"/>
      <c r="N89" s="269"/>
      <c r="Q89" s="269"/>
    </row>
    <row r="90" spans="2:17" s="184" customFormat="1" ht="11.25" customHeight="1" x14ac:dyDescent="0.2">
      <c r="B90" s="517"/>
      <c r="C90" s="515"/>
      <c r="D90" s="511"/>
      <c r="E90" s="511"/>
      <c r="F90" s="509" t="s">
        <v>75</v>
      </c>
      <c r="G90" s="509"/>
      <c r="H90" s="509"/>
      <c r="I90" s="509"/>
      <c r="J90" s="509"/>
      <c r="K90" s="509"/>
      <c r="L90" s="517"/>
      <c r="M90" s="277"/>
      <c r="N90" s="269"/>
      <c r="O90" s="269"/>
      <c r="Q90" s="269"/>
    </row>
    <row r="91" spans="2:17" s="184" customFormat="1" ht="11.25" customHeight="1" x14ac:dyDescent="0.2">
      <c r="B91" s="514" t="s">
        <v>76</v>
      </c>
      <c r="C91" s="515">
        <v>25</v>
      </c>
      <c r="D91" s="518"/>
      <c r="E91" s="509" t="s">
        <v>76</v>
      </c>
      <c r="F91" s="509" t="s">
        <v>77</v>
      </c>
      <c r="G91" s="509"/>
      <c r="H91" s="509"/>
      <c r="I91" s="509"/>
      <c r="J91" s="509"/>
      <c r="K91" s="509"/>
      <c r="L91" s="514"/>
      <c r="M91" s="277"/>
    </row>
    <row r="92" spans="2:17" s="184" customFormat="1" ht="11.25" customHeight="1" x14ac:dyDescent="0.2">
      <c r="B92" s="511"/>
      <c r="C92" s="511"/>
      <c r="D92" s="511"/>
      <c r="E92" s="509"/>
      <c r="F92" s="509" t="s">
        <v>78</v>
      </c>
      <c r="G92" s="509"/>
      <c r="H92" s="509"/>
      <c r="I92" s="509"/>
      <c r="J92" s="509"/>
      <c r="K92" s="509"/>
      <c r="L92" s="511"/>
      <c r="M92" s="269"/>
      <c r="N92" s="269"/>
      <c r="Q92" s="269"/>
    </row>
    <row r="93" spans="2:17" s="184" customFormat="1" ht="11.25" customHeight="1" x14ac:dyDescent="0.2">
      <c r="B93" s="509"/>
      <c r="C93" s="509"/>
      <c r="D93" s="509"/>
      <c r="E93" s="509"/>
      <c r="F93" s="509"/>
      <c r="G93" s="511"/>
      <c r="H93" s="509"/>
      <c r="I93" s="509"/>
      <c r="J93" s="509"/>
      <c r="K93" s="509"/>
      <c r="L93" s="509"/>
      <c r="Q93" s="269"/>
    </row>
    <row r="94" spans="2:17" s="184" customFormat="1" ht="11.25" customHeight="1" x14ac:dyDescent="0.2">
      <c r="B94" s="509"/>
      <c r="C94" s="509" t="s">
        <v>65</v>
      </c>
      <c r="D94" s="509"/>
      <c r="E94" s="509"/>
      <c r="F94" s="509"/>
      <c r="G94" s="509"/>
      <c r="H94" s="509"/>
      <c r="I94" s="509"/>
      <c r="J94" s="509"/>
      <c r="K94" s="509"/>
      <c r="L94" s="509"/>
    </row>
    <row r="95" spans="2:17" s="184" customFormat="1" ht="11.25" customHeight="1" x14ac:dyDescent="0.2">
      <c r="B95" s="509"/>
      <c r="C95" s="509"/>
      <c r="D95" s="509"/>
      <c r="E95" s="509"/>
      <c r="F95" s="509"/>
      <c r="G95" s="509"/>
      <c r="H95" s="509"/>
      <c r="I95" s="509"/>
      <c r="J95" s="509"/>
      <c r="K95" s="509"/>
      <c r="L95" s="509"/>
    </row>
    <row r="96" spans="2:17" s="184" customFormat="1" ht="11.25" customHeight="1" x14ac:dyDescent="0.2">
      <c r="B96" s="509"/>
      <c r="C96" s="509"/>
      <c r="D96" s="509"/>
      <c r="E96" s="509"/>
      <c r="F96" s="509"/>
      <c r="G96" s="509"/>
      <c r="H96" s="509"/>
      <c r="I96" s="509"/>
      <c r="J96" s="509"/>
      <c r="K96" s="509"/>
      <c r="L96" s="509"/>
    </row>
    <row r="97" spans="2:20" s="184" customFormat="1" ht="11.25" customHeight="1" x14ac:dyDescent="0.2">
      <c r="B97" s="509"/>
      <c r="C97" s="511"/>
      <c r="D97" s="509"/>
      <c r="E97" s="509"/>
      <c r="F97" s="509"/>
      <c r="G97" s="509"/>
      <c r="H97" s="509"/>
      <c r="I97" s="509"/>
      <c r="J97" s="509"/>
      <c r="K97" s="509"/>
      <c r="L97" s="509"/>
      <c r="M97" s="269"/>
    </row>
    <row r="98" spans="2:20" s="184" customFormat="1" ht="11.25" customHeight="1" x14ac:dyDescent="0.2">
      <c r="B98" s="509"/>
      <c r="C98" s="509"/>
      <c r="D98" s="509"/>
      <c r="E98" s="509"/>
      <c r="F98" s="509"/>
      <c r="G98" s="511"/>
      <c r="H98" s="509"/>
      <c r="I98" s="509"/>
      <c r="J98" s="509"/>
      <c r="K98" s="509"/>
      <c r="L98" s="509"/>
      <c r="Q98" s="269"/>
    </row>
    <row r="99" spans="2:20" s="184" customFormat="1" ht="11.25" customHeight="1" x14ac:dyDescent="0.2">
      <c r="B99" s="509" t="s">
        <v>4</v>
      </c>
      <c r="C99" s="509"/>
      <c r="D99" s="509"/>
      <c r="E99" s="509"/>
      <c r="F99" s="509"/>
      <c r="G99" s="511"/>
      <c r="H99" s="509" t="s">
        <v>8</v>
      </c>
      <c r="I99" s="509"/>
      <c r="J99" s="509"/>
      <c r="K99" s="519"/>
      <c r="L99" s="509"/>
      <c r="Q99" s="269"/>
      <c r="S99" s="269"/>
    </row>
    <row r="100" spans="2:20" s="184" customFormat="1" ht="11.25" customHeight="1" x14ac:dyDescent="0.2">
      <c r="B100" s="509"/>
      <c r="C100" s="509" t="s">
        <v>40</v>
      </c>
      <c r="D100" s="509"/>
      <c r="E100" s="509"/>
      <c r="F100" s="509"/>
      <c r="G100" s="511"/>
      <c r="H100" s="509" t="s">
        <v>9</v>
      </c>
      <c r="I100" s="511"/>
      <c r="J100" s="509"/>
      <c r="K100" s="520"/>
      <c r="L100" s="509"/>
      <c r="Q100" s="269"/>
      <c r="S100" s="269"/>
    </row>
    <row r="101" spans="2:20" s="184" customFormat="1" ht="11.25" customHeight="1" x14ac:dyDescent="0.2">
      <c r="B101" s="509"/>
      <c r="C101" s="509"/>
      <c r="D101" s="509"/>
      <c r="E101" s="509"/>
      <c r="F101" s="509"/>
      <c r="G101" s="511"/>
      <c r="H101" s="509" t="s">
        <v>10</v>
      </c>
      <c r="I101" s="509"/>
      <c r="J101" s="509"/>
      <c r="K101" s="520"/>
      <c r="L101" s="509"/>
      <c r="Q101" s="269"/>
      <c r="S101" s="269"/>
    </row>
    <row r="102" spans="2:20" s="184" customFormat="1" ht="11.25" customHeight="1" thickBot="1" x14ac:dyDescent="0.25">
      <c r="B102" s="509"/>
      <c r="C102" s="509"/>
      <c r="D102" s="509"/>
      <c r="E102" s="509"/>
      <c r="F102" s="509"/>
      <c r="G102" s="511"/>
      <c r="H102" s="509"/>
      <c r="I102" s="509"/>
      <c r="J102" s="509"/>
      <c r="K102" s="509"/>
      <c r="L102" s="509"/>
      <c r="Q102" s="269"/>
    </row>
    <row r="103" spans="2:20" s="184" customFormat="1" ht="11.25" customHeight="1" thickBot="1" x14ac:dyDescent="0.25">
      <c r="B103" s="509"/>
      <c r="C103" s="509"/>
      <c r="D103" s="509"/>
      <c r="E103" s="509"/>
      <c r="F103" s="511"/>
      <c r="G103" s="511"/>
      <c r="H103" s="511"/>
      <c r="I103" s="509"/>
      <c r="J103" s="521" t="s">
        <v>79</v>
      </c>
      <c r="K103" s="522">
        <f>STRUCTURE!D8</f>
        <v>0</v>
      </c>
      <c r="L103" s="509"/>
      <c r="P103" s="269"/>
      <c r="Q103" s="269"/>
      <c r="R103" s="269"/>
      <c r="T103" s="151"/>
    </row>
    <row r="104" spans="2:20" s="184" customFormat="1" ht="11.25" customHeight="1" x14ac:dyDescent="0.2">
      <c r="B104" s="509"/>
      <c r="C104" s="509"/>
      <c r="D104" s="509"/>
      <c r="E104" s="509"/>
      <c r="F104" s="509"/>
      <c r="G104" s="511"/>
      <c r="H104" s="523" t="s">
        <v>80</v>
      </c>
      <c r="I104" s="523"/>
      <c r="J104" s="523"/>
      <c r="K104" s="523"/>
      <c r="L104" s="509"/>
      <c r="Q104" s="269"/>
      <c r="R104" s="483"/>
    </row>
    <row r="105" spans="2:20" s="184" customFormat="1" ht="11.25" customHeight="1" x14ac:dyDescent="0.2">
      <c r="G105" s="269"/>
      <c r="H105" s="483"/>
      <c r="I105" s="483"/>
      <c r="J105" s="483"/>
      <c r="K105" s="483"/>
      <c r="Q105" s="269"/>
      <c r="R105" s="483"/>
    </row>
    <row r="106" spans="2:20" s="184" customFormat="1" ht="11.25" customHeight="1" x14ac:dyDescent="0.2">
      <c r="G106" s="269"/>
      <c r="H106" s="483"/>
      <c r="I106" s="483"/>
      <c r="J106" s="483"/>
      <c r="K106" s="483"/>
      <c r="Q106" s="269"/>
      <c r="R106" s="483"/>
    </row>
    <row r="107" spans="2:20" s="184" customFormat="1" ht="11.25" customHeight="1" x14ac:dyDescent="0.2">
      <c r="B107" s="509"/>
      <c r="C107" s="509"/>
      <c r="D107" s="509"/>
      <c r="E107" s="509"/>
      <c r="F107" s="509"/>
      <c r="G107" s="509"/>
      <c r="H107" s="509"/>
      <c r="I107" s="509"/>
      <c r="J107" s="509"/>
      <c r="K107" s="509"/>
      <c r="L107" s="509"/>
    </row>
    <row r="108" spans="2:20" s="184" customFormat="1" ht="11.25" customHeight="1" x14ac:dyDescent="0.2">
      <c r="B108" s="509"/>
      <c r="C108" s="509"/>
      <c r="D108" s="509"/>
      <c r="E108" s="509"/>
      <c r="F108" s="509"/>
      <c r="G108" s="509"/>
      <c r="H108" s="509"/>
      <c r="I108" s="509"/>
      <c r="J108" s="601" t="s">
        <v>309</v>
      </c>
      <c r="K108" s="601"/>
      <c r="L108" s="601"/>
    </row>
    <row r="109" spans="2:20" s="184" customFormat="1" ht="11.25" customHeight="1" x14ac:dyDescent="0.2">
      <c r="B109" s="509" t="s">
        <v>455</v>
      </c>
      <c r="C109" s="509"/>
      <c r="D109" s="509"/>
      <c r="E109" s="509"/>
      <c r="F109" s="509"/>
      <c r="G109" s="509"/>
      <c r="H109" s="510"/>
      <c r="I109" s="509"/>
      <c r="J109" s="601"/>
      <c r="K109" s="601"/>
      <c r="L109" s="601"/>
    </row>
    <row r="110" spans="2:20" s="184" customFormat="1" ht="11.25" customHeight="1" x14ac:dyDescent="0.2">
      <c r="B110" s="509"/>
      <c r="C110" s="509"/>
      <c r="D110" s="509"/>
      <c r="E110" s="509"/>
      <c r="F110" s="509"/>
      <c r="G110" s="509"/>
      <c r="H110" s="509"/>
      <c r="I110" s="509"/>
      <c r="J110" s="601"/>
      <c r="K110" s="601"/>
      <c r="L110" s="601"/>
    </row>
    <row r="111" spans="2:20" s="184" customFormat="1" ht="11.25" customHeight="1" x14ac:dyDescent="0.2">
      <c r="B111" s="509"/>
      <c r="C111" s="509"/>
      <c r="D111" s="509"/>
      <c r="E111" s="509"/>
      <c r="F111" s="509"/>
      <c r="G111" s="509"/>
      <c r="H111" s="509"/>
      <c r="I111" s="509"/>
      <c r="J111" s="601"/>
      <c r="K111" s="601"/>
      <c r="L111" s="601"/>
    </row>
    <row r="112" spans="2:20" s="184" customFormat="1" ht="11.25" customHeight="1" x14ac:dyDescent="0.2">
      <c r="B112" s="511"/>
      <c r="C112" s="509" t="s">
        <v>135</v>
      </c>
      <c r="D112" s="509"/>
      <c r="E112" s="509"/>
      <c r="F112" s="509"/>
      <c r="G112" s="509"/>
      <c r="H112" s="509"/>
      <c r="I112" s="509"/>
      <c r="J112" s="509"/>
      <c r="K112" s="509"/>
      <c r="L112" s="511"/>
    </row>
    <row r="113" spans="2:15" s="184" customFormat="1" ht="11.25" customHeight="1" x14ac:dyDescent="0.2">
      <c r="B113" s="511"/>
      <c r="C113" s="509" t="s">
        <v>42</v>
      </c>
      <c r="D113" s="509"/>
      <c r="E113" s="509"/>
      <c r="F113" s="509"/>
      <c r="G113" s="509"/>
      <c r="H113" s="509"/>
      <c r="I113" s="509"/>
      <c r="J113" s="509"/>
      <c r="K113" s="509"/>
      <c r="L113" s="511"/>
    </row>
    <row r="114" spans="2:15" s="184" customFormat="1" ht="11.25" customHeight="1" x14ac:dyDescent="0.2">
      <c r="B114" s="509"/>
      <c r="C114" s="509"/>
      <c r="D114" s="509"/>
      <c r="E114" s="509"/>
      <c r="F114" s="509"/>
      <c r="G114" s="509"/>
      <c r="H114" s="509"/>
      <c r="I114" s="509"/>
      <c r="J114" s="509"/>
      <c r="K114" s="509"/>
      <c r="L114" s="509"/>
    </row>
    <row r="115" spans="2:15" s="184" customFormat="1" ht="11.25" customHeight="1" x14ac:dyDescent="0.25">
      <c r="B115" s="512" t="s">
        <v>406</v>
      </c>
      <c r="C115" s="524"/>
      <c r="D115" s="524"/>
      <c r="E115" s="524"/>
      <c r="F115" s="509"/>
      <c r="G115" s="524"/>
      <c r="H115" s="525" t="s">
        <v>136</v>
      </c>
      <c r="I115" s="509"/>
      <c r="J115" s="509"/>
      <c r="K115" s="509"/>
      <c r="L115" s="509"/>
    </row>
    <row r="116" spans="2:15" s="184" customFormat="1" ht="11.25" customHeight="1" x14ac:dyDescent="0.2">
      <c r="B116" s="509"/>
      <c r="C116" s="509"/>
      <c r="D116" s="509"/>
      <c r="E116" s="509"/>
      <c r="F116" s="509"/>
      <c r="G116" s="509"/>
      <c r="H116" s="509"/>
      <c r="I116" s="509"/>
      <c r="J116" s="509"/>
      <c r="K116" s="509"/>
      <c r="L116" s="509"/>
    </row>
    <row r="117" spans="2:15" s="184" customFormat="1" ht="11.25" customHeight="1" x14ac:dyDescent="0.2">
      <c r="B117" s="514" t="s">
        <v>46</v>
      </c>
      <c r="C117" s="526">
        <v>0</v>
      </c>
      <c r="D117" s="516"/>
      <c r="E117" s="511" t="s">
        <v>46</v>
      </c>
      <c r="F117" s="509" t="s">
        <v>81</v>
      </c>
      <c r="G117" s="509"/>
      <c r="H117" s="509"/>
      <c r="I117" s="509"/>
      <c r="J117" s="509"/>
      <c r="K117" s="509"/>
      <c r="L117" s="509"/>
    </row>
    <row r="118" spans="2:15" s="184" customFormat="1" ht="11.25" customHeight="1" x14ac:dyDescent="0.2">
      <c r="B118" s="514"/>
      <c r="C118" s="526"/>
      <c r="D118" s="511"/>
      <c r="E118" s="511"/>
      <c r="F118" s="509"/>
      <c r="G118" s="509" t="s">
        <v>82</v>
      </c>
      <c r="H118" s="509"/>
      <c r="I118" s="509"/>
      <c r="J118" s="509"/>
      <c r="K118" s="509"/>
      <c r="L118" s="509"/>
    </row>
    <row r="119" spans="2:15" s="184" customFormat="1" ht="11.25" customHeight="1" x14ac:dyDescent="0.2">
      <c r="B119" s="514"/>
      <c r="C119" s="526"/>
      <c r="D119" s="511"/>
      <c r="E119" s="511"/>
      <c r="F119" s="509"/>
      <c r="G119" s="509"/>
      <c r="H119" s="509"/>
      <c r="I119" s="509"/>
      <c r="J119" s="509"/>
      <c r="K119" s="509"/>
      <c r="L119" s="509"/>
      <c r="M119" s="277"/>
      <c r="O119" s="269"/>
    </row>
    <row r="120" spans="2:15" s="184" customFormat="1" ht="11.25" customHeight="1" x14ac:dyDescent="0.2">
      <c r="B120" s="514" t="s">
        <v>53</v>
      </c>
      <c r="C120" s="526">
        <v>5</v>
      </c>
      <c r="D120" s="511"/>
      <c r="E120" s="511" t="s">
        <v>53</v>
      </c>
      <c r="F120" s="509" t="s">
        <v>83</v>
      </c>
      <c r="G120" s="509"/>
      <c r="H120" s="509"/>
      <c r="I120" s="509"/>
      <c r="J120" s="509"/>
      <c r="K120" s="509"/>
      <c r="L120" s="509"/>
      <c r="M120" s="277"/>
      <c r="O120" s="269"/>
    </row>
    <row r="121" spans="2:15" s="184" customFormat="1" ht="11.25" customHeight="1" x14ac:dyDescent="0.2">
      <c r="B121" s="514"/>
      <c r="C121" s="526"/>
      <c r="D121" s="511"/>
      <c r="E121" s="511"/>
      <c r="F121" s="509"/>
      <c r="G121" s="509" t="s">
        <v>84</v>
      </c>
      <c r="H121" s="509"/>
      <c r="I121" s="509"/>
      <c r="J121" s="509"/>
      <c r="K121" s="509"/>
      <c r="L121" s="509"/>
      <c r="M121" s="277"/>
      <c r="O121" s="269"/>
    </row>
    <row r="122" spans="2:15" s="184" customFormat="1" ht="11.25" customHeight="1" x14ac:dyDescent="0.2">
      <c r="B122" s="514"/>
      <c r="C122" s="526"/>
      <c r="D122" s="511"/>
      <c r="E122" s="511"/>
      <c r="F122" s="509"/>
      <c r="G122" s="509"/>
      <c r="H122" s="509"/>
      <c r="I122" s="509"/>
      <c r="J122" s="509"/>
      <c r="K122" s="509"/>
      <c r="L122" s="509"/>
      <c r="M122" s="277"/>
      <c r="O122" s="269"/>
    </row>
    <row r="123" spans="2:15" s="184" customFormat="1" ht="11.25" customHeight="1" x14ac:dyDescent="0.2">
      <c r="B123" s="514" t="s">
        <v>61</v>
      </c>
      <c r="C123" s="526">
        <v>10</v>
      </c>
      <c r="D123" s="518"/>
      <c r="E123" s="511" t="s">
        <v>61</v>
      </c>
      <c r="F123" s="509" t="s">
        <v>85</v>
      </c>
      <c r="G123" s="509"/>
      <c r="H123" s="509"/>
      <c r="I123" s="509"/>
      <c r="J123" s="509"/>
      <c r="K123" s="509"/>
      <c r="L123" s="509"/>
      <c r="M123" s="277"/>
      <c r="O123" s="269"/>
    </row>
    <row r="124" spans="2:15" s="184" customFormat="1" ht="11.25" customHeight="1" x14ac:dyDescent="0.2">
      <c r="B124" s="514"/>
      <c r="C124" s="515"/>
      <c r="D124" s="511"/>
      <c r="E124" s="511"/>
      <c r="F124" s="509"/>
      <c r="G124" s="509"/>
      <c r="H124" s="509"/>
      <c r="I124" s="509"/>
      <c r="J124" s="509"/>
      <c r="K124" s="509"/>
      <c r="L124" s="509"/>
      <c r="M124" s="277"/>
      <c r="O124" s="269"/>
    </row>
    <row r="125" spans="2:15" s="184" customFormat="1" ht="11.25" customHeight="1" x14ac:dyDescent="0.2">
      <c r="B125" s="509" t="s">
        <v>65</v>
      </c>
      <c r="C125" s="509"/>
      <c r="D125" s="509"/>
      <c r="E125" s="509"/>
      <c r="F125" s="509" t="s">
        <v>86</v>
      </c>
      <c r="G125" s="509"/>
      <c r="H125" s="509"/>
      <c r="I125" s="509"/>
      <c r="J125" s="509"/>
      <c r="K125" s="509"/>
      <c r="L125" s="509"/>
      <c r="M125" s="277"/>
      <c r="O125" s="269"/>
    </row>
    <row r="126" spans="2:15" s="184" customFormat="1" ht="11.25" customHeight="1" x14ac:dyDescent="0.2">
      <c r="B126" s="509"/>
      <c r="C126" s="509"/>
      <c r="D126" s="509"/>
      <c r="E126" s="509"/>
      <c r="F126" s="509" t="s">
        <v>87</v>
      </c>
      <c r="G126" s="509"/>
      <c r="H126" s="509"/>
      <c r="I126" s="509"/>
      <c r="J126" s="509"/>
      <c r="K126" s="509"/>
      <c r="L126" s="509"/>
      <c r="M126" s="277"/>
      <c r="N126" s="269"/>
      <c r="O126" s="269"/>
    </row>
    <row r="127" spans="2:15" s="184" customFormat="1" ht="11.25" customHeight="1" x14ac:dyDescent="0.2">
      <c r="B127" s="509"/>
      <c r="C127" s="509"/>
      <c r="D127" s="509"/>
      <c r="E127" s="509"/>
      <c r="F127" s="509"/>
      <c r="G127" s="509"/>
      <c r="H127" s="509"/>
      <c r="I127" s="509"/>
      <c r="J127" s="509"/>
      <c r="K127" s="509"/>
      <c r="L127" s="509"/>
      <c r="M127" s="277"/>
      <c r="N127" s="269"/>
      <c r="O127" s="269"/>
    </row>
    <row r="128" spans="2:15" s="184" customFormat="1" ht="11.25" customHeight="1" x14ac:dyDescent="0.2">
      <c r="B128" s="509"/>
      <c r="C128" s="509"/>
      <c r="D128" s="509"/>
      <c r="E128" s="509"/>
      <c r="F128" s="509"/>
      <c r="G128" s="509"/>
      <c r="H128" s="509"/>
      <c r="I128" s="527" t="s">
        <v>137</v>
      </c>
      <c r="J128" s="528"/>
      <c r="K128" s="529" t="s">
        <v>138</v>
      </c>
      <c r="L128" s="509"/>
      <c r="N128" s="269"/>
      <c r="O128" s="269"/>
    </row>
    <row r="129" spans="1:17" s="184" customFormat="1" ht="11.25" customHeight="1" x14ac:dyDescent="0.2">
      <c r="B129" s="511"/>
      <c r="C129" s="509"/>
      <c r="D129" s="509"/>
      <c r="E129" s="509"/>
      <c r="F129" s="509"/>
      <c r="G129" s="509"/>
      <c r="H129" s="530"/>
      <c r="I129" s="530"/>
      <c r="J129" s="530"/>
      <c r="K129" s="530"/>
      <c r="L129" s="509"/>
    </row>
    <row r="130" spans="1:17" s="184" customFormat="1" ht="11.25" customHeight="1" x14ac:dyDescent="0.2">
      <c r="B130" s="513" t="s">
        <v>139</v>
      </c>
      <c r="C130" s="509"/>
      <c r="D130" s="531"/>
      <c r="E130" s="525" t="s">
        <v>136</v>
      </c>
      <c r="F130" s="509"/>
      <c r="G130" s="509"/>
      <c r="H130" s="509"/>
      <c r="I130" s="531"/>
      <c r="J130" s="509"/>
      <c r="K130" s="532"/>
      <c r="L130" s="531"/>
    </row>
    <row r="131" spans="1:17" s="184" customFormat="1" ht="11.25" customHeight="1" x14ac:dyDescent="0.2">
      <c r="B131" s="533"/>
      <c r="C131" s="509"/>
      <c r="D131" s="534"/>
      <c r="E131" s="509"/>
      <c r="F131" s="509"/>
      <c r="G131" s="509"/>
      <c r="H131" s="509"/>
      <c r="I131" s="535"/>
      <c r="J131" s="536"/>
      <c r="K131" s="532"/>
      <c r="L131" s="531"/>
    </row>
    <row r="132" spans="1:17" s="184" customFormat="1" ht="11.25" customHeight="1" x14ac:dyDescent="0.2">
      <c r="B132" s="514" t="s">
        <v>46</v>
      </c>
      <c r="C132" s="526">
        <v>0</v>
      </c>
      <c r="D132" s="535"/>
      <c r="E132" s="509"/>
      <c r="F132" s="509"/>
      <c r="G132" s="509"/>
      <c r="H132" s="509"/>
      <c r="I132" s="535"/>
      <c r="J132" s="537"/>
      <c r="K132" s="530"/>
      <c r="L132" s="531"/>
    </row>
    <row r="133" spans="1:17" s="184" customFormat="1" ht="11.25" customHeight="1" x14ac:dyDescent="0.2">
      <c r="B133" s="514" t="s">
        <v>53</v>
      </c>
      <c r="C133" s="526">
        <v>5</v>
      </c>
      <c r="D133" s="509" t="s">
        <v>161</v>
      </c>
      <c r="E133" s="509"/>
      <c r="F133" s="509"/>
      <c r="G133" s="509"/>
      <c r="H133" s="509"/>
      <c r="I133" s="527" t="s">
        <v>162</v>
      </c>
      <c r="J133" s="528"/>
      <c r="K133" s="529" t="s">
        <v>138</v>
      </c>
      <c r="L133" s="531"/>
    </row>
    <row r="134" spans="1:17" s="184" customFormat="1" ht="11.25" customHeight="1" x14ac:dyDescent="0.2">
      <c r="B134" s="514" t="s">
        <v>61</v>
      </c>
      <c r="C134" s="526">
        <v>10</v>
      </c>
      <c r="D134" s="535"/>
      <c r="E134" s="509"/>
      <c r="F134" s="531"/>
      <c r="G134" s="531"/>
      <c r="H134" s="531"/>
      <c r="I134" s="531"/>
      <c r="J134" s="537"/>
      <c r="K134" s="530"/>
      <c r="L134" s="531"/>
    </row>
    <row r="135" spans="1:17" s="184" customFormat="1" ht="11.25" customHeight="1" x14ac:dyDescent="0.2">
      <c r="B135" s="509"/>
      <c r="C135" s="509"/>
      <c r="D135" s="535"/>
      <c r="E135" s="509"/>
      <c r="F135" s="531"/>
      <c r="G135" s="531"/>
      <c r="H135" s="531"/>
      <c r="I135" s="531"/>
      <c r="J135" s="538"/>
      <c r="K135" s="532"/>
      <c r="L135" s="531"/>
    </row>
    <row r="136" spans="1:17" s="184" customFormat="1" ht="11.25" customHeight="1" x14ac:dyDescent="0.2">
      <c r="A136" s="600"/>
      <c r="B136" s="509"/>
      <c r="C136" s="509"/>
      <c r="D136" s="535"/>
      <c r="E136" s="509"/>
      <c r="F136" s="531"/>
      <c r="G136" s="531"/>
      <c r="H136" s="531"/>
      <c r="I136" s="539" t="s">
        <v>189</v>
      </c>
      <c r="J136" s="528">
        <f>IF(STRUCTURE!F8&gt;18,18,STRUCTURE!F8)</f>
        <v>0</v>
      </c>
      <c r="K136" s="529" t="s">
        <v>138</v>
      </c>
      <c r="L136" s="531"/>
      <c r="Q136" s="269"/>
    </row>
    <row r="137" spans="1:17" s="184" customFormat="1" ht="11.25" customHeight="1" x14ac:dyDescent="0.2">
      <c r="A137" s="600"/>
      <c r="B137" s="509"/>
      <c r="C137" s="509"/>
      <c r="D137" s="535"/>
      <c r="E137" s="509"/>
      <c r="F137" s="531"/>
      <c r="G137" s="531"/>
      <c r="H137" s="531"/>
      <c r="I137" s="539"/>
      <c r="J137" s="537"/>
      <c r="K137" s="529"/>
      <c r="L137" s="531"/>
      <c r="Q137" s="269"/>
    </row>
    <row r="138" spans="1:17" s="184" customFormat="1" ht="11.25" customHeight="1" x14ac:dyDescent="0.2">
      <c r="A138" s="600"/>
      <c r="B138" s="509"/>
      <c r="C138" s="509"/>
      <c r="D138" s="535"/>
      <c r="E138" s="509"/>
      <c r="F138" s="531"/>
      <c r="G138" s="531"/>
      <c r="H138" s="531"/>
      <c r="I138" s="531"/>
      <c r="J138" s="540"/>
      <c r="K138" s="532"/>
      <c r="L138" s="531"/>
    </row>
    <row r="139" spans="1:17" s="184" customFormat="1" ht="11.25" customHeight="1" x14ac:dyDescent="0.2">
      <c r="A139" s="600"/>
      <c r="B139" s="541" t="s">
        <v>140</v>
      </c>
      <c r="C139" s="509"/>
      <c r="D139" s="509"/>
      <c r="E139" s="509"/>
      <c r="F139" s="509"/>
      <c r="G139" s="509"/>
      <c r="H139" s="509"/>
      <c r="I139" s="542" t="s">
        <v>141</v>
      </c>
      <c r="J139" s="509"/>
      <c r="K139" s="509"/>
      <c r="L139" s="509"/>
    </row>
    <row r="140" spans="1:17" s="184" customFormat="1" ht="11.25" customHeight="1" x14ac:dyDescent="0.2">
      <c r="A140" s="600"/>
      <c r="B140" s="509"/>
      <c r="C140" s="509"/>
      <c r="D140" s="509"/>
      <c r="E140" s="509"/>
      <c r="F140" s="509"/>
      <c r="G140" s="509"/>
      <c r="H140" s="509"/>
      <c r="I140" s="509"/>
      <c r="J140" s="509"/>
      <c r="K140" s="509"/>
      <c r="L140" s="509"/>
    </row>
    <row r="141" spans="1:17" s="184" customFormat="1" ht="11.25" customHeight="1" x14ac:dyDescent="0.2">
      <c r="A141" s="600"/>
      <c r="B141" s="543"/>
      <c r="C141" s="509" t="s">
        <v>142</v>
      </c>
      <c r="D141" s="509"/>
      <c r="E141" s="509"/>
      <c r="F141" s="509"/>
      <c r="G141" s="509"/>
      <c r="H141" s="509"/>
      <c r="I141" s="509"/>
      <c r="J141" s="509"/>
      <c r="K141" s="509"/>
      <c r="L141" s="509"/>
    </row>
    <row r="142" spans="1:17" s="184" customFormat="1" ht="11.25" customHeight="1" x14ac:dyDescent="0.2">
      <c r="A142" s="600"/>
      <c r="B142" s="509"/>
      <c r="C142" s="509"/>
      <c r="D142" s="509" t="s">
        <v>143</v>
      </c>
      <c r="E142" s="509"/>
      <c r="F142" s="509"/>
      <c r="G142" s="509"/>
      <c r="H142" s="509"/>
      <c r="I142" s="509"/>
      <c r="J142" s="509"/>
      <c r="K142" s="509"/>
      <c r="L142" s="509"/>
    </row>
    <row r="143" spans="1:17" s="184" customFormat="1" ht="11.25" customHeight="1" x14ac:dyDescent="0.2">
      <c r="A143" s="600"/>
      <c r="B143" s="509"/>
      <c r="C143" s="509" t="s">
        <v>3</v>
      </c>
      <c r="D143" s="509"/>
      <c r="E143" s="509"/>
      <c r="F143" s="509"/>
      <c r="G143" s="509"/>
      <c r="H143" s="509"/>
      <c r="I143" s="509"/>
      <c r="J143" s="509"/>
      <c r="K143" s="532"/>
      <c r="L143" s="509"/>
    </row>
    <row r="144" spans="1:17" s="184" customFormat="1" ht="11.25" customHeight="1" x14ac:dyDescent="0.2">
      <c r="A144" s="600"/>
      <c r="B144" s="509"/>
      <c r="C144" s="513" t="s">
        <v>0</v>
      </c>
      <c r="D144" s="509"/>
      <c r="E144" s="509"/>
      <c r="F144" s="509"/>
      <c r="G144" s="509"/>
      <c r="H144" s="509"/>
      <c r="I144" s="544" t="s">
        <v>160</v>
      </c>
      <c r="J144" s="545" t="s">
        <v>163</v>
      </c>
      <c r="K144" s="509"/>
      <c r="L144" s="509"/>
    </row>
    <row r="145" spans="1:16" s="184" customFormat="1" ht="11.25" customHeight="1" x14ac:dyDescent="0.2">
      <c r="A145" s="600"/>
      <c r="B145" s="546" t="s">
        <v>46</v>
      </c>
      <c r="C145" s="526">
        <v>3</v>
      </c>
      <c r="D145" s="509" t="s">
        <v>6</v>
      </c>
      <c r="E145" s="509"/>
      <c r="F145" s="531"/>
      <c r="G145" s="534"/>
      <c r="H145" s="535"/>
      <c r="I145" s="528" t="str">
        <f>IF(STRUCTURE!D15&lt;&gt;"","X","")</f>
        <v/>
      </c>
      <c r="J145" s="526" t="str">
        <f>IF(I145&lt;&gt;"",7,"")</f>
        <v/>
      </c>
      <c r="K145" s="547" t="str">
        <f>IF(J145="","",1)</f>
        <v/>
      </c>
      <c r="L145" s="509"/>
      <c r="O145" s="269"/>
    </row>
    <row r="146" spans="1:16" s="184" customFormat="1" ht="11.25" customHeight="1" x14ac:dyDescent="0.2">
      <c r="A146" s="600"/>
      <c r="B146" s="509"/>
      <c r="C146" s="526">
        <v>6</v>
      </c>
      <c r="D146" s="548" t="s">
        <v>214</v>
      </c>
      <c r="E146" s="509"/>
      <c r="F146" s="531"/>
      <c r="G146" s="534"/>
      <c r="H146" s="535"/>
      <c r="I146" s="528" t="str">
        <f>IF(STRUCTURE!D16&lt;&gt;"","X","")</f>
        <v/>
      </c>
      <c r="J146" s="526" t="str">
        <f>IF(I146&lt;&gt;"",9,"")</f>
        <v/>
      </c>
      <c r="K146" s="547" t="str">
        <f>IF(J146="","",1)</f>
        <v/>
      </c>
      <c r="L146" s="509"/>
      <c r="O146" s="269"/>
    </row>
    <row r="147" spans="1:16" s="184" customFormat="1" ht="11.25" customHeight="1" x14ac:dyDescent="0.2">
      <c r="A147" s="600"/>
      <c r="B147" s="514" t="s">
        <v>53</v>
      </c>
      <c r="C147" s="526">
        <v>9</v>
      </c>
      <c r="D147" s="548" t="s">
        <v>157</v>
      </c>
      <c r="E147" s="509"/>
      <c r="F147" s="531"/>
      <c r="G147" s="535"/>
      <c r="H147" s="535"/>
      <c r="I147" s="528" t="str">
        <f>IF(STRUCTURE!D17&lt;&gt;"","X","")</f>
        <v/>
      </c>
      <c r="J147" s="526" t="str">
        <f>IF(I147&lt;&gt;"",11,"")</f>
        <v/>
      </c>
      <c r="K147" s="547" t="str">
        <f>IF(J147="","",1)</f>
        <v/>
      </c>
      <c r="L147" s="509"/>
      <c r="O147" s="269"/>
      <c r="P147" s="269"/>
    </row>
    <row r="148" spans="1:16" s="184" customFormat="1" ht="11.25" customHeight="1" x14ac:dyDescent="0.2">
      <c r="A148" s="600"/>
      <c r="B148" s="531"/>
      <c r="C148" s="526">
        <v>12</v>
      </c>
      <c r="D148" s="548" t="s">
        <v>215</v>
      </c>
      <c r="E148" s="509"/>
      <c r="F148" s="549"/>
      <c r="G148" s="550"/>
      <c r="H148" s="550"/>
      <c r="I148" s="528" t="str">
        <f>IF(STRUCTURE!D18&lt;&gt;"","X","")</f>
        <v/>
      </c>
      <c r="J148" s="526" t="str">
        <f>IF(I148&lt;&gt;"",13,"")</f>
        <v/>
      </c>
      <c r="K148" s="547" t="str">
        <f>IF(J148="","",1)</f>
        <v/>
      </c>
      <c r="L148" s="509"/>
      <c r="O148" s="269"/>
    </row>
    <row r="149" spans="1:16" s="184" customFormat="1" ht="11.25" customHeight="1" x14ac:dyDescent="0.2">
      <c r="A149" s="600"/>
      <c r="B149" s="514" t="s">
        <v>61</v>
      </c>
      <c r="C149" s="526">
        <v>15</v>
      </c>
      <c r="D149" s="548" t="s">
        <v>216</v>
      </c>
      <c r="E149" s="509"/>
      <c r="F149" s="549"/>
      <c r="G149" s="550"/>
      <c r="H149" s="550"/>
      <c r="I149" s="528" t="str">
        <f>IF(STRUCTURE!D19&lt;&gt;"","X","")</f>
        <v/>
      </c>
      <c r="J149" s="526" t="str">
        <f>IF(I149&lt;&gt;"",15,"")</f>
        <v/>
      </c>
      <c r="K149" s="547" t="str">
        <f>IF(J149="","",1)</f>
        <v/>
      </c>
      <c r="L149" s="509"/>
      <c r="O149" s="269"/>
    </row>
    <row r="150" spans="1:16" s="184" customFormat="1" ht="11.25" customHeight="1" x14ac:dyDescent="0.2">
      <c r="A150" s="600"/>
      <c r="B150" s="531"/>
      <c r="C150" s="549"/>
      <c r="D150" s="531"/>
      <c r="E150" s="549"/>
      <c r="F150" s="549"/>
      <c r="G150" s="550"/>
      <c r="H150" s="550"/>
      <c r="I150" s="550"/>
      <c r="J150" s="551">
        <f>IF(K150&gt;1,0,SUM(J145:J149))</f>
        <v>0</v>
      </c>
      <c r="K150" s="547">
        <f>SUM(K145:K149)</f>
        <v>0</v>
      </c>
      <c r="L150" s="509"/>
      <c r="O150" s="269"/>
    </row>
    <row r="151" spans="1:16" s="184" customFormat="1" ht="11.25" customHeight="1" x14ac:dyDescent="0.2">
      <c r="A151" s="600"/>
      <c r="B151" s="509"/>
      <c r="C151" s="509"/>
      <c r="D151" s="509"/>
      <c r="E151" s="509"/>
      <c r="F151" s="509"/>
      <c r="G151" s="509"/>
      <c r="H151" s="509"/>
      <c r="I151" s="509"/>
      <c r="J151" s="509"/>
      <c r="K151" s="547" t="str">
        <f>IF(I149="","",1)</f>
        <v/>
      </c>
      <c r="L151" s="509"/>
      <c r="O151" s="269"/>
    </row>
    <row r="152" spans="1:16" s="184" customFormat="1" ht="11.25" customHeight="1" x14ac:dyDescent="0.2">
      <c r="A152" s="600"/>
      <c r="B152" s="509"/>
      <c r="C152" s="509"/>
      <c r="D152" s="509"/>
      <c r="E152" s="509"/>
      <c r="F152" s="509"/>
      <c r="G152" s="509"/>
      <c r="H152" s="509"/>
      <c r="I152" s="509"/>
      <c r="J152" s="509"/>
      <c r="K152" s="547">
        <f>SUM(K145:K151)</f>
        <v>0</v>
      </c>
      <c r="L152" s="509"/>
      <c r="O152" s="269"/>
    </row>
    <row r="153" spans="1:16" s="184" customFormat="1" ht="11.25" customHeight="1" x14ac:dyDescent="0.2">
      <c r="A153" s="600"/>
      <c r="B153" s="509"/>
      <c r="C153" s="509"/>
      <c r="D153" s="509"/>
      <c r="E153" s="509"/>
      <c r="F153" s="509"/>
      <c r="G153" s="509"/>
      <c r="H153" s="531"/>
      <c r="I153" s="531"/>
      <c r="J153" s="531"/>
      <c r="K153" s="531"/>
      <c r="L153" s="531"/>
    </row>
    <row r="154" spans="1:16" s="184" customFormat="1" ht="11.25" customHeight="1" x14ac:dyDescent="0.2">
      <c r="A154" s="600"/>
      <c r="B154" s="541" t="s">
        <v>405</v>
      </c>
      <c r="C154" s="552"/>
      <c r="D154" s="531"/>
      <c r="E154" s="531"/>
      <c r="F154" s="509"/>
      <c r="G154" s="553" t="s">
        <v>144</v>
      </c>
      <c r="H154" s="531"/>
      <c r="I154" s="531"/>
      <c r="J154" s="531"/>
      <c r="K154" s="531"/>
      <c r="L154" s="531"/>
    </row>
    <row r="155" spans="1:16" s="184" customFormat="1" ht="11.25" customHeight="1" x14ac:dyDescent="0.2">
      <c r="A155" s="600"/>
      <c r="B155" s="533"/>
      <c r="C155" s="552"/>
      <c r="D155" s="531"/>
      <c r="E155" s="530"/>
      <c r="F155" s="532"/>
      <c r="G155" s="531"/>
      <c r="H155" s="509"/>
      <c r="I155" s="531"/>
      <c r="J155" s="531"/>
      <c r="K155" s="531"/>
      <c r="L155" s="531"/>
    </row>
    <row r="156" spans="1:16" s="184" customFormat="1" ht="11.25" customHeight="1" x14ac:dyDescent="0.2">
      <c r="A156" s="600"/>
      <c r="B156" s="554" t="s">
        <v>145</v>
      </c>
      <c r="C156" s="544" t="s">
        <v>146</v>
      </c>
      <c r="D156" s="509"/>
      <c r="E156" s="521" t="s">
        <v>158</v>
      </c>
      <c r="F156" s="554" t="s">
        <v>159</v>
      </c>
      <c r="G156" s="531"/>
      <c r="H156" s="509"/>
      <c r="I156" s="531"/>
      <c r="J156" s="531"/>
      <c r="K156" s="531"/>
      <c r="L156" s="531"/>
    </row>
    <row r="157" spans="1:16" s="184" customFormat="1" ht="11.25" customHeight="1" x14ac:dyDescent="0.2">
      <c r="A157" s="600"/>
      <c r="B157" s="555" t="s">
        <v>147</v>
      </c>
      <c r="C157" s="528" t="str">
        <f>IF(STRUCTURE!J16&lt;&gt;"","X","")</f>
        <v/>
      </c>
      <c r="D157" s="509"/>
      <c r="E157" s="515">
        <v>4</v>
      </c>
      <c r="F157" s="556" t="str">
        <f>IF(C157&lt;&gt;"",4,"")</f>
        <v/>
      </c>
      <c r="G157" s="547" t="str">
        <f>IF(C157="","",1)</f>
        <v/>
      </c>
      <c r="H157" s="509"/>
      <c r="I157" s="535"/>
      <c r="J157" s="531"/>
      <c r="K157" s="535"/>
      <c r="L157" s="531"/>
    </row>
    <row r="158" spans="1:16" s="184" customFormat="1" ht="11.25" customHeight="1" x14ac:dyDescent="0.2">
      <c r="A158" s="600"/>
      <c r="B158" s="555" t="s">
        <v>148</v>
      </c>
      <c r="C158" s="528" t="str">
        <f>IF(STRUCTURE!J17&lt;&gt;"","X","")</f>
        <v/>
      </c>
      <c r="D158" s="509"/>
      <c r="E158" s="515">
        <v>7</v>
      </c>
      <c r="F158" s="556" t="str">
        <f>IF(C158&lt;&gt;"",7,"")</f>
        <v/>
      </c>
      <c r="G158" s="547" t="str">
        <f>IF(C158="","",1)</f>
        <v/>
      </c>
      <c r="H158" s="509"/>
      <c r="I158" s="535"/>
      <c r="J158" s="531"/>
      <c r="K158" s="531"/>
      <c r="L158" s="531"/>
    </row>
    <row r="159" spans="1:16" s="184" customFormat="1" ht="11.25" customHeight="1" x14ac:dyDescent="0.2">
      <c r="A159" s="600"/>
      <c r="B159" s="555" t="s">
        <v>149</v>
      </c>
      <c r="C159" s="528" t="str">
        <f>IF(STRUCTURE!J18&lt;&gt;"","X","")</f>
        <v/>
      </c>
      <c r="D159" s="509"/>
      <c r="E159" s="515">
        <v>11</v>
      </c>
      <c r="F159" s="556" t="str">
        <f>IF(C159&lt;&gt;"",11,"")</f>
        <v/>
      </c>
      <c r="G159" s="547" t="str">
        <f>IF(C159="","",1)</f>
        <v/>
      </c>
      <c r="H159" s="509"/>
      <c r="I159" s="509"/>
      <c r="J159" s="509"/>
      <c r="K159" s="509"/>
      <c r="L159" s="531"/>
    </row>
    <row r="160" spans="1:16" s="184" customFormat="1" ht="11.25" customHeight="1" x14ac:dyDescent="0.2">
      <c r="A160" s="600"/>
      <c r="B160" s="555" t="s">
        <v>150</v>
      </c>
      <c r="C160" s="528" t="str">
        <f>IF(STRUCTURE!J19&lt;&gt;"","X","")</f>
        <v/>
      </c>
      <c r="D160" s="509"/>
      <c r="E160" s="557">
        <v>15</v>
      </c>
      <c r="F160" s="558" t="str">
        <f>IF(C160&lt;&gt;"",15,"")</f>
        <v/>
      </c>
      <c r="G160" s="547" t="str">
        <f>IF(C160="","",1)</f>
        <v/>
      </c>
      <c r="H160" s="509"/>
      <c r="I160" s="509"/>
      <c r="J160" s="509"/>
      <c r="K160" s="509"/>
      <c r="L160" s="531"/>
    </row>
    <row r="161" spans="1:20" s="184" customFormat="1" ht="11.25" customHeight="1" x14ac:dyDescent="0.2">
      <c r="A161" s="600"/>
      <c r="B161" s="555"/>
      <c r="C161" s="559"/>
      <c r="D161" s="509"/>
      <c r="E161" s="557"/>
      <c r="F161" s="556">
        <f>IF(G161&gt;1,0,SUM(F157:F160))</f>
        <v>0</v>
      </c>
      <c r="G161" s="547">
        <f>SUM(G157:G160)</f>
        <v>0</v>
      </c>
      <c r="H161" s="509"/>
      <c r="I161" s="509"/>
      <c r="J161" s="509"/>
      <c r="K161" s="509"/>
      <c r="L161" s="531"/>
    </row>
    <row r="162" spans="1:20" s="184" customFormat="1" ht="11.25" customHeight="1" x14ac:dyDescent="0.2">
      <c r="A162" s="600"/>
      <c r="B162" s="555"/>
      <c r="C162" s="537"/>
      <c r="D162" s="530"/>
      <c r="E162" s="515"/>
      <c r="F162" s="530"/>
      <c r="G162" s="511"/>
      <c r="H162" s="509"/>
      <c r="I162" s="509"/>
      <c r="J162" s="509"/>
      <c r="K162" s="509"/>
      <c r="L162" s="509"/>
    </row>
    <row r="163" spans="1:20" s="184" customFormat="1" ht="11.25" customHeight="1" x14ac:dyDescent="0.2">
      <c r="A163" s="600"/>
      <c r="B163" s="509"/>
      <c r="C163" s="560"/>
      <c r="D163" s="509"/>
      <c r="E163" s="509"/>
      <c r="F163" s="530"/>
      <c r="G163" s="511"/>
      <c r="H163" s="509" t="s">
        <v>164</v>
      </c>
      <c r="I163" s="509"/>
      <c r="J163" s="519">
        <f>J136</f>
        <v>0</v>
      </c>
      <c r="K163" s="561" t="s">
        <v>113</v>
      </c>
      <c r="L163" s="509"/>
      <c r="Q163" s="269"/>
      <c r="T163" s="269"/>
    </row>
    <row r="164" spans="1:20" s="184" customFormat="1" ht="11.25" customHeight="1" x14ac:dyDescent="0.2">
      <c r="A164" s="600"/>
      <c r="B164" s="509"/>
      <c r="C164" s="560"/>
      <c r="D164" s="509"/>
      <c r="E164" s="509"/>
      <c r="F164" s="530"/>
      <c r="G164" s="509"/>
      <c r="H164" s="509" t="s">
        <v>151</v>
      </c>
      <c r="I164" s="509"/>
      <c r="J164" s="520">
        <f>J150</f>
        <v>0</v>
      </c>
      <c r="K164" s="509"/>
      <c r="L164" s="530"/>
      <c r="Q164" s="269"/>
      <c r="T164" s="269"/>
    </row>
    <row r="165" spans="1:20" s="184" customFormat="1" ht="11.25" customHeight="1" x14ac:dyDescent="0.2">
      <c r="B165" s="509"/>
      <c r="C165" s="530"/>
      <c r="D165" s="509"/>
      <c r="E165" s="509"/>
      <c r="F165" s="530"/>
      <c r="G165" s="521" t="s">
        <v>153</v>
      </c>
      <c r="H165" s="509" t="s">
        <v>154</v>
      </c>
      <c r="I165" s="509"/>
      <c r="J165" s="519">
        <f>IF(AND('TRAFFIC &amp; ACCIDENTS'!E10=7,STRUCTURE!F8&lt;&gt;""),2,0)</f>
        <v>0</v>
      </c>
      <c r="K165" s="562"/>
      <c r="L165" s="530"/>
      <c r="N165" s="269"/>
      <c r="Q165" s="269"/>
      <c r="T165" s="269"/>
    </row>
    <row r="166" spans="1:20" s="184" customFormat="1" ht="11.25" customHeight="1" x14ac:dyDescent="0.2">
      <c r="B166" s="509"/>
      <c r="C166" s="563"/>
      <c r="D166" s="509"/>
      <c r="E166" s="509"/>
      <c r="F166" s="530"/>
      <c r="G166" s="530"/>
      <c r="H166" s="509" t="s">
        <v>152</v>
      </c>
      <c r="I166" s="509"/>
      <c r="J166" s="520">
        <f>SUM(F157:F160)</f>
        <v>0</v>
      </c>
      <c r="K166" s="562"/>
      <c r="L166" s="530"/>
      <c r="N166" s="269"/>
      <c r="Q166" s="269"/>
      <c r="T166" s="269"/>
    </row>
    <row r="167" spans="1:20" s="184" customFormat="1" ht="11.25" customHeight="1" x14ac:dyDescent="0.2">
      <c r="B167" s="509"/>
      <c r="C167" s="509"/>
      <c r="D167" s="509"/>
      <c r="E167" s="509"/>
      <c r="F167" s="509"/>
      <c r="G167" s="530"/>
      <c r="H167" s="511"/>
      <c r="I167" s="530"/>
      <c r="J167" s="530"/>
      <c r="K167" s="509"/>
      <c r="L167" s="530"/>
      <c r="N167" s="269"/>
      <c r="Q167" s="269"/>
      <c r="R167" s="269"/>
      <c r="T167" s="269"/>
    </row>
    <row r="168" spans="1:20" s="184" customFormat="1" ht="11.25" customHeight="1" x14ac:dyDescent="0.2">
      <c r="B168" s="509"/>
      <c r="C168" s="509"/>
      <c r="D168" s="509"/>
      <c r="E168" s="509"/>
      <c r="F168" s="509"/>
      <c r="G168" s="530"/>
      <c r="H168" s="530"/>
      <c r="I168" s="521" t="s">
        <v>155</v>
      </c>
      <c r="J168" s="564">
        <f>SUM(J163:J166)</f>
        <v>0</v>
      </c>
      <c r="K168" s="530"/>
      <c r="L168" s="530"/>
      <c r="N168" s="269"/>
      <c r="Q168" s="269"/>
      <c r="R168" s="269"/>
      <c r="T168" s="269"/>
    </row>
  </sheetData>
  <sheetProtection algorithmName="SHA-512" hashValue="Owyz+CZqMHIo93ukQmw5htvImbDO6ot5bty8VnS/rfDo2eGKmpiKHJ4IIMKD9zopxL5RDdWFJSVGhtM0Rr/okg==" saltValue="YAjkFIDtdr64sPxWilhbSw==" spinCount="100000" sheet="1" selectLockedCells="1"/>
  <mergeCells count="6">
    <mergeCell ref="I5:J5"/>
    <mergeCell ref="A136:A164"/>
    <mergeCell ref="A43:A75"/>
    <mergeCell ref="I46:L49"/>
    <mergeCell ref="J108:L111"/>
    <mergeCell ref="F14:G14"/>
  </mergeCells>
  <hyperlinks>
    <hyperlink ref="F14:G14" location="USCS!A1" display="See USCS sheet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63"/>
  <sheetViews>
    <sheetView showGridLines="0" zoomScale="82" zoomScaleNormal="82" workbookViewId="0">
      <selection activeCell="D33" sqref="D33"/>
    </sheetView>
  </sheetViews>
  <sheetFormatPr defaultRowHeight="12.75" x14ac:dyDescent="0.2"/>
  <cols>
    <col min="1" max="1" width="3.140625" style="147" customWidth="1"/>
    <col min="2" max="13" width="7.7109375" style="147" customWidth="1"/>
    <col min="14" max="14" width="8.42578125" style="147" customWidth="1"/>
    <col min="15" max="15" width="7.5703125" style="147" customWidth="1"/>
    <col min="16" max="16" width="6.28515625" style="147" customWidth="1"/>
    <col min="17" max="17" width="9.140625" style="147" customWidth="1"/>
    <col min="18" max="16384" width="9.140625" style="147"/>
  </cols>
  <sheetData>
    <row r="2" spans="2:16" ht="13.5" thickBot="1" x14ac:dyDescent="0.25"/>
    <row r="3" spans="2:16" x14ac:dyDescent="0.2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2:16" x14ac:dyDescent="0.2">
      <c r="B4" s="145" t="s">
        <v>440</v>
      </c>
      <c r="C4" s="40"/>
      <c r="D4" s="2"/>
      <c r="E4" s="2"/>
      <c r="F4" s="2"/>
      <c r="G4" s="3"/>
      <c r="H4" s="3"/>
      <c r="I4" s="604" t="s">
        <v>449</v>
      </c>
      <c r="J4" s="604"/>
      <c r="K4" s="604"/>
      <c r="L4" s="604"/>
      <c r="M4" s="39"/>
      <c r="N4" s="146"/>
    </row>
    <row r="5" spans="2:16" x14ac:dyDescent="0.2">
      <c r="B5" s="85"/>
      <c r="C5" s="78" t="s">
        <v>179</v>
      </c>
      <c r="D5" s="91" t="s">
        <v>134</v>
      </c>
      <c r="E5" s="40"/>
      <c r="F5" s="2"/>
      <c r="G5" s="3"/>
      <c r="H5" s="3"/>
      <c r="I5" s="40"/>
      <c r="J5" s="3"/>
      <c r="K5" s="73" t="s">
        <v>192</v>
      </c>
      <c r="L5" s="26" t="s">
        <v>190</v>
      </c>
      <c r="M5" s="58"/>
      <c r="N5" s="219" t="s">
        <v>212</v>
      </c>
      <c r="O5" s="151"/>
      <c r="P5" s="151"/>
    </row>
    <row r="6" spans="2:16" x14ac:dyDescent="0.2">
      <c r="B6" s="85"/>
      <c r="C6" s="40"/>
      <c r="D6" s="217"/>
      <c r="E6" s="26" t="s">
        <v>105</v>
      </c>
      <c r="F6" s="40"/>
      <c r="G6" s="3"/>
      <c r="H6" s="3"/>
      <c r="I6" s="3"/>
      <c r="J6" s="227" t="s">
        <v>420</v>
      </c>
      <c r="K6" s="218"/>
      <c r="L6" s="218"/>
      <c r="M6" s="59"/>
      <c r="N6" s="220" t="str">
        <f>GEOMETRY!C51</f>
        <v/>
      </c>
      <c r="O6" s="151"/>
      <c r="P6" s="151"/>
    </row>
    <row r="7" spans="2:16" x14ac:dyDescent="0.2">
      <c r="B7" s="85"/>
      <c r="C7" s="40"/>
      <c r="D7" s="218"/>
      <c r="E7" s="26" t="s">
        <v>106</v>
      </c>
      <c r="F7" s="40"/>
      <c r="G7" s="3"/>
      <c r="H7" s="3"/>
      <c r="I7" s="3"/>
      <c r="J7" s="226" t="s">
        <v>419</v>
      </c>
      <c r="K7" s="225"/>
      <c r="L7" s="218"/>
      <c r="M7" s="59"/>
      <c r="N7" s="220" t="str">
        <f>GEOMETRY!K51</f>
        <v/>
      </c>
      <c r="P7" s="152"/>
    </row>
    <row r="8" spans="2:16" x14ac:dyDescent="0.2">
      <c r="B8" s="85"/>
      <c r="C8" s="40"/>
      <c r="D8" s="218"/>
      <c r="E8" s="26" t="s">
        <v>107</v>
      </c>
      <c r="F8" s="40"/>
      <c r="G8" s="40"/>
      <c r="H8" s="40"/>
      <c r="I8" s="40"/>
      <c r="J8" s="40"/>
      <c r="K8" s="40"/>
      <c r="L8" s="40"/>
      <c r="M8" s="40"/>
      <c r="N8" s="146"/>
      <c r="P8" s="152"/>
    </row>
    <row r="9" spans="2:16" x14ac:dyDescent="0.2">
      <c r="B9" s="85"/>
      <c r="C9" s="40"/>
      <c r="D9" s="4"/>
      <c r="E9" s="26"/>
      <c r="F9" s="40"/>
      <c r="G9" s="74" t="s">
        <v>434</v>
      </c>
      <c r="H9" s="38" t="str">
        <f>GEOMETRY!V91</f>
        <v/>
      </c>
      <c r="I9" s="3" t="s">
        <v>435</v>
      </c>
      <c r="J9" s="40"/>
      <c r="K9" s="40"/>
      <c r="L9" s="40"/>
      <c r="M9" s="40"/>
      <c r="N9" s="146"/>
      <c r="P9" s="152"/>
    </row>
    <row r="10" spans="2:16" x14ac:dyDescent="0.2">
      <c r="B10" s="85"/>
      <c r="C10" s="40"/>
      <c r="D10" s="4"/>
      <c r="E10" s="26"/>
      <c r="F10" s="40"/>
      <c r="G10" s="40"/>
      <c r="H10" s="40"/>
      <c r="I10" s="40"/>
      <c r="J10" s="40"/>
      <c r="K10" s="40"/>
      <c r="L10" s="40"/>
      <c r="M10" s="40"/>
      <c r="N10" s="146"/>
      <c r="P10" s="152"/>
    </row>
    <row r="11" spans="2:16" ht="15.75" x14ac:dyDescent="0.25">
      <c r="B11" s="85"/>
      <c r="C11" s="40"/>
      <c r="D11" s="4"/>
      <c r="E11" s="613" t="s">
        <v>355</v>
      </c>
      <c r="F11" s="613"/>
      <c r="G11" s="613"/>
      <c r="H11" s="613"/>
      <c r="I11" s="613"/>
      <c r="J11" s="613"/>
      <c r="K11" s="40"/>
      <c r="L11" s="40"/>
      <c r="M11" s="40"/>
      <c r="N11" s="146"/>
      <c r="P11" s="152"/>
    </row>
    <row r="12" spans="2:16" x14ac:dyDescent="0.2">
      <c r="B12" s="85"/>
      <c r="C12" s="40"/>
      <c r="D12" s="603" t="s">
        <v>448</v>
      </c>
      <c r="E12" s="603"/>
      <c r="F12" s="603"/>
      <c r="G12" s="603"/>
      <c r="H12" s="603"/>
      <c r="I12" s="603"/>
      <c r="J12" s="603"/>
      <c r="K12" s="603"/>
      <c r="L12" s="3"/>
      <c r="M12" s="3"/>
      <c r="N12" s="146"/>
      <c r="P12" s="152"/>
    </row>
    <row r="13" spans="2:16" x14ac:dyDescent="0.2">
      <c r="B13" s="85"/>
      <c r="C13" s="40"/>
      <c r="D13" s="499"/>
      <c r="E13" s="499"/>
      <c r="F13" s="499"/>
      <c r="G13" s="499"/>
      <c r="H13" s="499"/>
      <c r="I13" s="499"/>
      <c r="J13" s="499"/>
      <c r="K13" s="499"/>
      <c r="L13" s="500"/>
      <c r="M13" s="500"/>
      <c r="N13" s="146"/>
      <c r="P13" s="152"/>
    </row>
    <row r="14" spans="2:16" x14ac:dyDescent="0.2">
      <c r="B14" s="85"/>
      <c r="C14" s="609" t="s">
        <v>132</v>
      </c>
      <c r="D14" s="609"/>
      <c r="E14" s="609"/>
      <c r="F14" s="499"/>
      <c r="G14" s="499"/>
      <c r="H14" s="499"/>
      <c r="I14" s="499"/>
      <c r="J14" s="602" t="s">
        <v>397</v>
      </c>
      <c r="K14" s="602"/>
      <c r="L14" s="602"/>
      <c r="M14" s="500"/>
      <c r="N14" s="146"/>
      <c r="P14" s="152"/>
    </row>
    <row r="15" spans="2:16" ht="12.75" customHeight="1" x14ac:dyDescent="0.2">
      <c r="B15" s="85"/>
      <c r="C15" s="614" t="s">
        <v>453</v>
      </c>
      <c r="D15" s="614"/>
      <c r="E15" s="614"/>
      <c r="F15" s="499"/>
      <c r="G15" s="499"/>
      <c r="H15" s="499"/>
      <c r="I15" s="499"/>
      <c r="J15" s="614" t="s">
        <v>452</v>
      </c>
      <c r="K15" s="614"/>
      <c r="L15" s="614"/>
      <c r="M15" s="500"/>
      <c r="N15" s="146"/>
      <c r="P15" s="152"/>
    </row>
    <row r="16" spans="2:16" x14ac:dyDescent="0.2">
      <c r="B16" s="85"/>
      <c r="C16" s="614"/>
      <c r="D16" s="614"/>
      <c r="E16" s="614"/>
      <c r="F16" s="40"/>
      <c r="G16" s="3"/>
      <c r="H16" s="3"/>
      <c r="I16" s="3"/>
      <c r="J16" s="614"/>
      <c r="K16" s="614"/>
      <c r="L16" s="614"/>
      <c r="M16" s="9"/>
      <c r="N16" s="146"/>
      <c r="P16" s="152"/>
    </row>
    <row r="17" spans="2:16" x14ac:dyDescent="0.2">
      <c r="B17" s="85"/>
      <c r="C17" s="501"/>
      <c r="D17" s="501"/>
      <c r="E17" s="501"/>
      <c r="F17" s="40"/>
      <c r="G17" s="500"/>
      <c r="H17" s="500"/>
      <c r="I17" s="500"/>
      <c r="J17" s="498"/>
      <c r="K17" s="498"/>
      <c r="L17" s="498"/>
      <c r="M17" s="9"/>
      <c r="N17" s="146"/>
      <c r="P17" s="152"/>
    </row>
    <row r="18" spans="2:16" x14ac:dyDescent="0.2">
      <c r="B18" s="85"/>
      <c r="C18" s="10" t="s">
        <v>3</v>
      </c>
      <c r="D18" s="19">
        <f>IF('RC RATING SUMMARY'!F6=0,0,GEOMETRY!L86*F36)</f>
        <v>0</v>
      </c>
      <c r="E18" s="138"/>
      <c r="F18" s="40"/>
      <c r="G18" s="92"/>
      <c r="H18" s="92"/>
      <c r="I18" s="298" t="s">
        <v>430</v>
      </c>
      <c r="J18" s="112" t="str">
        <f>H9</f>
        <v/>
      </c>
      <c r="K18" s="99" t="s">
        <v>398</v>
      </c>
      <c r="L18" s="3"/>
      <c r="M18" s="9"/>
      <c r="N18" s="221"/>
      <c r="O18" s="287"/>
      <c r="P18" s="152"/>
    </row>
    <row r="19" spans="2:16" x14ac:dyDescent="0.2">
      <c r="B19" s="611"/>
      <c r="C19" s="608"/>
      <c r="D19" s="608"/>
      <c r="E19" s="608"/>
      <c r="F19" s="42" t="s">
        <v>279</v>
      </c>
      <c r="G19" s="40"/>
      <c r="H19" s="40"/>
      <c r="I19" s="612" t="s">
        <v>274</v>
      </c>
      <c r="J19" s="19">
        <f>IF(GEOMETRY!K156*L36&gt;10,10,GEOMETRY!K156*L36)</f>
        <v>0</v>
      </c>
      <c r="K19" s="99" t="s">
        <v>399</v>
      </c>
      <c r="L19" s="9"/>
      <c r="M19" s="9"/>
      <c r="N19" s="146"/>
      <c r="O19" s="288"/>
    </row>
    <row r="20" spans="2:16" x14ac:dyDescent="0.2">
      <c r="B20" s="611"/>
      <c r="C20" s="58" t="s">
        <v>268</v>
      </c>
      <c r="D20" s="62" t="s">
        <v>122</v>
      </c>
      <c r="E20" s="58" t="s">
        <v>90</v>
      </c>
      <c r="F20" s="58" t="s">
        <v>123</v>
      </c>
      <c r="G20" s="58" t="s">
        <v>269</v>
      </c>
      <c r="H20" s="58"/>
      <c r="I20" s="612"/>
      <c r="J20" s="113" t="s">
        <v>381</v>
      </c>
      <c r="K20" s="42" t="s">
        <v>90</v>
      </c>
      <c r="L20" s="99" t="s">
        <v>400</v>
      </c>
      <c r="M20" s="99"/>
      <c r="N20" s="222"/>
      <c r="O20" s="289"/>
      <c r="P20" s="151"/>
    </row>
    <row r="21" spans="2:16" x14ac:dyDescent="0.2">
      <c r="B21" s="611"/>
      <c r="C21" s="63" t="s">
        <v>111</v>
      </c>
      <c r="D21" s="62" t="s">
        <v>133</v>
      </c>
      <c r="E21" s="58" t="s">
        <v>103</v>
      </c>
      <c r="F21" s="63" t="s">
        <v>267</v>
      </c>
      <c r="G21" s="63" t="s">
        <v>103</v>
      </c>
      <c r="H21" s="63"/>
      <c r="I21" s="612"/>
      <c r="J21" s="114" t="s">
        <v>401</v>
      </c>
      <c r="K21" s="42" t="s">
        <v>103</v>
      </c>
      <c r="L21" s="115" t="s">
        <v>402</v>
      </c>
      <c r="M21" s="115"/>
      <c r="N21" s="223"/>
      <c r="O21" s="290"/>
    </row>
    <row r="22" spans="2:16" ht="15" customHeight="1" x14ac:dyDescent="0.2">
      <c r="B22" s="64" t="str">
        <f>IF(AND(E22&lt;&gt;0,E22&lt;$H$9),"*","")</f>
        <v/>
      </c>
      <c r="C22" s="294"/>
      <c r="D22" s="294"/>
      <c r="E22" s="294"/>
      <c r="F22" s="93">
        <f>IF(H9="",0,IF(AND(E22&gt;=G22,G22&lt;H9,E22&lt;&gt;0),H22*(D22/F37),""))</f>
        <v>0</v>
      </c>
      <c r="G22" s="9" t="str">
        <f>GEOMETRY!F98</f>
        <v/>
      </c>
      <c r="H22" s="122">
        <f>IF(E22&gt;=H9,1,(E22-G22)/(H9-G22))</f>
        <v>1</v>
      </c>
      <c r="I22" s="9">
        <v>1</v>
      </c>
      <c r="J22" s="116"/>
      <c r="K22" s="116"/>
      <c r="L22" s="117" t="str">
        <f>IF(AND(K22&gt;=J22,J22&lt;H9,K22&lt;&gt;0),M22,"")</f>
        <v/>
      </c>
      <c r="M22" s="122" t="e">
        <f>IF(K22&gt;H9,1,(K22-J22)/(H9-J22))</f>
        <v>#VALUE!</v>
      </c>
      <c r="N22" s="224"/>
      <c r="O22" s="152"/>
    </row>
    <row r="23" spans="2:16" ht="15" customHeight="1" x14ac:dyDescent="0.2">
      <c r="B23" s="64" t="str">
        <f t="shared" ref="B23:B35" si="0">IF(AND(E23&lt;&gt;0,E23&lt;$H$9),"*","")</f>
        <v/>
      </c>
      <c r="C23" s="294"/>
      <c r="D23" s="294"/>
      <c r="E23" s="294"/>
      <c r="F23" s="93">
        <f>IF(H9="",0,IF(AND(E23&gt;=G23,G23&lt;H9,E23&lt;&gt;0),H23*(D23/F37),""))</f>
        <v>0</v>
      </c>
      <c r="G23" s="9" t="str">
        <f>GEOMETRY!F99</f>
        <v/>
      </c>
      <c r="H23" s="122">
        <f>IF(E23&gt;=H9,1,(E23-G23)/(H9-G23))</f>
        <v>1</v>
      </c>
      <c r="I23" s="9">
        <v>2</v>
      </c>
      <c r="J23" s="116"/>
      <c r="K23" s="116"/>
      <c r="L23" s="117" t="str">
        <f>IF(AND(K23&gt;=J23,J23&lt;H9,K23&lt;&gt;0),M23,"")</f>
        <v/>
      </c>
      <c r="M23" s="122" t="e">
        <f>IF(K23&gt;H9,1,(K23-J23)/(H9-J23))</f>
        <v>#VALUE!</v>
      </c>
      <c r="N23" s="224"/>
      <c r="O23" s="152"/>
    </row>
    <row r="24" spans="2:16" ht="15" customHeight="1" x14ac:dyDescent="0.2">
      <c r="B24" s="64" t="str">
        <f t="shared" si="0"/>
        <v/>
      </c>
      <c r="C24" s="294"/>
      <c r="D24" s="294"/>
      <c r="E24" s="294"/>
      <c r="F24" s="93">
        <f>IF(H9="",0,IF(AND(E24&gt;=G24,G24&lt;H9,E24&lt;&gt;0),H24*(D24/F37),""))</f>
        <v>0</v>
      </c>
      <c r="G24" s="9" t="str">
        <f>GEOMETRY!F100</f>
        <v/>
      </c>
      <c r="H24" s="122">
        <f>IF(E24&gt;=H9,1,(E24-G24)/(H9-G24))</f>
        <v>1</v>
      </c>
      <c r="I24" s="9">
        <v>3</v>
      </c>
      <c r="J24" s="116"/>
      <c r="K24" s="116"/>
      <c r="L24" s="117" t="str">
        <f>IF(AND(K24&gt;=J24,J24&lt;H9,K24&lt;&gt;0),M24,"")</f>
        <v/>
      </c>
      <c r="M24" s="122" t="e">
        <f>IF(K24&gt;H9,1,(K24-J24)/(H9-J24))</f>
        <v>#VALUE!</v>
      </c>
      <c r="N24" s="224"/>
      <c r="O24" s="152"/>
    </row>
    <row r="25" spans="2:16" ht="15" customHeight="1" x14ac:dyDescent="0.2">
      <c r="B25" s="64" t="str">
        <f t="shared" si="0"/>
        <v/>
      </c>
      <c r="C25" s="294"/>
      <c r="D25" s="294"/>
      <c r="E25" s="294"/>
      <c r="F25" s="93">
        <f>IF(H9="",0,IF(AND(E25&gt;=G25,G25&lt;H9,E25&lt;&gt;0),H25*(D25/F37),""))</f>
        <v>0</v>
      </c>
      <c r="G25" s="9" t="str">
        <f>GEOMETRY!F101</f>
        <v/>
      </c>
      <c r="H25" s="122">
        <f>IF(E25&gt;=H9,1,(E25-G25)/(H9-G25))</f>
        <v>1</v>
      </c>
      <c r="I25" s="4">
        <v>4</v>
      </c>
      <c r="J25" s="116"/>
      <c r="K25" s="116"/>
      <c r="L25" s="117" t="str">
        <f>IF(AND(K25&gt;=J25,J25&lt;H9,K25&lt;&gt;0),M25,"")</f>
        <v/>
      </c>
      <c r="M25" s="122" t="e">
        <f>IF(K25&gt;H9,1,(K25-J25)/(H9-J25))</f>
        <v>#VALUE!</v>
      </c>
      <c r="N25" s="224"/>
      <c r="O25" s="152"/>
    </row>
    <row r="26" spans="2:16" ht="15" customHeight="1" x14ac:dyDescent="0.2">
      <c r="B26" s="64" t="str">
        <f t="shared" si="0"/>
        <v/>
      </c>
      <c r="C26" s="294"/>
      <c r="D26" s="294"/>
      <c r="E26" s="294"/>
      <c r="F26" s="93">
        <f>IF(H9="",0,IF(AND(E26&gt;=G26,G26&lt;H9,E26&lt;&gt;0),H26*(D26/F37),""))</f>
        <v>0</v>
      </c>
      <c r="G26" s="9" t="str">
        <f>GEOMETRY!F102</f>
        <v/>
      </c>
      <c r="H26" s="122">
        <f>IF(E26&gt;=H9,1,(E26-G26)/(H9-G26))</f>
        <v>1</v>
      </c>
      <c r="I26" s="4">
        <v>5</v>
      </c>
      <c r="J26" s="116"/>
      <c r="K26" s="116"/>
      <c r="L26" s="117" t="str">
        <f>IF(AND(K26&gt;=J26,J26&lt;H9,K26&lt;&gt;0),M26,"")</f>
        <v/>
      </c>
      <c r="M26" s="122" t="e">
        <f>IF(K26&gt;H9,1,(K26-J26)/(H9-J26))</f>
        <v>#VALUE!</v>
      </c>
      <c r="N26" s="224"/>
      <c r="O26" s="152"/>
    </row>
    <row r="27" spans="2:16" ht="15" customHeight="1" x14ac:dyDescent="0.2">
      <c r="B27" s="64" t="str">
        <f t="shared" si="0"/>
        <v/>
      </c>
      <c r="C27" s="294"/>
      <c r="D27" s="294"/>
      <c r="E27" s="294"/>
      <c r="F27" s="93">
        <f>IF(H9="",0,IF(AND(E27&gt;=G27,G27&lt;H9,E27&lt;&gt;0),H27*(D27/F37),""))</f>
        <v>0</v>
      </c>
      <c r="G27" s="9" t="str">
        <f>GEOMETRY!F103</f>
        <v/>
      </c>
      <c r="H27" s="122">
        <f>IF(E27&gt;=H9,1,(E27-G27)/(H9-G27))</f>
        <v>1</v>
      </c>
      <c r="I27" s="4">
        <v>6</v>
      </c>
      <c r="J27" s="116"/>
      <c r="K27" s="116"/>
      <c r="L27" s="117" t="str">
        <f>IF(AND(K27&gt;=J27,J27&lt;H9,K27&lt;&gt;0),M27,"")</f>
        <v/>
      </c>
      <c r="M27" s="122" t="e">
        <f>IF(K27&gt;H9,1,(K27-J27)/(H9-J27))</f>
        <v>#VALUE!</v>
      </c>
      <c r="N27" s="224"/>
      <c r="O27" s="152"/>
    </row>
    <row r="28" spans="2:16" ht="15" customHeight="1" x14ac:dyDescent="0.2">
      <c r="B28" s="64" t="str">
        <f t="shared" si="0"/>
        <v/>
      </c>
      <c r="C28" s="294"/>
      <c r="D28" s="294"/>
      <c r="E28" s="294"/>
      <c r="F28" s="93">
        <f>IF(H9="",0,IF(AND(E28&gt;=G28,G28&lt;H9,E28&lt;&gt;0),H28*(D28/F37),""))</f>
        <v>0</v>
      </c>
      <c r="G28" s="9" t="str">
        <f>GEOMETRY!F104</f>
        <v/>
      </c>
      <c r="H28" s="122">
        <f>IF(E28&gt;=H9,1,(E28-G28)/(H9-G28))</f>
        <v>1</v>
      </c>
      <c r="I28" s="4">
        <v>7</v>
      </c>
      <c r="J28" s="116"/>
      <c r="K28" s="116"/>
      <c r="L28" s="117" t="str">
        <f>IF(AND(K28&gt;=J28,J28&lt;H9,K28&lt;&gt;0),M28,"")</f>
        <v/>
      </c>
      <c r="M28" s="122" t="e">
        <f>IF(K28&gt;H9,1,(K28-J28)/(H9-J28))</f>
        <v>#VALUE!</v>
      </c>
      <c r="N28" s="94"/>
      <c r="O28" s="152"/>
    </row>
    <row r="29" spans="2:16" ht="15" customHeight="1" x14ac:dyDescent="0.2">
      <c r="B29" s="64" t="str">
        <f t="shared" si="0"/>
        <v/>
      </c>
      <c r="C29" s="294"/>
      <c r="D29" s="294"/>
      <c r="E29" s="294"/>
      <c r="F29" s="93">
        <f>IF(H9="",0,IF(AND(E29&gt;=G29,G29&lt;H9,E29&lt;&gt;0),H29*(D29/F37),""))</f>
        <v>0</v>
      </c>
      <c r="G29" s="9" t="str">
        <f>GEOMETRY!F105</f>
        <v/>
      </c>
      <c r="H29" s="122">
        <f>IF(E29&gt;=H9,1,(E29-G29)/(H9-G29))</f>
        <v>1</v>
      </c>
      <c r="I29" s="4">
        <v>8</v>
      </c>
      <c r="J29" s="118"/>
      <c r="K29" s="118"/>
      <c r="L29" s="117" t="str">
        <f>IF(AND(K29&gt;=J29,J29&lt;H9,K29&lt;&gt;0),M29,"")</f>
        <v/>
      </c>
      <c r="M29" s="122" t="e">
        <f>IF(K29&gt;H9,1,(K29-J29)/(H9-J29))</f>
        <v>#VALUE!</v>
      </c>
      <c r="N29" s="94"/>
      <c r="O29" s="152"/>
    </row>
    <row r="30" spans="2:16" ht="15" customHeight="1" x14ac:dyDescent="0.2">
      <c r="B30" s="64" t="str">
        <f t="shared" si="0"/>
        <v/>
      </c>
      <c r="C30" s="294"/>
      <c r="D30" s="294"/>
      <c r="E30" s="294"/>
      <c r="F30" s="93">
        <f>IF(H9="",0,IF(AND(E30&gt;=G30,G30&lt;H9,E30&lt;&gt;0),H30*(D30/F37),""))</f>
        <v>0</v>
      </c>
      <c r="G30" s="9" t="str">
        <f>GEOMETRY!F106</f>
        <v/>
      </c>
      <c r="H30" s="122">
        <f>IF(E30&gt;=H9,1,(E30-G30)/(H9-G30))</f>
        <v>1</v>
      </c>
      <c r="I30" s="4">
        <v>9</v>
      </c>
      <c r="J30" s="118"/>
      <c r="K30" s="118"/>
      <c r="L30" s="117" t="str">
        <f>IF(AND(K30&gt;=J30,J30&lt;H9,K30&lt;&gt;0),M30,"")</f>
        <v/>
      </c>
      <c r="M30" s="122" t="e">
        <f>IF(K30&gt;H9,1,(K30-J30)/(H9-J30))</f>
        <v>#VALUE!</v>
      </c>
      <c r="N30" s="94"/>
      <c r="O30" s="152"/>
    </row>
    <row r="31" spans="2:16" ht="15" customHeight="1" x14ac:dyDescent="0.2">
      <c r="B31" s="64" t="str">
        <f t="shared" si="0"/>
        <v/>
      </c>
      <c r="C31" s="294"/>
      <c r="D31" s="294"/>
      <c r="E31" s="294"/>
      <c r="F31" s="93">
        <f>IF(H9="",0,IF(AND(E31&gt;=G31,G31&lt;H9,E31&lt;&gt;0),H31*(D31/F37),""))</f>
        <v>0</v>
      </c>
      <c r="G31" s="9" t="str">
        <f>GEOMETRY!F107</f>
        <v/>
      </c>
      <c r="H31" s="122">
        <f>IF(E31&gt;=H9,1,(E31-G31)/(H9-G31))</f>
        <v>1</v>
      </c>
      <c r="I31" s="4">
        <v>10</v>
      </c>
      <c r="J31" s="116"/>
      <c r="K31" s="118"/>
      <c r="L31" s="117" t="str">
        <f>IF(AND(K31&gt;=J31,J31&lt;H9,K31&lt;&gt;0),M31,"")</f>
        <v/>
      </c>
      <c r="M31" s="122" t="e">
        <f>IF(K31&gt;H9,1,(K31-J31)/(H9-J31))</f>
        <v>#VALUE!</v>
      </c>
      <c r="N31" s="94"/>
      <c r="O31" s="152"/>
    </row>
    <row r="32" spans="2:16" ht="15" customHeight="1" x14ac:dyDescent="0.2">
      <c r="B32" s="64" t="str">
        <f t="shared" si="0"/>
        <v/>
      </c>
      <c r="C32" s="294"/>
      <c r="D32" s="294"/>
      <c r="E32" s="294"/>
      <c r="F32" s="93">
        <f>IF(H9="",0,IF(AND(E32&gt;=G32,G32&lt;H9,E32&lt;&gt;0),H32*(D32/F37),""))</f>
        <v>0</v>
      </c>
      <c r="G32" s="9" t="str">
        <f>GEOMETRY!F108</f>
        <v/>
      </c>
      <c r="H32" s="122">
        <f>IF(E32&gt;=H9,1,(E32-G32)/(H9-G32))</f>
        <v>1</v>
      </c>
      <c r="I32" s="4">
        <v>11</v>
      </c>
      <c r="J32" s="116"/>
      <c r="K32" s="116"/>
      <c r="L32" s="117" t="str">
        <f>IF(AND(K32&gt;=J32,J32&lt;H9,K32&lt;&gt;0),M32,"")</f>
        <v/>
      </c>
      <c r="M32" s="122" t="e">
        <f>IF(K32&gt;H9,1,(K32-J32)/(H9-J32))</f>
        <v>#VALUE!</v>
      </c>
      <c r="N32" s="94"/>
      <c r="O32" s="152"/>
    </row>
    <row r="33" spans="1:31" ht="15" customHeight="1" x14ac:dyDescent="0.2">
      <c r="B33" s="64" t="str">
        <f t="shared" si="0"/>
        <v/>
      </c>
      <c r="C33" s="294"/>
      <c r="D33" s="294"/>
      <c r="E33" s="294"/>
      <c r="F33" s="93">
        <f>IF(H9="",0,IF(AND(E33&gt;=G33,G33&lt;H9,E33&lt;&gt;0),H33*(D33/F37),""))</f>
        <v>0</v>
      </c>
      <c r="G33" s="9" t="str">
        <f>GEOMETRY!F109</f>
        <v/>
      </c>
      <c r="H33" s="122">
        <f>IF(E33&gt;=H9,1,(E33-G33)/(H9-G33))</f>
        <v>1</v>
      </c>
      <c r="I33" s="4">
        <v>12</v>
      </c>
      <c r="J33" s="116"/>
      <c r="K33" s="116"/>
      <c r="L33" s="117" t="str">
        <f>IF(AND(K33&gt;=J33,J33&lt;H9,K33&lt;&gt;0),M33,"")</f>
        <v/>
      </c>
      <c r="M33" s="122" t="e">
        <f>IF(K33&gt;H9,1,(K33-J33)/(H9-J33))</f>
        <v>#VALUE!</v>
      </c>
      <c r="N33" s="94"/>
      <c r="O33" s="152"/>
    </row>
    <row r="34" spans="1:31" ht="15" customHeight="1" x14ac:dyDescent="0.2">
      <c r="B34" s="64" t="str">
        <f t="shared" si="0"/>
        <v/>
      </c>
      <c r="C34" s="294"/>
      <c r="D34" s="294"/>
      <c r="E34" s="294"/>
      <c r="F34" s="93">
        <f>IF(H9="",0,IF(AND(E34&gt;=G34,G34&lt;H9,E34&lt;&gt;0),H34*(D34/F37),""))</f>
        <v>0</v>
      </c>
      <c r="G34" s="9" t="str">
        <f>GEOMETRY!F110</f>
        <v/>
      </c>
      <c r="H34" s="122">
        <f>IF(E34&gt;=H9,1,(E34-G34)/(H9-G34))</f>
        <v>1</v>
      </c>
      <c r="I34" s="4">
        <v>13</v>
      </c>
      <c r="J34" s="118"/>
      <c r="K34" s="118"/>
      <c r="L34" s="117" t="str">
        <f>IF(AND(K34&gt;=J34,J34&lt;H9,K34&lt;&gt;0),M34,"")</f>
        <v/>
      </c>
      <c r="M34" s="122" t="e">
        <f>IF(K34&gt;H9,1,(K34-J34)/(H9-J34))</f>
        <v>#VALUE!</v>
      </c>
      <c r="N34" s="94"/>
      <c r="O34" s="152"/>
    </row>
    <row r="35" spans="1:31" ht="15" customHeight="1" x14ac:dyDescent="0.2">
      <c r="B35" s="64" t="str">
        <f t="shared" si="0"/>
        <v/>
      </c>
      <c r="C35" s="294"/>
      <c r="D35" s="294"/>
      <c r="E35" s="294"/>
      <c r="F35" s="93">
        <f>IF(H9="",0,IF(AND(E35&gt;=G35,G35&lt;H9,E35&lt;&gt;0),H35*(D35/F37),""))</f>
        <v>0</v>
      </c>
      <c r="G35" s="9" t="str">
        <f>GEOMETRY!F111</f>
        <v/>
      </c>
      <c r="H35" s="122">
        <f>IF(E35&gt;=H9,1,(E35-G35)/(H9-G35))</f>
        <v>1</v>
      </c>
      <c r="I35" s="4">
        <v>14</v>
      </c>
      <c r="J35" s="118"/>
      <c r="K35" s="118"/>
      <c r="L35" s="117" t="str">
        <f>IF(AND(K35&gt;=J35,J35&lt;H9,K35&lt;&gt;0),M35,"")</f>
        <v/>
      </c>
      <c r="M35" s="122" t="e">
        <f>IF(K35&gt;H9,1,(K35-J35)/(H9-J35))</f>
        <v>#VALUE!</v>
      </c>
      <c r="N35" s="94"/>
      <c r="O35" s="152"/>
    </row>
    <row r="36" spans="1:31" ht="15" customHeight="1" x14ac:dyDescent="0.2">
      <c r="B36" s="95"/>
      <c r="C36" s="40"/>
      <c r="D36" s="40"/>
      <c r="E36" s="40"/>
      <c r="F36" s="41">
        <f>IF(SUM(F22:F35)=0,0,(SUM(F22:F35)))</f>
        <v>0</v>
      </c>
      <c r="G36" s="40" t="s">
        <v>277</v>
      </c>
      <c r="H36" s="40"/>
      <c r="I36" s="40"/>
      <c r="J36" s="6"/>
      <c r="K36" s="10" t="s">
        <v>275</v>
      </c>
      <c r="L36" s="119">
        <f>IF(SUM(L22:L35)=0,0.00000001,(SUM(L22:L35)/(COUNT(L22:L35))))</f>
        <v>1E-8</v>
      </c>
      <c r="M36" s="119"/>
      <c r="N36" s="65"/>
      <c r="O36" s="291"/>
    </row>
    <row r="37" spans="1:31" ht="15" customHeight="1" x14ac:dyDescent="0.2">
      <c r="B37" s="64" t="str">
        <f>IF(AND(F36&gt;0,F36&lt;1),"*","")</f>
        <v/>
      </c>
      <c r="C37" s="502" t="str">
        <f>IF(B37="*","May Require WSDOT Dev. Approval","")</f>
        <v/>
      </c>
      <c r="D37" s="40"/>
      <c r="E37" s="40"/>
      <c r="F37" s="10">
        <f>SUM(D22:D35)</f>
        <v>0</v>
      </c>
      <c r="G37" s="40" t="s">
        <v>278</v>
      </c>
      <c r="H37" s="40"/>
      <c r="I37" s="40"/>
      <c r="J37" s="120"/>
      <c r="K37" s="120"/>
      <c r="L37" s="120"/>
      <c r="M37" s="120"/>
      <c r="N37" s="66"/>
      <c r="O37" s="151"/>
    </row>
    <row r="38" spans="1:31" ht="13.5" thickBot="1" x14ac:dyDescent="0.25">
      <c r="B38" s="86"/>
      <c r="C38" s="67"/>
      <c r="D38" s="67"/>
      <c r="E38" s="67"/>
      <c r="F38" s="96"/>
      <c r="G38" s="67"/>
      <c r="H38" s="67"/>
      <c r="I38" s="67"/>
      <c r="J38" s="121"/>
      <c r="K38" s="349"/>
      <c r="L38" s="121"/>
      <c r="M38" s="121"/>
      <c r="N38" s="68"/>
    </row>
    <row r="39" spans="1:31" x14ac:dyDescent="0.2">
      <c r="E39" s="149"/>
      <c r="J39" s="148"/>
      <c r="K39" s="150"/>
    </row>
    <row r="41" spans="1:31" x14ac:dyDescent="0.2">
      <c r="A41" s="269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48"/>
      <c r="N41" s="148"/>
      <c r="O41" s="148"/>
    </row>
    <row r="42" spans="1:31" x14ac:dyDescent="0.2">
      <c r="A42" s="607"/>
      <c r="B42" s="350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51"/>
      <c r="P42" s="148"/>
    </row>
    <row r="43" spans="1:31" x14ac:dyDescent="0.2">
      <c r="A43" s="607"/>
      <c r="B43" s="334"/>
      <c r="C43" s="352" t="s">
        <v>300</v>
      </c>
      <c r="D43" s="307"/>
      <c r="E43" s="307"/>
      <c r="F43" s="307"/>
      <c r="G43" s="307"/>
      <c r="H43" s="307"/>
      <c r="I43" s="330"/>
      <c r="J43" s="353"/>
      <c r="K43" s="354" t="s">
        <v>195</v>
      </c>
      <c r="L43" s="307"/>
      <c r="M43" s="355"/>
      <c r="N43" s="307"/>
      <c r="O43" s="348"/>
      <c r="P43" s="148"/>
      <c r="Q43" s="148"/>
      <c r="T43" s="184"/>
      <c r="U43" s="615" t="s">
        <v>193</v>
      </c>
      <c r="V43" s="615"/>
      <c r="W43" s="615"/>
      <c r="X43" s="615"/>
      <c r="Y43" s="615"/>
      <c r="Z43" s="615"/>
      <c r="AA43" s="615"/>
      <c r="AB43" s="615"/>
      <c r="AC43" s="615"/>
      <c r="AD43" s="184"/>
    </row>
    <row r="44" spans="1:31" x14ac:dyDescent="0.2">
      <c r="A44" s="607"/>
      <c r="B44" s="334"/>
      <c r="C44" s="307"/>
      <c r="D44" s="307"/>
      <c r="E44" s="307"/>
      <c r="F44" s="307"/>
      <c r="G44" s="307"/>
      <c r="H44" s="307"/>
      <c r="I44" s="330"/>
      <c r="J44" s="353"/>
      <c r="K44" s="307"/>
      <c r="L44" s="307"/>
      <c r="M44" s="355"/>
      <c r="N44" s="307"/>
      <c r="O44" s="348"/>
      <c r="P44" s="148"/>
      <c r="Q44" s="148"/>
      <c r="R44" s="148"/>
      <c r="S44" s="148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</row>
    <row r="45" spans="1:31" x14ac:dyDescent="0.2">
      <c r="A45" s="607"/>
      <c r="B45" s="334"/>
      <c r="C45" s="356">
        <f>GEOMETRY!K6</f>
        <v>0</v>
      </c>
      <c r="D45" s="357" t="s">
        <v>301</v>
      </c>
      <c r="E45" s="307"/>
      <c r="F45" s="307"/>
      <c r="G45" s="307"/>
      <c r="H45" s="307"/>
      <c r="I45" s="307"/>
      <c r="J45" s="353"/>
      <c r="K45" s="356">
        <f>GEOMETRY!K7</f>
        <v>0</v>
      </c>
      <c r="L45" s="358" t="s">
        <v>203</v>
      </c>
      <c r="M45" s="355"/>
      <c r="N45" s="307"/>
      <c r="O45" s="348"/>
      <c r="P45" s="148"/>
      <c r="Q45" s="148"/>
      <c r="R45" s="148"/>
      <c r="S45" s="148"/>
      <c r="T45" s="184"/>
      <c r="U45" s="277"/>
      <c r="V45" s="278" t="s">
        <v>304</v>
      </c>
      <c r="W45" s="277"/>
      <c r="X45" s="277"/>
      <c r="Y45" s="148"/>
      <c r="Z45" s="184"/>
      <c r="AA45" s="277"/>
      <c r="AB45" s="278" t="s">
        <v>303</v>
      </c>
      <c r="AC45" s="277"/>
      <c r="AD45" s="277"/>
      <c r="AE45" s="184"/>
    </row>
    <row r="46" spans="1:31" x14ac:dyDescent="0.2">
      <c r="A46" s="607"/>
      <c r="B46" s="334"/>
      <c r="C46" s="355"/>
      <c r="D46" s="355"/>
      <c r="E46" s="307"/>
      <c r="F46" s="307"/>
      <c r="G46" s="307"/>
      <c r="H46" s="307"/>
      <c r="I46" s="307"/>
      <c r="J46" s="353"/>
      <c r="K46" s="307"/>
      <c r="L46" s="307"/>
      <c r="M46" s="355"/>
      <c r="N46" s="307"/>
      <c r="O46" s="348"/>
      <c r="P46" s="148"/>
      <c r="Q46" s="148"/>
      <c r="R46" s="148"/>
      <c r="S46" s="148"/>
      <c r="T46" s="184"/>
      <c r="U46" s="184"/>
      <c r="V46" s="184"/>
      <c r="W46" s="184"/>
      <c r="X46" s="184"/>
      <c r="Y46" s="150"/>
      <c r="Z46" s="184"/>
      <c r="AA46" s="184"/>
      <c r="AB46" s="184"/>
      <c r="AC46" s="184"/>
      <c r="AD46" s="184"/>
      <c r="AE46" s="184"/>
    </row>
    <row r="47" spans="1:31" x14ac:dyDescent="0.2">
      <c r="A47" s="607"/>
      <c r="B47" s="334"/>
      <c r="C47" s="356">
        <f>GEOMETRY!L6</f>
        <v>0</v>
      </c>
      <c r="D47" s="357" t="s">
        <v>302</v>
      </c>
      <c r="E47" s="307"/>
      <c r="F47" s="307"/>
      <c r="G47" s="307"/>
      <c r="H47" s="307"/>
      <c r="I47" s="307"/>
      <c r="J47" s="353"/>
      <c r="K47" s="356">
        <f>GEOMETRY!L7</f>
        <v>0</v>
      </c>
      <c r="L47" s="358" t="s">
        <v>205</v>
      </c>
      <c r="M47" s="355"/>
      <c r="N47" s="307"/>
      <c r="O47" s="348"/>
      <c r="P47" s="148"/>
      <c r="Q47" s="148"/>
      <c r="R47" s="148"/>
      <c r="S47" s="148"/>
      <c r="T47" s="151" t="s">
        <v>196</v>
      </c>
      <c r="U47" s="184"/>
      <c r="V47" s="277" t="s">
        <v>197</v>
      </c>
      <c r="W47" s="269"/>
      <c r="X47" s="269"/>
      <c r="Y47" s="150"/>
      <c r="Z47" s="151" t="s">
        <v>196</v>
      </c>
      <c r="AA47" s="184"/>
      <c r="AB47" s="277" t="s">
        <v>198</v>
      </c>
      <c r="AC47" s="269"/>
      <c r="AD47" s="269"/>
      <c r="AE47" s="184"/>
    </row>
    <row r="48" spans="1:31" x14ac:dyDescent="0.2">
      <c r="A48" s="607"/>
      <c r="B48" s="334"/>
      <c r="C48" s="355"/>
      <c r="D48" s="355"/>
      <c r="E48" s="307"/>
      <c r="F48" s="307"/>
      <c r="G48" s="307"/>
      <c r="H48" s="307"/>
      <c r="I48" s="307"/>
      <c r="J48" s="353"/>
      <c r="K48" s="307"/>
      <c r="L48" s="355"/>
      <c r="M48" s="355"/>
      <c r="N48" s="307"/>
      <c r="O48" s="348"/>
      <c r="P48" s="148"/>
      <c r="Q48" s="148"/>
      <c r="R48" s="148"/>
      <c r="S48" s="148"/>
      <c r="T48" s="151" t="s">
        <v>199</v>
      </c>
      <c r="U48" s="279" t="s">
        <v>200</v>
      </c>
      <c r="V48" s="279" t="s">
        <v>201</v>
      </c>
      <c r="W48" s="279" t="s">
        <v>202</v>
      </c>
      <c r="X48" s="279" t="s">
        <v>89</v>
      </c>
      <c r="Y48" s="150"/>
      <c r="Z48" s="151" t="s">
        <v>199</v>
      </c>
      <c r="AA48" s="279" t="s">
        <v>200</v>
      </c>
      <c r="AB48" s="279" t="s">
        <v>201</v>
      </c>
      <c r="AC48" s="279" t="s">
        <v>202</v>
      </c>
      <c r="AD48" s="279" t="s">
        <v>89</v>
      </c>
      <c r="AE48" s="184"/>
    </row>
    <row r="49" spans="1:31" x14ac:dyDescent="0.2">
      <c r="A49" s="607"/>
      <c r="B49" s="334"/>
      <c r="C49" s="358" t="s">
        <v>206</v>
      </c>
      <c r="D49" s="355"/>
      <c r="E49" s="307"/>
      <c r="F49" s="307"/>
      <c r="G49" s="307"/>
      <c r="H49" s="307"/>
      <c r="I49" s="307"/>
      <c r="J49" s="353"/>
      <c r="K49" s="358" t="s">
        <v>206</v>
      </c>
      <c r="L49" s="355"/>
      <c r="M49" s="355"/>
      <c r="N49" s="355"/>
      <c r="O49" s="348"/>
      <c r="P49" s="148"/>
      <c r="Q49" s="148"/>
      <c r="R49" s="148"/>
      <c r="S49" s="148"/>
      <c r="T49" s="184"/>
      <c r="U49" s="184"/>
      <c r="V49" s="184"/>
      <c r="W49" s="184"/>
      <c r="X49" s="184"/>
      <c r="Y49" s="150"/>
      <c r="Z49" s="184"/>
      <c r="AA49" s="184"/>
      <c r="AB49" s="184"/>
      <c r="AC49" s="184"/>
      <c r="AD49" s="184"/>
      <c r="AE49" s="184"/>
    </row>
    <row r="50" spans="1:31" x14ac:dyDescent="0.2">
      <c r="A50" s="607"/>
      <c r="B50" s="334"/>
      <c r="C50" s="355"/>
      <c r="D50" s="355"/>
      <c r="E50" s="307"/>
      <c r="F50" s="307"/>
      <c r="G50" s="307"/>
      <c r="H50" s="307"/>
      <c r="I50" s="307"/>
      <c r="J50" s="353"/>
      <c r="K50" s="307"/>
      <c r="L50" s="307"/>
      <c r="M50" s="355"/>
      <c r="N50" s="355"/>
      <c r="O50" s="348"/>
      <c r="P50" s="148"/>
      <c r="Q50" s="148"/>
      <c r="R50" s="148"/>
      <c r="S50" s="148"/>
      <c r="T50" s="277">
        <v>20</v>
      </c>
      <c r="U50" s="277">
        <v>20</v>
      </c>
      <c r="V50" s="277">
        <v>20</v>
      </c>
      <c r="W50" s="277">
        <v>22</v>
      </c>
      <c r="X50" s="277">
        <v>24</v>
      </c>
      <c r="Y50" s="150"/>
      <c r="Z50" s="151" t="s">
        <v>204</v>
      </c>
      <c r="AA50" s="277">
        <v>2</v>
      </c>
      <c r="AB50" s="277">
        <v>4</v>
      </c>
      <c r="AC50" s="277">
        <v>6</v>
      </c>
      <c r="AD50" s="277">
        <v>8</v>
      </c>
      <c r="AE50" s="184"/>
    </row>
    <row r="51" spans="1:31" x14ac:dyDescent="0.2">
      <c r="A51" s="607"/>
      <c r="B51" s="334"/>
      <c r="C51" s="359" t="str">
        <f>IF(GEOMETRY!V91="","",C57)</f>
        <v/>
      </c>
      <c r="D51" s="358" t="s">
        <v>211</v>
      </c>
      <c r="E51" s="307"/>
      <c r="F51" s="307"/>
      <c r="G51" s="307"/>
      <c r="H51" s="307"/>
      <c r="I51" s="307"/>
      <c r="J51" s="353"/>
      <c r="K51" s="360" t="str">
        <f>IF(GEOMETRY!V91="","",J57)</f>
        <v/>
      </c>
      <c r="L51" s="358" t="s">
        <v>210</v>
      </c>
      <c r="M51" s="355"/>
      <c r="N51" s="355"/>
      <c r="O51" s="348"/>
      <c r="P51" s="148"/>
      <c r="Q51" s="148"/>
      <c r="R51" s="148"/>
      <c r="S51" s="148"/>
      <c r="T51" s="277">
        <v>25</v>
      </c>
      <c r="U51" s="277">
        <v>20</v>
      </c>
      <c r="V51" s="277">
        <v>20</v>
      </c>
      <c r="W51" s="277">
        <v>22</v>
      </c>
      <c r="X51" s="277">
        <v>24</v>
      </c>
      <c r="Y51" s="150"/>
      <c r="Z51" s="277"/>
      <c r="AA51" s="277"/>
      <c r="AB51" s="277"/>
      <c r="AC51" s="277"/>
      <c r="AD51" s="277"/>
      <c r="AE51" s="184"/>
    </row>
    <row r="52" spans="1:31" x14ac:dyDescent="0.2">
      <c r="A52" s="607"/>
      <c r="B52" s="334"/>
      <c r="C52" s="307"/>
      <c r="D52" s="307"/>
      <c r="E52" s="307"/>
      <c r="F52" s="361"/>
      <c r="G52" s="307"/>
      <c r="H52" s="307"/>
      <c r="I52" s="307"/>
      <c r="J52" s="307"/>
      <c r="K52" s="307"/>
      <c r="L52" s="307"/>
      <c r="M52" s="361"/>
      <c r="N52" s="307"/>
      <c r="O52" s="348"/>
      <c r="P52" s="148"/>
      <c r="Q52" s="148"/>
      <c r="R52" s="148"/>
      <c r="S52" s="148"/>
      <c r="T52" s="277">
        <v>30</v>
      </c>
      <c r="U52" s="277">
        <v>20</v>
      </c>
      <c r="V52" s="277">
        <v>20</v>
      </c>
      <c r="W52" s="277">
        <v>22</v>
      </c>
      <c r="X52" s="277">
        <v>24</v>
      </c>
      <c r="Y52" s="150"/>
      <c r="Z52" s="150"/>
      <c r="AA52" s="150"/>
      <c r="AB52" s="150"/>
      <c r="AC52" s="148"/>
      <c r="AD52" s="148"/>
      <c r="AE52" s="184"/>
    </row>
    <row r="53" spans="1:31" x14ac:dyDescent="0.2">
      <c r="A53" s="607"/>
      <c r="B53" s="334"/>
      <c r="C53" s="307"/>
      <c r="D53" s="343"/>
      <c r="E53" s="307"/>
      <c r="F53" s="307"/>
      <c r="G53" s="362"/>
      <c r="H53" s="362"/>
      <c r="I53" s="346"/>
      <c r="J53" s="355"/>
      <c r="K53" s="355"/>
      <c r="L53" s="355"/>
      <c r="M53" s="355"/>
      <c r="N53" s="355"/>
      <c r="O53" s="348"/>
      <c r="P53" s="148"/>
      <c r="Q53" s="148"/>
      <c r="R53" s="148"/>
      <c r="S53" s="148"/>
      <c r="T53" s="150">
        <v>35</v>
      </c>
      <c r="U53" s="277">
        <v>20</v>
      </c>
      <c r="V53" s="277">
        <v>22</v>
      </c>
      <c r="W53" s="277">
        <v>22</v>
      </c>
      <c r="X53" s="277">
        <v>24</v>
      </c>
      <c r="Y53" s="150"/>
      <c r="Z53" s="150"/>
      <c r="AA53" s="150"/>
      <c r="AB53" s="150"/>
      <c r="AC53" s="148"/>
      <c r="AD53" s="148"/>
      <c r="AE53" s="184"/>
    </row>
    <row r="54" spans="1:31" x14ac:dyDescent="0.2">
      <c r="A54" s="607"/>
      <c r="B54" s="334"/>
      <c r="C54" s="622" t="s">
        <v>194</v>
      </c>
      <c r="D54" s="623"/>
      <c r="E54" s="623"/>
      <c r="F54" s="623"/>
      <c r="G54" s="363"/>
      <c r="H54" s="364"/>
      <c r="I54" s="347"/>
      <c r="J54" s="622" t="s">
        <v>194</v>
      </c>
      <c r="K54" s="623"/>
      <c r="L54" s="623"/>
      <c r="M54" s="623"/>
      <c r="N54" s="363"/>
      <c r="O54" s="348"/>
      <c r="P54" s="148"/>
      <c r="Q54" s="148"/>
      <c r="R54" s="148"/>
      <c r="S54" s="148"/>
      <c r="T54" s="277">
        <v>40</v>
      </c>
      <c r="U54" s="277">
        <v>20</v>
      </c>
      <c r="V54" s="277">
        <v>22</v>
      </c>
      <c r="W54" s="277">
        <v>22</v>
      </c>
      <c r="X54" s="277">
        <v>24</v>
      </c>
      <c r="Y54" s="150"/>
      <c r="Z54" s="150"/>
      <c r="AA54" s="150"/>
      <c r="AB54" s="150"/>
      <c r="AC54" s="148"/>
      <c r="AD54" s="148"/>
      <c r="AE54" s="184"/>
    </row>
    <row r="55" spans="1:31" x14ac:dyDescent="0.2">
      <c r="A55" s="607"/>
      <c r="B55" s="334"/>
      <c r="C55" s="365"/>
      <c r="D55" s="343" t="s">
        <v>411</v>
      </c>
      <c r="E55" s="307"/>
      <c r="F55" s="307"/>
      <c r="G55" s="348"/>
      <c r="H55" s="307"/>
      <c r="I55" s="347"/>
      <c r="J55" s="365"/>
      <c r="K55" s="343"/>
      <c r="L55" s="307" t="s">
        <v>410</v>
      </c>
      <c r="M55" s="307"/>
      <c r="N55" s="348"/>
      <c r="O55" s="348"/>
      <c r="P55" s="148"/>
      <c r="Q55" s="148"/>
      <c r="R55" s="148"/>
      <c r="S55" s="148"/>
      <c r="T55" s="277">
        <v>45</v>
      </c>
      <c r="U55" s="277">
        <v>20</v>
      </c>
      <c r="V55" s="277">
        <v>22</v>
      </c>
      <c r="W55" s="277">
        <v>22</v>
      </c>
      <c r="X55" s="277">
        <v>24</v>
      </c>
      <c r="Y55" s="150"/>
      <c r="Z55" s="150"/>
      <c r="AA55" s="150"/>
      <c r="AB55" s="150"/>
      <c r="AC55" s="148"/>
      <c r="AD55" s="148"/>
      <c r="AE55" s="184"/>
    </row>
    <row r="56" spans="1:31" x14ac:dyDescent="0.2">
      <c r="A56" s="607"/>
      <c r="B56" s="334"/>
      <c r="C56" s="366" t="s">
        <v>200</v>
      </c>
      <c r="D56" s="367" t="s">
        <v>201</v>
      </c>
      <c r="E56" s="367" t="s">
        <v>202</v>
      </c>
      <c r="F56" s="367" t="s">
        <v>89</v>
      </c>
      <c r="G56" s="368"/>
      <c r="H56" s="369"/>
      <c r="I56" s="347"/>
      <c r="J56" s="370" t="s">
        <v>200</v>
      </c>
      <c r="K56" s="367" t="s">
        <v>201</v>
      </c>
      <c r="L56" s="367" t="s">
        <v>202</v>
      </c>
      <c r="M56" s="367" t="s">
        <v>89</v>
      </c>
      <c r="N56" s="368"/>
      <c r="O56" s="348"/>
      <c r="P56" s="148"/>
      <c r="Q56" s="148"/>
      <c r="R56" s="148"/>
      <c r="S56" s="148"/>
      <c r="T56" s="277">
        <v>50</v>
      </c>
      <c r="U56" s="277">
        <v>20</v>
      </c>
      <c r="V56" s="277">
        <v>22</v>
      </c>
      <c r="W56" s="277">
        <v>22</v>
      </c>
      <c r="X56" s="277">
        <v>24</v>
      </c>
      <c r="Y56" s="148"/>
      <c r="Z56" s="148"/>
      <c r="AA56" s="148"/>
      <c r="AB56" s="148"/>
      <c r="AC56" s="148"/>
      <c r="AD56" s="148"/>
      <c r="AE56" s="184"/>
    </row>
    <row r="57" spans="1:31" x14ac:dyDescent="0.2">
      <c r="A57" s="607"/>
      <c r="B57" s="334"/>
      <c r="C57" s="371">
        <f>IF(AND(GEOMETRY!V91&lt;=50,'TRAFFIC &amp; ACCIDENTS'!G31&lt;400),20,C58)</f>
        <v>22</v>
      </c>
      <c r="D57" s="372">
        <f>IF(AND(GEOMETRY!V91&lt;=30,'TRAFFIC &amp; ACCIDENTS'!G31&lt;1501),20,D58)</f>
        <v>22</v>
      </c>
      <c r="E57" s="372">
        <f>IF(AND(GEOMETRY!V91&lt;=50,'TRAFFIC &amp; ACCIDENTS'!G31&lt;=2000),22,E58)</f>
        <v>24</v>
      </c>
      <c r="F57" s="372">
        <f>IF('TRAFFIC &amp; ACCIDENTS'!G31&gt;2000,24,0)</f>
        <v>0</v>
      </c>
      <c r="G57" s="368"/>
      <c r="H57" s="369"/>
      <c r="I57" s="347"/>
      <c r="J57" s="323">
        <f>IF(AND(GEOMETRY!V91&lt;=50,'TRAFFIC &amp; ACCIDENTS'!G31&lt;400),24,J58)</f>
        <v>26</v>
      </c>
      <c r="K57" s="372">
        <f>IF(AND(GEOMETRY!V91&lt;=30,'TRAFFIC &amp; ACCIDENTS'!G31&lt;1501),28,K58)</f>
        <v>30</v>
      </c>
      <c r="L57" s="372">
        <f>IF(AND(GEOMETRY!V91&lt;=50,'TRAFFIC &amp; ACCIDENTS'!G31&lt;=2000),34,L58)</f>
        <v>36</v>
      </c>
      <c r="M57" s="372">
        <f>IF('TRAFFIC &amp; ACCIDENTS'!G31&gt;2000,40,0)</f>
        <v>0</v>
      </c>
      <c r="N57" s="368"/>
      <c r="O57" s="348"/>
      <c r="P57" s="148"/>
      <c r="Q57" s="148"/>
      <c r="R57" s="148"/>
      <c r="S57" s="148"/>
      <c r="T57" s="277">
        <v>55</v>
      </c>
      <c r="U57" s="277">
        <v>22</v>
      </c>
      <c r="V57" s="277">
        <v>22</v>
      </c>
      <c r="W57" s="277">
        <v>24</v>
      </c>
      <c r="X57" s="277">
        <v>24</v>
      </c>
      <c r="Y57" s="148"/>
      <c r="Z57" s="148"/>
      <c r="AA57" s="148"/>
      <c r="AB57" s="148"/>
      <c r="AC57" s="148"/>
      <c r="AD57" s="148"/>
      <c r="AE57" s="184"/>
    </row>
    <row r="58" spans="1:31" x14ac:dyDescent="0.2">
      <c r="A58" s="607"/>
      <c r="B58" s="334"/>
      <c r="C58" s="373">
        <f>IF(AND(GEOMETRY!V91&gt;50,'TRAFFIC &amp; ACCIDENTS'!G31&lt;400),22,D57)</f>
        <v>22</v>
      </c>
      <c r="D58" s="372">
        <f>IF(AND(GEOMETRY!V91&gt;=35,'TRAFFIC &amp; ACCIDENTS'!G31&lt;1501),22,E57)</f>
        <v>22</v>
      </c>
      <c r="E58" s="372">
        <f>IF(AND(GEOMETRY!V91&gt;=55,'TRAFFIC &amp; ACCIDENTS'!G31&lt;=2001),24,F57)</f>
        <v>24</v>
      </c>
      <c r="F58" s="374"/>
      <c r="G58" s="368"/>
      <c r="H58" s="369"/>
      <c r="I58" s="348"/>
      <c r="J58" s="331">
        <f>IF(AND(GEOMETRY!V91&gt;50,'TRAFFIC &amp; ACCIDENTS'!G31&lt;400),26,K57)</f>
        <v>26</v>
      </c>
      <c r="K58" s="372">
        <f>IF(AND(GEOMETRY!V91&gt;=35,'TRAFFIC &amp; ACCIDENTS'!G31&lt;1501),30,L57)</f>
        <v>30</v>
      </c>
      <c r="L58" s="372">
        <f>IF(AND(GEOMETRY!V91&gt;=55,'TRAFFIC &amp; ACCIDENTS'!G31&lt;=2000),36,M57)</f>
        <v>36</v>
      </c>
      <c r="M58" s="374"/>
      <c r="N58" s="368"/>
      <c r="O58" s="348"/>
      <c r="P58" s="148"/>
      <c r="Q58" s="148"/>
      <c r="R58" s="148"/>
      <c r="S58" s="148"/>
      <c r="T58" s="277">
        <v>60</v>
      </c>
      <c r="U58" s="277">
        <v>22</v>
      </c>
      <c r="V58" s="277">
        <v>22</v>
      </c>
      <c r="W58" s="277">
        <v>24</v>
      </c>
      <c r="X58" s="277">
        <v>24</v>
      </c>
      <c r="Y58" s="301"/>
      <c r="Z58" s="301"/>
      <c r="AA58" s="148"/>
      <c r="AB58" s="375"/>
      <c r="AC58" s="376"/>
      <c r="AD58" s="148"/>
      <c r="AE58" s="184"/>
    </row>
    <row r="59" spans="1:31" x14ac:dyDescent="0.2">
      <c r="A59" s="607"/>
      <c r="B59" s="334"/>
      <c r="C59" s="370"/>
      <c r="D59" s="377"/>
      <c r="E59" s="377"/>
      <c r="F59" s="378"/>
      <c r="G59" s="379"/>
      <c r="H59" s="307"/>
      <c r="I59" s="348"/>
      <c r="J59" s="370"/>
      <c r="K59" s="377"/>
      <c r="L59" s="377"/>
      <c r="M59" s="378"/>
      <c r="N59" s="379"/>
      <c r="O59" s="348"/>
      <c r="P59" s="148"/>
      <c r="Q59" s="148"/>
      <c r="R59" s="148"/>
      <c r="S59" s="148"/>
      <c r="T59" s="277"/>
      <c r="U59" s="277"/>
      <c r="V59" s="277"/>
      <c r="W59" s="277"/>
      <c r="X59" s="277"/>
      <c r="Y59" s="301"/>
      <c r="Z59" s="301"/>
      <c r="AA59" s="148"/>
      <c r="AB59" s="375"/>
      <c r="AC59" s="376"/>
      <c r="AD59" s="148"/>
      <c r="AE59" s="184"/>
    </row>
    <row r="60" spans="1:31" x14ac:dyDescent="0.2">
      <c r="A60" s="607"/>
      <c r="B60" s="334"/>
      <c r="C60" s="307"/>
      <c r="D60" s="307"/>
      <c r="E60" s="307"/>
      <c r="F60" s="307"/>
      <c r="G60" s="307"/>
      <c r="H60" s="307"/>
      <c r="I60" s="343"/>
      <c r="J60" s="307"/>
      <c r="K60" s="307"/>
      <c r="L60" s="307"/>
      <c r="M60" s="307"/>
      <c r="N60" s="307"/>
      <c r="O60" s="348"/>
      <c r="P60" s="148"/>
      <c r="Q60" s="148"/>
      <c r="R60" s="148"/>
      <c r="S60" s="148"/>
      <c r="T60" s="277"/>
      <c r="U60" s="277"/>
      <c r="V60" s="277"/>
      <c r="W60" s="277"/>
      <c r="X60" s="277"/>
      <c r="Y60" s="301"/>
      <c r="Z60" s="301"/>
      <c r="AA60" s="148"/>
      <c r="AB60" s="375"/>
      <c r="AC60" s="376"/>
      <c r="AD60" s="148"/>
      <c r="AE60" s="184"/>
    </row>
    <row r="61" spans="1:31" ht="13.5" thickBot="1" x14ac:dyDescent="0.25">
      <c r="A61" s="607"/>
      <c r="B61" s="334"/>
      <c r="C61" s="610" t="s">
        <v>297</v>
      </c>
      <c r="D61" s="610"/>
      <c r="E61" s="380" t="s">
        <v>298</v>
      </c>
      <c r="F61" s="380" t="s">
        <v>299</v>
      </c>
      <c r="G61" s="307"/>
      <c r="H61" s="307"/>
      <c r="I61" s="353"/>
      <c r="J61" s="381" t="s">
        <v>297</v>
      </c>
      <c r="K61" s="381"/>
      <c r="L61" s="380" t="s">
        <v>298</v>
      </c>
      <c r="M61" s="380" t="s">
        <v>299</v>
      </c>
      <c r="N61" s="307"/>
      <c r="O61" s="348"/>
      <c r="P61" s="148"/>
      <c r="Q61" s="148"/>
      <c r="R61" s="148"/>
      <c r="S61" s="148"/>
      <c r="T61" s="184"/>
      <c r="U61" s="277"/>
      <c r="V61" s="278" t="s">
        <v>207</v>
      </c>
      <c r="W61" s="277"/>
      <c r="X61" s="277"/>
      <c r="Y61" s="301"/>
      <c r="Z61" s="301"/>
      <c r="AA61" s="148"/>
      <c r="AB61" s="375"/>
      <c r="AC61" s="376"/>
      <c r="AD61" s="148"/>
      <c r="AE61" s="184"/>
    </row>
    <row r="62" spans="1:31" ht="14.25" thickTop="1" thickBot="1" x14ac:dyDescent="0.25">
      <c r="A62" s="607"/>
      <c r="B62" s="334"/>
      <c r="C62" s="307"/>
      <c r="D62" s="307">
        <v>0</v>
      </c>
      <c r="E62" s="343">
        <v>0</v>
      </c>
      <c r="F62" s="382">
        <f>IF(OR(C47-C45&lt;=D62,C45&gt;=C51),E62,F63)</f>
        <v>0</v>
      </c>
      <c r="G62" s="307"/>
      <c r="H62" s="307"/>
      <c r="I62" s="307"/>
      <c r="J62" s="307"/>
      <c r="K62" s="307">
        <v>0</v>
      </c>
      <c r="L62" s="343">
        <v>0</v>
      </c>
      <c r="M62" s="383">
        <f>IF(OR(K47-K45&lt;=K62,K45&gt;=K51),L62,M63)</f>
        <v>0</v>
      </c>
      <c r="N62" s="307"/>
      <c r="O62" s="348"/>
      <c r="P62" s="277"/>
      <c r="Q62" s="277"/>
      <c r="R62" s="148"/>
      <c r="S62" s="148"/>
      <c r="T62" s="184"/>
      <c r="U62" s="184"/>
      <c r="V62" s="184"/>
      <c r="W62" s="184"/>
      <c r="X62" s="184"/>
      <c r="Y62" s="301"/>
      <c r="Z62" s="301"/>
      <c r="AA62" s="148"/>
      <c r="AB62" s="375"/>
      <c r="AC62" s="376"/>
      <c r="AD62" s="148"/>
      <c r="AE62" s="184"/>
    </row>
    <row r="63" spans="1:31" ht="13.5" thickTop="1" x14ac:dyDescent="0.2">
      <c r="A63" s="607"/>
      <c r="B63" s="334"/>
      <c r="C63" s="307"/>
      <c r="D63" s="384">
        <v>1</v>
      </c>
      <c r="E63" s="343">
        <v>2</v>
      </c>
      <c r="F63" s="380" t="e">
        <f>IF(C51-C45&lt;=D63,E63,F64)</f>
        <v>#VALUE!</v>
      </c>
      <c r="G63" s="307"/>
      <c r="H63" s="307"/>
      <c r="I63" s="330"/>
      <c r="J63" s="307"/>
      <c r="K63" s="384">
        <v>2</v>
      </c>
      <c r="L63" s="343">
        <v>2</v>
      </c>
      <c r="M63" s="380" t="e">
        <f>IF(K51-K45&lt;=K63,L63,M64)</f>
        <v>#VALUE!</v>
      </c>
      <c r="N63" s="307"/>
      <c r="O63" s="348"/>
      <c r="P63" s="277"/>
      <c r="Q63" s="277"/>
      <c r="R63" s="148"/>
      <c r="S63" s="148"/>
      <c r="T63" s="151" t="s">
        <v>196</v>
      </c>
      <c r="U63" s="184"/>
      <c r="V63" s="277" t="s">
        <v>197</v>
      </c>
      <c r="W63" s="269"/>
      <c r="X63" s="269"/>
      <c r="Y63" s="376"/>
      <c r="Z63" s="148"/>
      <c r="AA63" s="184"/>
      <c r="AE63" s="184"/>
    </row>
    <row r="64" spans="1:31" x14ac:dyDescent="0.2">
      <c r="A64" s="607"/>
      <c r="B64" s="334"/>
      <c r="C64" s="307"/>
      <c r="D64" s="384">
        <v>2</v>
      </c>
      <c r="E64" s="343">
        <v>5</v>
      </c>
      <c r="F64" s="343" t="e">
        <f>IF(C51-C45&lt;=D64,E64,F65)</f>
        <v>#VALUE!</v>
      </c>
      <c r="G64" s="307"/>
      <c r="H64" s="307"/>
      <c r="I64" s="307"/>
      <c r="J64" s="307"/>
      <c r="K64" s="384">
        <v>4</v>
      </c>
      <c r="L64" s="343">
        <v>5</v>
      </c>
      <c r="M64" s="343" t="e">
        <f>IF(K51-K45&lt;=K64,L64,M65)</f>
        <v>#VALUE!</v>
      </c>
      <c r="N64" s="307"/>
      <c r="O64" s="348"/>
      <c r="P64" s="277"/>
      <c r="Q64" s="277"/>
      <c r="R64" s="148"/>
      <c r="S64" s="148"/>
      <c r="T64" s="151" t="s">
        <v>199</v>
      </c>
      <c r="U64" s="279" t="s">
        <v>200</v>
      </c>
      <c r="V64" s="279" t="s">
        <v>201</v>
      </c>
      <c r="W64" s="279" t="s">
        <v>202</v>
      </c>
      <c r="X64" s="279" t="s">
        <v>89</v>
      </c>
      <c r="Y64" s="376"/>
      <c r="Z64" s="148"/>
      <c r="AA64" s="184"/>
      <c r="AE64" s="184"/>
    </row>
    <row r="65" spans="1:34" x14ac:dyDescent="0.2">
      <c r="A65" s="607"/>
      <c r="B65" s="334"/>
      <c r="C65" s="307"/>
      <c r="D65" s="384">
        <v>3</v>
      </c>
      <c r="E65" s="343">
        <v>7</v>
      </c>
      <c r="F65" s="343" t="e">
        <f>IF(C51-C45&lt;=D65,E65,F66)</f>
        <v>#VALUE!</v>
      </c>
      <c r="G65" s="307"/>
      <c r="H65" s="307"/>
      <c r="I65" s="307"/>
      <c r="J65" s="307"/>
      <c r="K65" s="384">
        <v>6</v>
      </c>
      <c r="L65" s="343">
        <v>7</v>
      </c>
      <c r="M65" s="343" t="e">
        <f>IF(K51-K45&lt;=K65,L65,M66)</f>
        <v>#VALUE!</v>
      </c>
      <c r="N65" s="307"/>
      <c r="O65" s="348"/>
      <c r="P65" s="277"/>
      <c r="Q65" s="277"/>
      <c r="R65" s="277"/>
      <c r="S65" s="277"/>
      <c r="T65" s="184"/>
      <c r="U65" s="184"/>
      <c r="V65" s="184"/>
      <c r="W65" s="184"/>
      <c r="X65" s="184"/>
      <c r="Y65" s="376"/>
      <c r="Z65" s="148"/>
      <c r="AA65" s="184"/>
    </row>
    <row r="66" spans="1:34" x14ac:dyDescent="0.2">
      <c r="A66" s="607"/>
      <c r="B66" s="334"/>
      <c r="C66" s="307"/>
      <c r="D66" s="384">
        <v>4</v>
      </c>
      <c r="E66" s="343">
        <v>8</v>
      </c>
      <c r="F66" s="343" t="e">
        <f>IF(C51-C45&lt;=D66,E66,F67)</f>
        <v>#VALUE!</v>
      </c>
      <c r="G66" s="307"/>
      <c r="H66" s="307"/>
      <c r="I66" s="307"/>
      <c r="J66" s="307"/>
      <c r="K66" s="384">
        <v>8</v>
      </c>
      <c r="L66" s="343">
        <v>8</v>
      </c>
      <c r="M66" s="343" t="e">
        <f>IF(K51-K45&lt;=K66,L66,M67)</f>
        <v>#VALUE!</v>
      </c>
      <c r="N66" s="307"/>
      <c r="O66" s="348"/>
      <c r="P66" s="277"/>
      <c r="Q66" s="277"/>
      <c r="R66" s="277"/>
      <c r="S66" s="277"/>
      <c r="T66" s="277">
        <v>40</v>
      </c>
      <c r="U66" s="277">
        <v>22</v>
      </c>
      <c r="V66" s="277">
        <v>22</v>
      </c>
      <c r="W66" s="277">
        <v>22</v>
      </c>
      <c r="X66" s="277">
        <v>24</v>
      </c>
      <c r="Y66" s="376"/>
      <c r="Z66" s="148"/>
      <c r="AA66" s="184"/>
    </row>
    <row r="67" spans="1:34" x14ac:dyDescent="0.2">
      <c r="A67" s="607"/>
      <c r="B67" s="334"/>
      <c r="C67" s="307"/>
      <c r="D67" s="384">
        <v>5</v>
      </c>
      <c r="E67" s="343">
        <v>9</v>
      </c>
      <c r="F67" s="343" t="e">
        <f>IF(C51-C45&lt;=D67,E67,F68)</f>
        <v>#VALUE!</v>
      </c>
      <c r="G67" s="307"/>
      <c r="H67" s="307"/>
      <c r="I67" s="330"/>
      <c r="J67" s="307"/>
      <c r="K67" s="384">
        <v>9</v>
      </c>
      <c r="L67" s="343">
        <v>9</v>
      </c>
      <c r="M67" s="343" t="e">
        <f>IF(K51-K45&lt;=K67,L67,M68)</f>
        <v>#VALUE!</v>
      </c>
      <c r="N67" s="307"/>
      <c r="O67" s="348"/>
      <c r="P67" s="277"/>
      <c r="Q67" s="277"/>
      <c r="R67" s="277"/>
      <c r="S67" s="277"/>
      <c r="T67" s="277">
        <v>45</v>
      </c>
      <c r="U67" s="277">
        <v>22</v>
      </c>
      <c r="V67" s="277">
        <v>22</v>
      </c>
      <c r="W67" s="277">
        <v>22</v>
      </c>
      <c r="X67" s="277">
        <v>24</v>
      </c>
      <c r="Y67" s="376"/>
      <c r="Z67" s="148"/>
      <c r="AA67" s="184"/>
    </row>
    <row r="68" spans="1:34" x14ac:dyDescent="0.2">
      <c r="A68" s="607"/>
      <c r="B68" s="334"/>
      <c r="C68" s="307"/>
      <c r="D68" s="384">
        <v>6</v>
      </c>
      <c r="E68" s="343">
        <v>10</v>
      </c>
      <c r="F68" s="343" t="e">
        <f>IF(OR(C51-C45&lt;=D68,C51-C45&gt;D68),E68,#REF!)</f>
        <v>#VALUE!</v>
      </c>
      <c r="G68" s="307"/>
      <c r="H68" s="307"/>
      <c r="I68" s="307"/>
      <c r="J68" s="307"/>
      <c r="K68" s="384">
        <v>10</v>
      </c>
      <c r="L68" s="343">
        <v>10</v>
      </c>
      <c r="M68" s="343" t="e">
        <f>IF(OR(K51-K45&lt;=K68,K51-K45&gt;K68),L68,#REF!)</f>
        <v>#VALUE!</v>
      </c>
      <c r="N68" s="307"/>
      <c r="O68" s="348"/>
      <c r="P68" s="277"/>
      <c r="Q68" s="277"/>
      <c r="R68" s="277"/>
      <c r="S68" s="277"/>
      <c r="T68" s="277">
        <v>50</v>
      </c>
      <c r="U68" s="277">
        <v>22</v>
      </c>
      <c r="V68" s="277">
        <v>22</v>
      </c>
      <c r="W68" s="277">
        <v>24</v>
      </c>
      <c r="X68" s="277">
        <v>24</v>
      </c>
      <c r="Y68" s="376"/>
      <c r="Z68" s="148"/>
      <c r="AA68" s="184"/>
    </row>
    <row r="69" spans="1:34" x14ac:dyDescent="0.2">
      <c r="A69" s="607"/>
      <c r="B69" s="334"/>
      <c r="C69" s="307"/>
      <c r="D69" s="307"/>
      <c r="E69" s="307"/>
      <c r="F69" s="307"/>
      <c r="G69" s="307"/>
      <c r="H69" s="307"/>
      <c r="I69" s="307"/>
      <c r="J69" s="307"/>
      <c r="K69" s="307"/>
      <c r="L69" s="307"/>
      <c r="M69" s="307"/>
      <c r="N69" s="307"/>
      <c r="O69" s="348"/>
      <c r="P69" s="277"/>
      <c r="Q69" s="277"/>
      <c r="R69" s="277"/>
      <c r="S69" s="277"/>
      <c r="T69" s="277">
        <v>55</v>
      </c>
      <c r="U69" s="277">
        <v>22</v>
      </c>
      <c r="V69" s="277">
        <v>22</v>
      </c>
      <c r="W69" s="277">
        <v>24</v>
      </c>
      <c r="X69" s="277">
        <v>24</v>
      </c>
      <c r="Y69" s="376"/>
      <c r="Z69" s="148"/>
      <c r="AA69" s="184"/>
    </row>
    <row r="70" spans="1:34" x14ac:dyDescent="0.2">
      <c r="A70" s="607"/>
      <c r="B70" s="385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7"/>
      <c r="P70" s="277"/>
      <c r="Q70" s="277"/>
      <c r="R70" s="277"/>
      <c r="S70" s="277"/>
      <c r="T70" s="277">
        <v>60</v>
      </c>
      <c r="U70" s="277">
        <v>24</v>
      </c>
      <c r="V70" s="277">
        <v>24</v>
      </c>
      <c r="W70" s="277">
        <v>24</v>
      </c>
      <c r="X70" s="277">
        <v>24</v>
      </c>
      <c r="Y70" s="148"/>
      <c r="Z70" s="184"/>
    </row>
    <row r="71" spans="1:34" x14ac:dyDescent="0.2">
      <c r="P71" s="277"/>
      <c r="Q71" s="277"/>
      <c r="R71" s="277"/>
      <c r="S71" s="277"/>
      <c r="T71" s="277">
        <v>65</v>
      </c>
      <c r="U71" s="277">
        <v>24</v>
      </c>
      <c r="V71" s="277">
        <v>24</v>
      </c>
      <c r="W71" s="277">
        <v>24</v>
      </c>
      <c r="X71" s="277">
        <v>24</v>
      </c>
      <c r="Y71" s="148"/>
      <c r="Z71" s="184"/>
    </row>
    <row r="72" spans="1:34" x14ac:dyDescent="0.2"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150"/>
      <c r="Q72" s="277"/>
      <c r="R72" s="277"/>
      <c r="S72" s="277"/>
      <c r="T72" s="277">
        <v>70</v>
      </c>
      <c r="U72" s="277">
        <v>24</v>
      </c>
      <c r="V72" s="277">
        <v>24</v>
      </c>
      <c r="W72" s="277">
        <v>24</v>
      </c>
      <c r="X72" s="277">
        <v>24</v>
      </c>
      <c r="Y72" s="148"/>
      <c r="Z72" s="184"/>
    </row>
    <row r="73" spans="1:34" x14ac:dyDescent="0.2">
      <c r="B73" s="291"/>
      <c r="C73" s="388"/>
      <c r="D73" s="389"/>
      <c r="E73" s="148"/>
      <c r="F73" s="148"/>
      <c r="G73" s="148"/>
      <c r="H73" s="148"/>
      <c r="I73" s="148"/>
      <c r="J73" s="291"/>
      <c r="K73" s="390"/>
      <c r="L73" s="389"/>
      <c r="M73" s="391"/>
      <c r="N73" s="391"/>
      <c r="O73" s="291"/>
      <c r="P73" s="150"/>
      <c r="Q73" s="277"/>
      <c r="R73" s="277"/>
      <c r="S73" s="277"/>
      <c r="T73" s="277">
        <v>75</v>
      </c>
      <c r="U73" s="277">
        <v>24</v>
      </c>
      <c r="V73" s="277">
        <v>24</v>
      </c>
      <c r="W73" s="277">
        <v>24</v>
      </c>
      <c r="X73" s="277">
        <v>24</v>
      </c>
      <c r="Y73" s="148"/>
      <c r="Z73" s="184"/>
      <c r="AA73" s="184"/>
      <c r="AB73" s="184"/>
      <c r="AC73" s="184"/>
      <c r="AD73" s="184"/>
    </row>
    <row r="74" spans="1:34" x14ac:dyDescent="0.2"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77"/>
      <c r="R74" s="277"/>
      <c r="S74" s="277"/>
      <c r="T74" s="277"/>
      <c r="U74" s="277"/>
      <c r="V74" s="277"/>
      <c r="W74" s="277"/>
      <c r="X74" s="277"/>
      <c r="Y74" s="148"/>
      <c r="Z74" s="184"/>
      <c r="AA74" s="184"/>
      <c r="AB74" s="184"/>
      <c r="AC74" s="184"/>
      <c r="AD74" s="184"/>
    </row>
    <row r="75" spans="1:34" s="184" customFormat="1" ht="11.25" customHeight="1" x14ac:dyDescent="0.2">
      <c r="B75" s="30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150"/>
      <c r="Q75" s="277"/>
      <c r="R75" s="277"/>
      <c r="S75" s="277"/>
    </row>
    <row r="76" spans="1:34" s="184" customFormat="1" ht="11.25" customHeight="1" x14ac:dyDescent="0.2">
      <c r="A76" s="301"/>
      <c r="B76" s="621"/>
      <c r="C76" s="620"/>
      <c r="D76" s="620"/>
      <c r="E76" s="620"/>
      <c r="F76" s="392"/>
      <c r="G76" s="392"/>
      <c r="H76" s="292"/>
      <c r="I76" s="621"/>
      <c r="J76" s="620"/>
      <c r="K76" s="620"/>
      <c r="L76" s="620"/>
      <c r="M76" s="392"/>
      <c r="N76" s="291"/>
      <c r="O76" s="150"/>
      <c r="P76" s="277"/>
      <c r="Q76" s="277"/>
      <c r="R76" s="277"/>
    </row>
    <row r="77" spans="1:34" s="184" customFormat="1" ht="11.25" customHeight="1" x14ac:dyDescent="0.2">
      <c r="A77" s="605"/>
      <c r="B77" s="393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07"/>
      <c r="O77" s="394"/>
      <c r="P77" s="277"/>
      <c r="Q77" s="277"/>
      <c r="R77" s="277"/>
      <c r="S77" s="277"/>
      <c r="T77" s="277"/>
      <c r="U77" s="277"/>
      <c r="V77" s="277"/>
      <c r="W77" s="277"/>
      <c r="X77" s="277"/>
      <c r="Y77" s="148"/>
    </row>
    <row r="78" spans="1:34" s="184" customFormat="1" ht="11.25" customHeight="1" x14ac:dyDescent="0.2">
      <c r="A78" s="605"/>
      <c r="B78" s="393"/>
      <c r="C78" s="340"/>
      <c r="D78" s="395" t="s">
        <v>433</v>
      </c>
      <c r="E78" s="396"/>
      <c r="F78" s="396"/>
      <c r="G78" s="396"/>
      <c r="H78" s="340"/>
      <c r="I78" s="340"/>
      <c r="J78" s="340"/>
      <c r="K78" s="340"/>
      <c r="L78" s="340"/>
      <c r="M78" s="340"/>
      <c r="N78" s="307"/>
      <c r="O78" s="394"/>
      <c r="P78" s="277"/>
      <c r="Q78" s="277"/>
      <c r="R78" s="277"/>
      <c r="S78" s="277"/>
      <c r="T78" s="301"/>
      <c r="U78" s="301"/>
      <c r="V78" s="148"/>
      <c r="W78" s="375"/>
      <c r="X78" s="376"/>
      <c r="Y78" s="148"/>
      <c r="AF78" s="397"/>
      <c r="AG78" s="397"/>
      <c r="AH78" s="148"/>
    </row>
    <row r="79" spans="1:34" s="184" customFormat="1" ht="11.25" customHeight="1" x14ac:dyDescent="0.2">
      <c r="A79" s="605"/>
      <c r="B79" s="393"/>
      <c r="C79" s="398" t="s">
        <v>92</v>
      </c>
      <c r="D79" s="398"/>
      <c r="E79" s="398"/>
      <c r="F79" s="398"/>
      <c r="G79" s="398"/>
      <c r="H79" s="340"/>
      <c r="I79" s="340"/>
      <c r="J79" s="340"/>
      <c r="K79" s="340"/>
      <c r="L79" s="340"/>
      <c r="M79" s="340"/>
      <c r="N79" s="307"/>
      <c r="O79" s="394"/>
      <c r="P79" s="277"/>
      <c r="Q79" s="277"/>
      <c r="R79" s="277"/>
      <c r="S79" s="277"/>
      <c r="T79" s="301"/>
      <c r="U79" s="301"/>
      <c r="V79" s="148"/>
      <c r="W79" s="375"/>
      <c r="X79" s="376"/>
      <c r="Y79" s="148"/>
      <c r="AF79" s="397"/>
      <c r="AG79" s="397"/>
      <c r="AH79" s="148"/>
    </row>
    <row r="80" spans="1:34" s="184" customFormat="1" ht="11.25" customHeight="1" x14ac:dyDescent="0.2">
      <c r="A80" s="605"/>
      <c r="B80" s="393"/>
      <c r="C80" s="340"/>
      <c r="D80" s="340"/>
      <c r="E80" s="340"/>
      <c r="F80" s="340"/>
      <c r="G80" s="340"/>
      <c r="H80" s="340"/>
      <c r="I80" s="340"/>
      <c r="J80" s="340"/>
      <c r="K80" s="399" t="s">
        <v>95</v>
      </c>
      <c r="L80" s="400">
        <f>H113</f>
        <v>0</v>
      </c>
      <c r="M80" s="394"/>
      <c r="N80" s="307"/>
      <c r="O80" s="394"/>
      <c r="P80" s="277"/>
      <c r="Q80" s="277"/>
      <c r="R80" s="277"/>
      <c r="S80" s="277"/>
      <c r="T80" s="301"/>
      <c r="U80" s="301"/>
      <c r="V80" s="148"/>
      <c r="W80" s="375"/>
      <c r="X80" s="376"/>
      <c r="Y80" s="148"/>
      <c r="AF80" s="397"/>
      <c r="AG80" s="397"/>
      <c r="AH80" s="148"/>
    </row>
    <row r="81" spans="1:35" s="184" customFormat="1" ht="11.25" customHeight="1" x14ac:dyDescent="0.2">
      <c r="A81" s="605"/>
      <c r="B81" s="340"/>
      <c r="C81" s="340"/>
      <c r="D81" s="340"/>
      <c r="E81" s="340"/>
      <c r="F81" s="340"/>
      <c r="G81" s="340"/>
      <c r="H81" s="340"/>
      <c r="I81" s="340"/>
      <c r="J81" s="340"/>
      <c r="K81" s="399" t="s">
        <v>97</v>
      </c>
      <c r="L81" s="401">
        <f>'TRAFFIC &amp; ACCIDENTS'!E11</f>
        <v>0</v>
      </c>
      <c r="M81" s="394"/>
      <c r="N81" s="307"/>
      <c r="O81" s="394"/>
      <c r="P81" s="277"/>
      <c r="Q81" s="277"/>
      <c r="R81" s="277"/>
      <c r="S81" s="277"/>
      <c r="T81" s="301"/>
      <c r="U81" s="301"/>
      <c r="V81" s="148"/>
      <c r="W81" s="375"/>
      <c r="X81" s="376"/>
      <c r="Y81" s="148"/>
      <c r="AF81" s="397"/>
      <c r="AG81" s="397"/>
      <c r="AH81" s="148"/>
    </row>
    <row r="82" spans="1:35" s="184" customFormat="1" ht="11.25" customHeight="1" x14ac:dyDescent="0.2">
      <c r="A82" s="605"/>
      <c r="B82" s="393"/>
      <c r="C82" s="340"/>
      <c r="D82" s="340"/>
      <c r="E82" s="340"/>
      <c r="F82" s="340"/>
      <c r="G82" s="340"/>
      <c r="H82" s="340"/>
      <c r="I82" s="340"/>
      <c r="J82" s="340"/>
      <c r="K82" s="402" t="s">
        <v>99</v>
      </c>
      <c r="L82" s="403">
        <f>IF(L81=0,0,(L80/L81)*100)</f>
        <v>0</v>
      </c>
      <c r="M82" s="340" t="s">
        <v>100</v>
      </c>
      <c r="N82" s="307"/>
      <c r="O82" s="394"/>
      <c r="P82" s="277"/>
      <c r="Q82" s="277"/>
      <c r="R82" s="404"/>
      <c r="S82" s="405"/>
      <c r="T82" s="616" t="s">
        <v>438</v>
      </c>
      <c r="U82" s="616"/>
      <c r="V82" s="616"/>
      <c r="W82" s="616"/>
      <c r="X82" s="406"/>
      <c r="Y82" s="407"/>
      <c r="AF82" s="397"/>
      <c r="AG82" s="397"/>
      <c r="AH82" s="148"/>
    </row>
    <row r="83" spans="1:35" s="184" customFormat="1" ht="11.25" customHeight="1" x14ac:dyDescent="0.2">
      <c r="A83" s="605"/>
      <c r="B83" s="393"/>
      <c r="C83" s="408" t="s">
        <v>100</v>
      </c>
      <c r="D83" s="409">
        <v>0</v>
      </c>
      <c r="E83" s="409">
        <v>2</v>
      </c>
      <c r="F83" s="409">
        <v>4</v>
      </c>
      <c r="G83" s="409">
        <v>6</v>
      </c>
      <c r="H83" s="409">
        <v>8</v>
      </c>
      <c r="I83" s="410">
        <v>10</v>
      </c>
      <c r="J83" s="340"/>
      <c r="K83" s="340"/>
      <c r="L83" s="340"/>
      <c r="M83" s="340"/>
      <c r="N83" s="307"/>
      <c r="O83" s="307"/>
      <c r="P83" s="148"/>
      <c r="Q83" s="148"/>
      <c r="R83" s="302"/>
      <c r="S83" s="150"/>
      <c r="T83" s="617"/>
      <c r="U83" s="617"/>
      <c r="V83" s="617"/>
      <c r="W83" s="617"/>
      <c r="X83" s="148"/>
      <c r="Y83" s="305"/>
      <c r="AF83" s="148"/>
      <c r="AG83" s="148"/>
      <c r="AH83" s="148"/>
    </row>
    <row r="84" spans="1:35" s="184" customFormat="1" ht="11.25" customHeight="1" x14ac:dyDescent="0.2">
      <c r="A84" s="605"/>
      <c r="B84" s="393"/>
      <c r="C84" s="411" t="s">
        <v>22</v>
      </c>
      <c r="D84" s="412">
        <v>0</v>
      </c>
      <c r="E84" s="412">
        <v>1</v>
      </c>
      <c r="F84" s="412">
        <v>2</v>
      </c>
      <c r="G84" s="412">
        <v>3</v>
      </c>
      <c r="H84" s="412">
        <v>4</v>
      </c>
      <c r="I84" s="413">
        <v>5</v>
      </c>
      <c r="J84" s="340"/>
      <c r="K84" s="340"/>
      <c r="L84" s="340"/>
      <c r="M84" s="340"/>
      <c r="N84" s="307"/>
      <c r="O84" s="340"/>
      <c r="R84" s="302"/>
      <c r="S84" s="150"/>
      <c r="T84" s="150"/>
      <c r="U84" s="150"/>
      <c r="V84" s="148"/>
      <c r="W84" s="148"/>
      <c r="X84" s="148"/>
      <c r="Y84" s="305"/>
      <c r="AF84" s="397"/>
      <c r="AG84" s="397"/>
      <c r="AH84" s="397"/>
      <c r="AI84" s="397"/>
    </row>
    <row r="85" spans="1:35" s="184" customFormat="1" ht="11.25" customHeight="1" thickBot="1" x14ac:dyDescent="0.25">
      <c r="A85" s="605"/>
      <c r="B85" s="393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07"/>
      <c r="O85" s="340"/>
      <c r="R85" s="302"/>
      <c r="S85" s="150"/>
      <c r="T85" s="150"/>
      <c r="U85" s="150"/>
      <c r="V85" s="148"/>
      <c r="W85" s="148"/>
      <c r="X85" s="148"/>
      <c r="Y85" s="305"/>
      <c r="AF85" s="620" t="s">
        <v>207</v>
      </c>
      <c r="AG85" s="620"/>
      <c r="AH85" s="620"/>
      <c r="AI85" s="414"/>
    </row>
    <row r="86" spans="1:35" s="184" customFormat="1" ht="11.25" customHeight="1" thickBot="1" x14ac:dyDescent="0.25">
      <c r="A86" s="605"/>
      <c r="B86" s="393"/>
      <c r="C86" s="340"/>
      <c r="D86" s="415"/>
      <c r="E86" s="394"/>
      <c r="F86" s="394"/>
      <c r="G86" s="394"/>
      <c r="H86" s="393"/>
      <c r="I86" s="394"/>
      <c r="J86" s="394"/>
      <c r="K86" s="416" t="s">
        <v>305</v>
      </c>
      <c r="L86" s="417">
        <f>G117</f>
        <v>0</v>
      </c>
      <c r="M86" s="340"/>
      <c r="N86" s="307"/>
      <c r="O86" s="340"/>
      <c r="R86" s="302"/>
      <c r="S86" s="148" t="s">
        <v>93</v>
      </c>
      <c r="T86" s="148"/>
      <c r="U86" s="148"/>
      <c r="V86" s="418" t="s">
        <v>94</v>
      </c>
      <c r="W86" s="418"/>
      <c r="X86" s="418"/>
      <c r="Y86" s="305"/>
      <c r="AG86" s="148"/>
      <c r="AH86" s="148"/>
      <c r="AI86" s="148"/>
    </row>
    <row r="87" spans="1:35" s="184" customFormat="1" ht="11.25" customHeight="1" x14ac:dyDescent="0.2">
      <c r="A87" s="605"/>
      <c r="B87" s="393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07"/>
      <c r="O87" s="340"/>
      <c r="R87" s="302"/>
      <c r="S87" s="299">
        <f>GEOMETRY!D6</f>
        <v>0</v>
      </c>
      <c r="T87" s="148" t="s">
        <v>96</v>
      </c>
      <c r="U87" s="148"/>
      <c r="V87" s="148">
        <f>IF(S87&lt;&gt;0,W87,V88)</f>
        <v>20</v>
      </c>
      <c r="W87" s="148">
        <f>IF('TRAFFIC &amp; ACCIDENTS'!G31&lt;400,40,X87)</f>
        <v>40</v>
      </c>
      <c r="X87" s="148">
        <f>IF('TRAFFIC &amp; ACCIDENTS'!G31&lt;2001,50,60)</f>
        <v>50</v>
      </c>
      <c r="Y87" s="305"/>
      <c r="AF87" s="279" t="s">
        <v>209</v>
      </c>
      <c r="AG87" s="279" t="s">
        <v>208</v>
      </c>
      <c r="AH87" s="279" t="s">
        <v>89</v>
      </c>
    </row>
    <row r="88" spans="1:35" s="184" customFormat="1" ht="11.25" customHeight="1" x14ac:dyDescent="0.2">
      <c r="A88" s="605"/>
      <c r="B88" s="393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R88" s="302"/>
      <c r="S88" s="299">
        <f>GEOMETRY!D7</f>
        <v>0</v>
      </c>
      <c r="T88" s="148" t="s">
        <v>98</v>
      </c>
      <c r="U88" s="148"/>
      <c r="V88" s="148">
        <f>IF(S88&lt;&gt;0,W88,V89)</f>
        <v>20</v>
      </c>
      <c r="W88" s="148">
        <f>IF('TRAFFIC &amp; ACCIDENTS'!G31&lt;400,30,X88)</f>
        <v>30</v>
      </c>
      <c r="X88" s="148">
        <f>IF('TRAFFIC &amp; ACCIDENTS'!G31&lt;2001,40,50)</f>
        <v>40</v>
      </c>
      <c r="Y88" s="305"/>
      <c r="AF88" s="419">
        <f>IF(AND(V91&lt;60,'TRAFFIC &amp; ACCIDENTS'!G31&lt;1501),22,AF89)</f>
        <v>24</v>
      </c>
      <c r="AG88" s="150">
        <f>IF(AND(V91&lt;50,'TRAFFIC &amp; ACCIDENTS'!G31&lt;2001),22,AG89)</f>
        <v>24</v>
      </c>
      <c r="AH88" s="150">
        <f>IF('TRAFFIC &amp; ACCIDENTS'!G31&gt;2000,24,0)</f>
        <v>0</v>
      </c>
    </row>
    <row r="89" spans="1:35" s="184" customFormat="1" ht="11.25" customHeight="1" x14ac:dyDescent="0.2">
      <c r="A89" s="605"/>
      <c r="B89" s="393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R89" s="302"/>
      <c r="S89" s="299">
        <f>GEOMETRY!D8</f>
        <v>0</v>
      </c>
      <c r="T89" s="148" t="s">
        <v>101</v>
      </c>
      <c r="U89" s="148"/>
      <c r="V89" s="148">
        <f>W89</f>
        <v>20</v>
      </c>
      <c r="W89" s="148">
        <f>IF('TRAFFIC &amp; ACCIDENTS'!G31&lt;400,20,X89)</f>
        <v>20</v>
      </c>
      <c r="X89" s="148">
        <f>IF('TRAFFIC &amp; ACCIDENTS'!G31&lt;2001,30,40)</f>
        <v>30</v>
      </c>
      <c r="Y89" s="305"/>
      <c r="AF89" s="150">
        <f>IF(AND(V91&gt;55,'TRAFFIC &amp; ACCIDENTS'!G31&lt;1501),24,AG88)</f>
        <v>24</v>
      </c>
      <c r="AG89" s="150">
        <f>IF(AND(V91&gt;=50,'TRAFFIC &amp; ACCIDENTS'!G31&lt;=2001),24,AH88)</f>
        <v>24</v>
      </c>
      <c r="AH89" s="150"/>
    </row>
    <row r="90" spans="1:35" s="184" customFormat="1" ht="11.25" customHeight="1" x14ac:dyDescent="0.2">
      <c r="A90" s="605"/>
      <c r="B90" s="393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R90" s="302"/>
      <c r="S90" s="150"/>
      <c r="T90" s="148"/>
      <c r="U90" s="148"/>
      <c r="V90" s="148"/>
      <c r="W90" s="148"/>
      <c r="X90" s="148"/>
      <c r="Y90" s="305"/>
      <c r="AG90" s="150"/>
      <c r="AH90" s="150"/>
      <c r="AI90" s="150"/>
    </row>
    <row r="91" spans="1:35" s="184" customFormat="1" ht="11.25" customHeight="1" x14ac:dyDescent="0.2">
      <c r="A91" s="605"/>
      <c r="B91" s="393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148"/>
      <c r="Q91" s="148"/>
      <c r="R91" s="302"/>
      <c r="S91" s="150"/>
      <c r="T91" s="148"/>
      <c r="U91" s="300" t="s">
        <v>102</v>
      </c>
      <c r="V91" s="299" t="str">
        <f>IF(AND(S87=0,S88=0,S89=0),"",V87)</f>
        <v/>
      </c>
      <c r="W91" s="618" t="s">
        <v>439</v>
      </c>
      <c r="X91" s="618"/>
      <c r="Y91" s="619"/>
    </row>
    <row r="92" spans="1:35" s="184" customFormat="1" ht="11.25" customHeight="1" x14ac:dyDescent="0.2">
      <c r="A92" s="605"/>
      <c r="B92" s="393"/>
      <c r="C92" s="307" t="s">
        <v>114</v>
      </c>
      <c r="D92" s="307"/>
      <c r="E92" s="307"/>
      <c r="F92" s="307"/>
      <c r="G92" s="307"/>
      <c r="H92" s="394"/>
      <c r="I92" s="394"/>
      <c r="J92" s="340"/>
      <c r="K92" s="340"/>
      <c r="L92" s="340"/>
      <c r="M92" s="340"/>
      <c r="N92" s="340"/>
      <c r="O92" s="340"/>
      <c r="R92" s="302"/>
      <c r="S92" s="148"/>
      <c r="T92" s="148"/>
      <c r="U92" s="148"/>
      <c r="V92" s="148"/>
      <c r="W92" s="618"/>
      <c r="X92" s="618"/>
      <c r="Y92" s="619"/>
    </row>
    <row r="93" spans="1:35" s="184" customFormat="1" ht="11.25" customHeight="1" x14ac:dyDescent="0.2">
      <c r="A93" s="605"/>
      <c r="B93" s="393"/>
      <c r="C93" s="420" t="s">
        <v>115</v>
      </c>
      <c r="D93" s="309" t="s">
        <v>116</v>
      </c>
      <c r="E93" s="309"/>
      <c r="F93" s="309"/>
      <c r="G93" s="309"/>
      <c r="H93" s="409"/>
      <c r="I93" s="409"/>
      <c r="J93" s="309"/>
      <c r="K93" s="351"/>
      <c r="L93" s="340"/>
      <c r="M93" s="340"/>
      <c r="N93" s="340"/>
      <c r="O93" s="340"/>
      <c r="R93" s="303"/>
      <c r="S93" s="304"/>
      <c r="T93" s="304"/>
      <c r="U93" s="304"/>
      <c r="V93" s="304"/>
      <c r="W93" s="304"/>
      <c r="X93" s="304"/>
      <c r="Y93" s="421"/>
    </row>
    <row r="94" spans="1:35" s="184" customFormat="1" ht="11.25" customHeight="1" x14ac:dyDescent="0.2">
      <c r="A94" s="605"/>
      <c r="B94" s="393"/>
      <c r="C94" s="422"/>
      <c r="D94" s="325"/>
      <c r="E94" s="307"/>
      <c r="F94" s="343"/>
      <c r="G94" s="307"/>
      <c r="H94" s="307"/>
      <c r="I94" s="307"/>
      <c r="J94" s="307"/>
      <c r="K94" s="348"/>
      <c r="L94" s="307"/>
      <c r="M94" s="340"/>
      <c r="N94" s="340"/>
      <c r="O94" s="340"/>
    </row>
    <row r="95" spans="1:35" s="184" customFormat="1" ht="11.25" customHeight="1" x14ac:dyDescent="0.2">
      <c r="A95" s="605"/>
      <c r="B95" s="393"/>
      <c r="C95" s="423"/>
      <c r="D95" s="343"/>
      <c r="E95" s="343" t="s">
        <v>108</v>
      </c>
      <c r="F95" s="343" t="s">
        <v>117</v>
      </c>
      <c r="G95" s="343" t="s">
        <v>91</v>
      </c>
      <c r="H95" s="343"/>
      <c r="I95" s="343" t="s">
        <v>123</v>
      </c>
      <c r="J95" s="307"/>
      <c r="K95" s="348"/>
      <c r="L95" s="307"/>
      <c r="M95" s="340"/>
      <c r="N95" s="340"/>
      <c r="O95" s="340"/>
      <c r="R95" s="148"/>
      <c r="S95" s="148"/>
      <c r="T95" s="148"/>
      <c r="U95" s="148"/>
      <c r="V95" s="148"/>
      <c r="W95" s="148"/>
      <c r="X95" s="148"/>
      <c r="Y95" s="148"/>
      <c r="Z95" s="148"/>
    </row>
    <row r="96" spans="1:35" s="184" customFormat="1" ht="11.25" customHeight="1" x14ac:dyDescent="0.2">
      <c r="A96" s="605"/>
      <c r="B96" s="393"/>
      <c r="C96" s="312"/>
      <c r="D96" s="307"/>
      <c r="E96" s="343" t="s">
        <v>110</v>
      </c>
      <c r="F96" s="343" t="s">
        <v>103</v>
      </c>
      <c r="G96" s="343" t="s">
        <v>103</v>
      </c>
      <c r="H96" s="343" t="s">
        <v>122</v>
      </c>
      <c r="I96" s="343" t="s">
        <v>124</v>
      </c>
      <c r="J96" s="307"/>
      <c r="K96" s="348"/>
      <c r="L96" s="307"/>
      <c r="M96" s="340"/>
      <c r="N96" s="340"/>
      <c r="O96" s="340"/>
      <c r="R96" s="148"/>
      <c r="S96" s="148"/>
      <c r="T96" s="148"/>
      <c r="U96" s="148"/>
      <c r="V96" s="148"/>
      <c r="W96" s="148"/>
      <c r="X96" s="148"/>
      <c r="Y96" s="148"/>
      <c r="Z96" s="148"/>
    </row>
    <row r="97" spans="1:38" s="184" customFormat="1" ht="11.25" customHeight="1" x14ac:dyDescent="0.2">
      <c r="A97" s="605"/>
      <c r="B97" s="393"/>
      <c r="C97" s="312"/>
      <c r="D97" s="424" t="s">
        <v>109</v>
      </c>
      <c r="E97" s="425" t="s">
        <v>111</v>
      </c>
      <c r="F97" s="425" t="s">
        <v>118</v>
      </c>
      <c r="G97" s="425" t="s">
        <v>119</v>
      </c>
      <c r="H97" s="425" t="s">
        <v>121</v>
      </c>
      <c r="I97" s="425" t="s">
        <v>125</v>
      </c>
      <c r="J97" s="307"/>
      <c r="K97" s="348"/>
      <c r="L97" s="307"/>
      <c r="M97" s="340"/>
      <c r="N97" s="340"/>
      <c r="O97" s="340"/>
      <c r="R97" s="148"/>
      <c r="S97" s="148"/>
      <c r="T97" s="148"/>
      <c r="U97" s="148"/>
      <c r="V97" s="148"/>
      <c r="W97" s="148"/>
      <c r="X97" s="148"/>
      <c r="Y97" s="148"/>
      <c r="Z97" s="148"/>
    </row>
    <row r="98" spans="1:38" s="184" customFormat="1" ht="11.25" customHeight="1" x14ac:dyDescent="0.2">
      <c r="A98" s="605"/>
      <c r="B98" s="393"/>
      <c r="C98" s="312"/>
      <c r="D98" s="343">
        <v>1</v>
      </c>
      <c r="E98" s="343">
        <f>GEOMETRY!C22</f>
        <v>0</v>
      </c>
      <c r="F98" s="343" t="str">
        <f t="shared" ref="F98:F111" si="1">IF(E98&gt;0,ROUND(C120,0),"")</f>
        <v/>
      </c>
      <c r="G98" s="343" t="str">
        <f>V91</f>
        <v/>
      </c>
      <c r="H98" s="343">
        <f>GEOMETRY!D22</f>
        <v>0</v>
      </c>
      <c r="I98" s="426">
        <f>IF(G98&gt;F98,(H98/5280)/F114,0)</f>
        <v>0</v>
      </c>
      <c r="J98" s="307"/>
      <c r="K98" s="348"/>
      <c r="L98" s="307"/>
      <c r="M98" s="340"/>
      <c r="N98" s="340"/>
      <c r="O98" s="340"/>
      <c r="R98" s="148"/>
      <c r="S98" s="150"/>
      <c r="T98" s="150"/>
      <c r="U98" s="150"/>
      <c r="V98" s="148"/>
      <c r="W98" s="148"/>
      <c r="X98" s="148"/>
      <c r="Y98" s="148"/>
      <c r="Z98" s="148"/>
    </row>
    <row r="99" spans="1:38" s="184" customFormat="1" ht="11.25" customHeight="1" x14ac:dyDescent="0.2">
      <c r="A99" s="605"/>
      <c r="B99" s="340"/>
      <c r="C99" s="312"/>
      <c r="D99" s="343">
        <v>2</v>
      </c>
      <c r="E99" s="343">
        <f>GEOMETRY!C23</f>
        <v>0</v>
      </c>
      <c r="F99" s="343" t="str">
        <f t="shared" si="1"/>
        <v/>
      </c>
      <c r="G99" s="343" t="str">
        <f>V91</f>
        <v/>
      </c>
      <c r="H99" s="343">
        <f>GEOMETRY!D23</f>
        <v>0</v>
      </c>
      <c r="I99" s="426">
        <f>IF(G99&gt;F99,(H99/5280)/F114,0)</f>
        <v>0</v>
      </c>
      <c r="J99" s="307"/>
      <c r="K99" s="348"/>
      <c r="L99" s="307"/>
      <c r="M99" s="340"/>
      <c r="N99" s="340"/>
      <c r="O99" s="340"/>
      <c r="R99" s="148"/>
      <c r="S99" s="148"/>
      <c r="T99" s="148"/>
      <c r="U99" s="148"/>
      <c r="V99" s="418"/>
      <c r="W99" s="418"/>
      <c r="X99" s="418"/>
      <c r="Y99" s="148"/>
      <c r="Z99" s="148"/>
    </row>
    <row r="100" spans="1:38" s="184" customFormat="1" ht="11.25" customHeight="1" x14ac:dyDescent="0.2">
      <c r="A100" s="605"/>
      <c r="B100" s="393"/>
      <c r="C100" s="312"/>
      <c r="D100" s="343">
        <v>3</v>
      </c>
      <c r="E100" s="343">
        <f>GEOMETRY!C24</f>
        <v>0</v>
      </c>
      <c r="F100" s="343" t="str">
        <f t="shared" si="1"/>
        <v/>
      </c>
      <c r="G100" s="343" t="str">
        <f>V91</f>
        <v/>
      </c>
      <c r="H100" s="343">
        <f>GEOMETRY!D24</f>
        <v>0</v>
      </c>
      <c r="I100" s="426">
        <f>IF(G100&gt;F100,(H100/5280)/F114,0)</f>
        <v>0</v>
      </c>
      <c r="J100" s="307"/>
      <c r="K100" s="348"/>
      <c r="L100" s="307"/>
      <c r="M100" s="340"/>
      <c r="N100" s="340"/>
      <c r="O100" s="340"/>
      <c r="R100" s="148"/>
      <c r="S100" s="427"/>
      <c r="T100" s="148"/>
      <c r="U100" s="148"/>
      <c r="V100" s="428"/>
      <c r="W100" s="428"/>
      <c r="X100" s="148"/>
      <c r="Y100" s="148"/>
      <c r="Z100" s="148"/>
    </row>
    <row r="101" spans="1:38" s="184" customFormat="1" ht="11.25" customHeight="1" x14ac:dyDescent="0.2">
      <c r="A101" s="605"/>
      <c r="B101" s="393"/>
      <c r="C101" s="312"/>
      <c r="D101" s="343">
        <v>4</v>
      </c>
      <c r="E101" s="343">
        <f>GEOMETRY!C25</f>
        <v>0</v>
      </c>
      <c r="F101" s="343" t="str">
        <f t="shared" si="1"/>
        <v/>
      </c>
      <c r="G101" s="343" t="str">
        <f>V91</f>
        <v/>
      </c>
      <c r="H101" s="343">
        <f>GEOMETRY!D25</f>
        <v>0</v>
      </c>
      <c r="I101" s="426">
        <f>IF(G101&gt;F101,(H101/5280)/F114,0)</f>
        <v>0</v>
      </c>
      <c r="J101" s="307"/>
      <c r="K101" s="348"/>
      <c r="L101" s="307"/>
      <c r="M101" s="340"/>
      <c r="N101" s="340"/>
      <c r="O101" s="340"/>
      <c r="R101" s="148"/>
      <c r="S101" s="150"/>
      <c r="T101" s="148"/>
      <c r="U101" s="148"/>
      <c r="V101" s="148"/>
      <c r="W101" s="148"/>
      <c r="X101" s="148"/>
      <c r="Y101" s="148"/>
      <c r="Z101" s="148"/>
    </row>
    <row r="102" spans="1:38" s="184" customFormat="1" ht="11.25" customHeight="1" x14ac:dyDescent="0.2">
      <c r="A102" s="605"/>
      <c r="B102" s="393"/>
      <c r="C102" s="312"/>
      <c r="D102" s="343">
        <v>5</v>
      </c>
      <c r="E102" s="343">
        <f>GEOMETRY!C26</f>
        <v>0</v>
      </c>
      <c r="F102" s="343" t="str">
        <f t="shared" si="1"/>
        <v/>
      </c>
      <c r="G102" s="343" t="str">
        <f>V91</f>
        <v/>
      </c>
      <c r="H102" s="343">
        <f>GEOMETRY!D26</f>
        <v>0</v>
      </c>
      <c r="I102" s="426">
        <f>IF(G102&gt;F102,(H102/5280)/F114,0)</f>
        <v>0</v>
      </c>
      <c r="J102" s="307"/>
      <c r="K102" s="348"/>
      <c r="L102" s="307"/>
      <c r="M102" s="340"/>
      <c r="N102" s="340"/>
      <c r="O102" s="340"/>
      <c r="R102" s="148"/>
      <c r="S102" s="150"/>
      <c r="T102" s="148"/>
      <c r="U102" s="148"/>
      <c r="V102" s="148"/>
      <c r="W102" s="148"/>
      <c r="X102" s="148"/>
      <c r="Y102" s="148"/>
      <c r="Z102" s="148"/>
    </row>
    <row r="103" spans="1:38" s="184" customFormat="1" ht="11.25" customHeight="1" x14ac:dyDescent="0.2">
      <c r="A103" s="605"/>
      <c r="B103" s="393"/>
      <c r="C103" s="312"/>
      <c r="D103" s="343">
        <v>6</v>
      </c>
      <c r="E103" s="343">
        <f>GEOMETRY!C27</f>
        <v>0</v>
      </c>
      <c r="F103" s="343" t="str">
        <f t="shared" si="1"/>
        <v/>
      </c>
      <c r="G103" s="343" t="str">
        <f>V91</f>
        <v/>
      </c>
      <c r="H103" s="343">
        <f>GEOMETRY!D27</f>
        <v>0</v>
      </c>
      <c r="I103" s="426">
        <f>IF(G103&gt;F103,(H103/5280)/F114,0)</f>
        <v>0</v>
      </c>
      <c r="J103" s="307"/>
      <c r="K103" s="348"/>
      <c r="L103" s="307"/>
      <c r="M103" s="340"/>
      <c r="N103" s="340"/>
      <c r="O103" s="340"/>
      <c r="R103" s="148"/>
      <c r="S103" s="150"/>
      <c r="T103" s="148"/>
      <c r="U103" s="148"/>
      <c r="V103" s="148"/>
      <c r="W103" s="148"/>
      <c r="X103" s="148"/>
      <c r="Y103" s="148"/>
      <c r="Z103" s="148"/>
    </row>
    <row r="104" spans="1:38" s="184" customFormat="1" ht="11.25" customHeight="1" x14ac:dyDescent="0.2">
      <c r="A104" s="605"/>
      <c r="B104" s="393"/>
      <c r="C104" s="312"/>
      <c r="D104" s="343">
        <v>7</v>
      </c>
      <c r="E104" s="343">
        <f>GEOMETRY!C28</f>
        <v>0</v>
      </c>
      <c r="F104" s="343" t="str">
        <f t="shared" si="1"/>
        <v/>
      </c>
      <c r="G104" s="343" t="str">
        <f>V91</f>
        <v/>
      </c>
      <c r="H104" s="343">
        <f>GEOMETRY!D28</f>
        <v>0</v>
      </c>
      <c r="I104" s="426">
        <f>IF(G104&gt;F104,(H104/5280)/F114,0)</f>
        <v>0</v>
      </c>
      <c r="J104" s="307"/>
      <c r="K104" s="348"/>
      <c r="L104" s="307"/>
      <c r="M104" s="340"/>
      <c r="N104" s="340"/>
      <c r="O104" s="340"/>
      <c r="R104" s="148"/>
      <c r="S104" s="150"/>
      <c r="T104" s="148"/>
      <c r="U104" s="300"/>
      <c r="V104" s="150"/>
      <c r="W104" s="148"/>
      <c r="X104" s="148"/>
      <c r="Y104" s="148"/>
      <c r="Z104" s="148"/>
    </row>
    <row r="105" spans="1:38" s="184" customFormat="1" ht="11.25" customHeight="1" x14ac:dyDescent="0.2">
      <c r="A105" s="605"/>
      <c r="B105" s="393"/>
      <c r="C105" s="312"/>
      <c r="D105" s="343">
        <v>8</v>
      </c>
      <c r="E105" s="343">
        <f>GEOMETRY!C29</f>
        <v>0</v>
      </c>
      <c r="F105" s="343" t="str">
        <f t="shared" si="1"/>
        <v/>
      </c>
      <c r="G105" s="343" t="str">
        <f>V91</f>
        <v/>
      </c>
      <c r="H105" s="343">
        <f>GEOMETRY!D29</f>
        <v>0</v>
      </c>
      <c r="I105" s="426">
        <f>IF(G105&gt;F105,(H105/5280)/F114,0)</f>
        <v>0</v>
      </c>
      <c r="J105" s="307"/>
      <c r="K105" s="348"/>
      <c r="L105" s="307"/>
      <c r="M105" s="340"/>
      <c r="N105" s="340"/>
      <c r="O105" s="340"/>
      <c r="R105" s="148"/>
      <c r="S105" s="148"/>
      <c r="T105" s="148"/>
      <c r="U105" s="148"/>
      <c r="V105" s="148"/>
      <c r="W105" s="148"/>
      <c r="X105" s="148"/>
      <c r="Y105" s="148"/>
      <c r="Z105" s="148"/>
    </row>
    <row r="106" spans="1:38" s="184" customFormat="1" ht="11.25" customHeight="1" x14ac:dyDescent="0.2">
      <c r="A106" s="605"/>
      <c r="B106" s="393"/>
      <c r="C106" s="312"/>
      <c r="D106" s="343">
        <v>9</v>
      </c>
      <c r="E106" s="343">
        <f>GEOMETRY!C30</f>
        <v>0</v>
      </c>
      <c r="F106" s="343" t="str">
        <f t="shared" si="1"/>
        <v/>
      </c>
      <c r="G106" s="343" t="str">
        <f>V91</f>
        <v/>
      </c>
      <c r="H106" s="343">
        <f>GEOMETRY!D30</f>
        <v>0</v>
      </c>
      <c r="I106" s="426">
        <f>IF(G106&gt;F106,(H106/5280)/F114,0)</f>
        <v>0</v>
      </c>
      <c r="J106" s="307"/>
      <c r="K106" s="348"/>
      <c r="L106" s="307"/>
      <c r="M106" s="340"/>
      <c r="N106" s="340"/>
      <c r="O106" s="340"/>
      <c r="R106" s="148"/>
      <c r="S106" s="148"/>
      <c r="T106" s="148"/>
      <c r="U106" s="148"/>
      <c r="V106" s="148"/>
      <c r="W106" s="148"/>
      <c r="X106" s="148"/>
      <c r="Y106" s="148"/>
      <c r="Z106" s="148"/>
      <c r="AJ106" s="150"/>
      <c r="AK106" s="150"/>
      <c r="AL106" s="150"/>
    </row>
    <row r="107" spans="1:38" s="184" customFormat="1" ht="11.25" customHeight="1" x14ac:dyDescent="0.2">
      <c r="A107" s="605"/>
      <c r="B107" s="393"/>
      <c r="C107" s="312"/>
      <c r="D107" s="343">
        <v>10</v>
      </c>
      <c r="E107" s="343">
        <f>GEOMETRY!C31</f>
        <v>0</v>
      </c>
      <c r="F107" s="343" t="str">
        <f t="shared" si="1"/>
        <v/>
      </c>
      <c r="G107" s="343" t="str">
        <f>V91</f>
        <v/>
      </c>
      <c r="H107" s="343">
        <f>GEOMETRY!D31</f>
        <v>0</v>
      </c>
      <c r="I107" s="426">
        <f>IF(G107&gt;F107,(H107/5280)/F114,0)</f>
        <v>0</v>
      </c>
      <c r="J107" s="307"/>
      <c r="K107" s="348"/>
      <c r="L107" s="307"/>
      <c r="M107" s="340"/>
      <c r="N107" s="340"/>
      <c r="O107" s="340"/>
      <c r="R107" s="148"/>
      <c r="S107" s="148"/>
      <c r="T107" s="148"/>
      <c r="U107" s="148"/>
      <c r="V107" s="148"/>
      <c r="W107" s="148"/>
      <c r="X107" s="148"/>
      <c r="Y107" s="148"/>
      <c r="Z107" s="148"/>
      <c r="AJ107" s="150"/>
      <c r="AK107" s="150"/>
      <c r="AL107" s="150"/>
    </row>
    <row r="108" spans="1:38" s="184" customFormat="1" ht="11.25" customHeight="1" x14ac:dyDescent="0.2">
      <c r="A108" s="605"/>
      <c r="B108" s="393"/>
      <c r="C108" s="312"/>
      <c r="D108" s="343">
        <v>11</v>
      </c>
      <c r="E108" s="343">
        <f>GEOMETRY!C32</f>
        <v>0</v>
      </c>
      <c r="F108" s="343" t="str">
        <f t="shared" si="1"/>
        <v/>
      </c>
      <c r="G108" s="343" t="str">
        <f>V91</f>
        <v/>
      </c>
      <c r="H108" s="343">
        <f>GEOMETRY!D32</f>
        <v>0</v>
      </c>
      <c r="I108" s="426">
        <f>IF(G108&gt;F108,(H108/5280)/F114,0)</f>
        <v>0</v>
      </c>
      <c r="J108" s="307"/>
      <c r="K108" s="348"/>
      <c r="L108" s="307"/>
      <c r="M108" s="340"/>
      <c r="N108" s="340"/>
      <c r="O108" s="340"/>
      <c r="R108" s="148"/>
      <c r="S108" s="148"/>
      <c r="T108" s="148"/>
      <c r="U108" s="148"/>
      <c r="V108" s="148"/>
      <c r="W108" s="148"/>
      <c r="X108" s="148"/>
      <c r="Y108" s="148"/>
      <c r="Z108" s="148"/>
      <c r="AJ108" s="150"/>
      <c r="AK108" s="150"/>
      <c r="AL108" s="150"/>
    </row>
    <row r="109" spans="1:38" s="184" customFormat="1" ht="11.25" customHeight="1" x14ac:dyDescent="0.2">
      <c r="A109" s="605"/>
      <c r="B109" s="393"/>
      <c r="C109" s="312"/>
      <c r="D109" s="343">
        <v>12</v>
      </c>
      <c r="E109" s="343">
        <f>GEOMETRY!C33</f>
        <v>0</v>
      </c>
      <c r="F109" s="343" t="str">
        <f t="shared" si="1"/>
        <v/>
      </c>
      <c r="G109" s="343" t="str">
        <f>V91</f>
        <v/>
      </c>
      <c r="H109" s="343">
        <f>GEOMETRY!D33</f>
        <v>0</v>
      </c>
      <c r="I109" s="426">
        <f>IF(G109&gt;F109,(H109/5280)/F114,0)</f>
        <v>0</v>
      </c>
      <c r="J109" s="307"/>
      <c r="K109" s="348"/>
      <c r="L109" s="307"/>
      <c r="M109" s="340"/>
      <c r="N109" s="340"/>
      <c r="O109" s="340"/>
      <c r="R109" s="148"/>
      <c r="S109" s="148"/>
      <c r="T109" s="148"/>
      <c r="U109" s="148"/>
      <c r="V109" s="429"/>
      <c r="W109" s="429"/>
      <c r="X109" s="429"/>
      <c r="Y109" s="429"/>
      <c r="Z109" s="148"/>
      <c r="AJ109" s="150"/>
      <c r="AK109" s="150"/>
      <c r="AL109" s="150"/>
    </row>
    <row r="110" spans="1:38" s="184" customFormat="1" ht="11.25" customHeight="1" x14ac:dyDescent="0.2">
      <c r="A110" s="605"/>
      <c r="B110" s="393"/>
      <c r="C110" s="312"/>
      <c r="D110" s="343">
        <v>13</v>
      </c>
      <c r="E110" s="343">
        <f>GEOMETRY!C34</f>
        <v>0</v>
      </c>
      <c r="F110" s="343" t="str">
        <f t="shared" si="1"/>
        <v/>
      </c>
      <c r="G110" s="343" t="str">
        <f>V91</f>
        <v/>
      </c>
      <c r="H110" s="343">
        <f>GEOMETRY!D34</f>
        <v>0</v>
      </c>
      <c r="I110" s="426">
        <f>IF(G110&gt;F110,(H110/5280)/F114,0)</f>
        <v>0</v>
      </c>
      <c r="J110" s="307"/>
      <c r="K110" s="430"/>
      <c r="L110" s="343"/>
      <c r="M110" s="340"/>
      <c r="N110" s="340"/>
      <c r="O110" s="340"/>
      <c r="R110" s="148"/>
      <c r="S110" s="148"/>
      <c r="T110" s="148"/>
      <c r="U110" s="148"/>
      <c r="V110" s="148"/>
      <c r="W110" s="148"/>
      <c r="X110" s="148"/>
      <c r="Y110" s="148"/>
      <c r="Z110" s="148"/>
      <c r="AJ110" s="150"/>
      <c r="AK110" s="150"/>
      <c r="AL110" s="150"/>
    </row>
    <row r="111" spans="1:38" s="184" customFormat="1" ht="11.25" customHeight="1" x14ac:dyDescent="0.2">
      <c r="A111" s="605"/>
      <c r="B111" s="393"/>
      <c r="C111" s="312"/>
      <c r="D111" s="343">
        <v>14</v>
      </c>
      <c r="E111" s="343">
        <f>GEOMETRY!C35</f>
        <v>0</v>
      </c>
      <c r="F111" s="343" t="str">
        <f t="shared" si="1"/>
        <v/>
      </c>
      <c r="G111" s="343" t="str">
        <f>V91</f>
        <v/>
      </c>
      <c r="H111" s="343">
        <f>GEOMETRY!D35</f>
        <v>0</v>
      </c>
      <c r="I111" s="426">
        <f>IF(G111&gt;F111,(H111/5280)/F114,0)</f>
        <v>0</v>
      </c>
      <c r="J111" s="307"/>
      <c r="K111" s="430"/>
      <c r="L111" s="343"/>
      <c r="M111" s="340"/>
      <c r="N111" s="340"/>
      <c r="O111" s="340"/>
      <c r="R111" s="148"/>
      <c r="S111" s="148"/>
      <c r="T111" s="148"/>
      <c r="U111" s="148"/>
      <c r="V111" s="148"/>
      <c r="W111" s="148"/>
      <c r="X111" s="148"/>
      <c r="Y111" s="148"/>
      <c r="Z111" s="148"/>
      <c r="AJ111" s="150"/>
      <c r="AK111" s="150"/>
      <c r="AL111" s="150"/>
    </row>
    <row r="112" spans="1:38" s="184" customFormat="1" ht="11.25" customHeight="1" x14ac:dyDescent="0.2">
      <c r="A112" s="605"/>
      <c r="B112" s="393"/>
      <c r="C112" s="312"/>
      <c r="D112" s="307"/>
      <c r="E112" s="307"/>
      <c r="F112" s="307"/>
      <c r="G112" s="335" t="s">
        <v>129</v>
      </c>
      <c r="H112" s="431">
        <f>SUM(H98:H111)</f>
        <v>0</v>
      </c>
      <c r="I112" s="426">
        <f>SUM(I98:I111)</f>
        <v>0</v>
      </c>
      <c r="J112" s="307" t="s">
        <v>39</v>
      </c>
      <c r="K112" s="430"/>
      <c r="L112" s="343"/>
      <c r="M112" s="340"/>
      <c r="N112" s="340"/>
      <c r="O112" s="340"/>
      <c r="R112" s="148"/>
      <c r="S112" s="148"/>
      <c r="T112" s="148"/>
      <c r="U112" s="148"/>
      <c r="V112" s="148"/>
      <c r="W112" s="148"/>
      <c r="X112" s="148"/>
      <c r="Y112" s="148"/>
      <c r="Z112" s="148"/>
    </row>
    <row r="113" spans="1:28" s="184" customFormat="1" ht="11.25" customHeight="1" x14ac:dyDescent="0.2">
      <c r="A113" s="605"/>
      <c r="B113" s="393"/>
      <c r="C113" s="312"/>
      <c r="D113" s="307"/>
      <c r="E113" s="307"/>
      <c r="F113" s="343"/>
      <c r="G113" s="335" t="s">
        <v>128</v>
      </c>
      <c r="H113" s="432">
        <f>H112/5280</f>
        <v>0</v>
      </c>
      <c r="I113" s="307"/>
      <c r="J113" s="307"/>
      <c r="K113" s="430"/>
      <c r="L113" s="343"/>
      <c r="M113" s="340"/>
      <c r="N113" s="340"/>
      <c r="O113" s="340"/>
      <c r="R113" s="148"/>
      <c r="S113" s="148"/>
      <c r="T113" s="148"/>
      <c r="U113" s="148"/>
      <c r="V113" s="148"/>
      <c r="W113" s="148"/>
      <c r="X113" s="148"/>
      <c r="Y113" s="148"/>
      <c r="Z113" s="148"/>
    </row>
    <row r="114" spans="1:28" s="184" customFormat="1" ht="11.25" customHeight="1" x14ac:dyDescent="0.2">
      <c r="A114" s="605"/>
      <c r="B114" s="340"/>
      <c r="C114" s="312"/>
      <c r="D114" s="307"/>
      <c r="E114" s="335" t="s">
        <v>120</v>
      </c>
      <c r="F114" s="343">
        <f>'TRAFFIC &amp; ACCIDENTS'!E11</f>
        <v>0</v>
      </c>
      <c r="G114" s="307"/>
      <c r="H114" s="307"/>
      <c r="I114" s="307"/>
      <c r="J114" s="307"/>
      <c r="K114" s="430"/>
      <c r="L114" s="343"/>
      <c r="M114" s="340"/>
      <c r="N114" s="307"/>
      <c r="O114" s="340"/>
      <c r="R114" s="148"/>
      <c r="S114" s="148"/>
      <c r="T114" s="148"/>
      <c r="U114" s="148"/>
      <c r="V114" s="148"/>
      <c r="W114" s="148"/>
      <c r="X114" s="148"/>
      <c r="Y114" s="148"/>
      <c r="Z114" s="148"/>
      <c r="AA114" s="277"/>
      <c r="AB114" s="277"/>
    </row>
    <row r="115" spans="1:28" s="184" customFormat="1" ht="11.25" customHeight="1" x14ac:dyDescent="0.2">
      <c r="A115" s="605"/>
      <c r="B115" s="340"/>
      <c r="C115" s="312"/>
      <c r="D115" s="307"/>
      <c r="E115" s="307"/>
      <c r="F115" s="343"/>
      <c r="G115" s="307"/>
      <c r="H115" s="307"/>
      <c r="I115" s="307"/>
      <c r="J115" s="307"/>
      <c r="K115" s="348"/>
      <c r="L115" s="307"/>
      <c r="M115" s="340"/>
      <c r="N115" s="307"/>
      <c r="O115" s="340"/>
      <c r="R115" s="148"/>
      <c r="S115" s="148"/>
      <c r="T115" s="148"/>
      <c r="U115" s="148"/>
      <c r="V115" s="148"/>
      <c r="W115" s="148"/>
      <c r="X115" s="148"/>
      <c r="Y115" s="148"/>
      <c r="Z115" s="148"/>
    </row>
    <row r="116" spans="1:28" s="184" customFormat="1" ht="11.25" customHeight="1" x14ac:dyDescent="0.2">
      <c r="A116" s="605"/>
      <c r="B116" s="340"/>
      <c r="C116" s="312"/>
      <c r="D116" s="307"/>
      <c r="E116" s="307"/>
      <c r="F116" s="343"/>
      <c r="G116" s="307" t="s">
        <v>126</v>
      </c>
      <c r="H116" s="307"/>
      <c r="I116" s="433" t="s">
        <v>127</v>
      </c>
      <c r="J116" s="307"/>
      <c r="K116" s="348"/>
      <c r="L116" s="307"/>
      <c r="M116" s="340"/>
      <c r="N116" s="307"/>
      <c r="O116" s="340"/>
      <c r="R116" s="148"/>
      <c r="S116" s="148"/>
      <c r="T116" s="148"/>
      <c r="U116" s="148"/>
      <c r="V116" s="148"/>
      <c r="W116" s="148"/>
      <c r="X116" s="148"/>
      <c r="Y116" s="148"/>
      <c r="Z116" s="148"/>
    </row>
    <row r="117" spans="1:28" s="184" customFormat="1" ht="11.25" customHeight="1" x14ac:dyDescent="0.2">
      <c r="A117" s="605"/>
      <c r="B117" s="340"/>
      <c r="C117" s="344"/>
      <c r="D117" s="345"/>
      <c r="E117" s="345"/>
      <c r="F117" s="377"/>
      <c r="G117" s="434">
        <f>IF((I112/2)*100&gt;10,10,(I112/2)*100)</f>
        <v>0</v>
      </c>
      <c r="H117" s="345"/>
      <c r="I117" s="345" t="s">
        <v>403</v>
      </c>
      <c r="J117" s="345"/>
      <c r="K117" s="379"/>
      <c r="L117" s="307"/>
      <c r="M117" s="340"/>
      <c r="N117" s="307"/>
      <c r="O117" s="340"/>
    </row>
    <row r="118" spans="1:28" s="184" customFormat="1" ht="11.25" customHeight="1" x14ac:dyDescent="0.2">
      <c r="A118" s="605"/>
      <c r="B118" s="340"/>
      <c r="C118" s="340"/>
      <c r="D118" s="307"/>
      <c r="E118" s="307"/>
      <c r="F118" s="343"/>
      <c r="G118" s="307"/>
      <c r="H118" s="307"/>
      <c r="I118" s="307"/>
      <c r="J118" s="307"/>
      <c r="K118" s="307"/>
      <c r="L118" s="307"/>
      <c r="M118" s="340"/>
      <c r="N118" s="307"/>
      <c r="O118" s="340"/>
    </row>
    <row r="119" spans="1:28" s="184" customFormat="1" ht="11.25" customHeight="1" x14ac:dyDescent="0.2">
      <c r="A119" s="605"/>
      <c r="B119" s="340"/>
      <c r="C119" s="435" t="s">
        <v>436</v>
      </c>
      <c r="D119" s="436"/>
      <c r="E119" s="436"/>
      <c r="F119" s="436"/>
      <c r="G119" s="309"/>
      <c r="H119" s="309"/>
      <c r="I119" s="309"/>
      <c r="J119" s="309"/>
      <c r="K119" s="309"/>
      <c r="L119" s="309"/>
      <c r="M119" s="351"/>
      <c r="N119" s="307"/>
      <c r="O119" s="340"/>
    </row>
    <row r="120" spans="1:28" s="184" customFormat="1" ht="11.25" customHeight="1" x14ac:dyDescent="0.2">
      <c r="A120" s="605"/>
      <c r="B120" s="340"/>
      <c r="C120" s="331">
        <f t="shared" ref="C120:C133" si="2">IF(AND(E98&gt;=0,E98&lt;=80),10+((E98-0)/80)*5,D120)</f>
        <v>10</v>
      </c>
      <c r="D120" s="343">
        <f t="shared" ref="D120:D133" si="3">IF(AND(E98&gt;80,E98&lt;=115),15+((E98-80)/35)*5,E120)</f>
        <v>0</v>
      </c>
      <c r="E120" s="343">
        <f t="shared" ref="E120:E133" si="4">IF(AND(E98&gt;115,E98&lt;=155),20+((E98-115)/40)*5,F120)</f>
        <v>0</v>
      </c>
      <c r="F120" s="343">
        <f t="shared" ref="F120:F133" si="5">IF(AND(E98&gt;155,E98&lt;=200),25+((E98-155)/45)*5,G120)</f>
        <v>0</v>
      </c>
      <c r="G120" s="343">
        <f t="shared" ref="G120:G133" si="6">IF(AND(E98&gt;200,E98&lt;=250),30+((E98-200)/50)*5,H120)</f>
        <v>0</v>
      </c>
      <c r="H120" s="343">
        <f t="shared" ref="H120:H133" si="7">IF(AND(E98&gt;250,E98&lt;=305),35+((E98-250)/55)*5,I120)</f>
        <v>0</v>
      </c>
      <c r="I120" s="343">
        <f t="shared" ref="I120:I133" si="8">IF(AND(E98&gt;305,E98&lt;=360),40+((E98-305)/55)*5,J120)</f>
        <v>0</v>
      </c>
      <c r="J120" s="343">
        <f t="shared" ref="J120:J133" si="9">IF(AND(E98&gt;360,E98&lt;=425),45+((E98-360)/65)*5,K120)</f>
        <v>0</v>
      </c>
      <c r="K120" s="343">
        <f t="shared" ref="K120:K133" si="10">IF(AND(E98&gt;425,E98&lt;=495),50+((E98-425)/70)*5,L120)</f>
        <v>0</v>
      </c>
      <c r="L120" s="343">
        <f t="shared" ref="L120:L133" si="11">IF(AND(E98&gt;495,E98&lt;=570),55+((E98-495)/75)*5,M120)</f>
        <v>0</v>
      </c>
      <c r="M120" s="430">
        <f t="shared" ref="M120:M133" si="12">IF(E98&gt;570,60,0)</f>
        <v>0</v>
      </c>
      <c r="N120" s="307"/>
      <c r="O120" s="340"/>
    </row>
    <row r="121" spans="1:28" s="184" customFormat="1" ht="11.25" customHeight="1" x14ac:dyDescent="0.2">
      <c r="A121" s="605"/>
      <c r="B121" s="340"/>
      <c r="C121" s="331">
        <f t="shared" si="2"/>
        <v>10</v>
      </c>
      <c r="D121" s="343">
        <f t="shared" si="3"/>
        <v>0</v>
      </c>
      <c r="E121" s="343">
        <f t="shared" si="4"/>
        <v>0</v>
      </c>
      <c r="F121" s="343">
        <f t="shared" si="5"/>
        <v>0</v>
      </c>
      <c r="G121" s="343">
        <f t="shared" si="6"/>
        <v>0</v>
      </c>
      <c r="H121" s="343">
        <f t="shared" si="7"/>
        <v>0</v>
      </c>
      <c r="I121" s="343">
        <f t="shared" si="8"/>
        <v>0</v>
      </c>
      <c r="J121" s="343">
        <f t="shared" si="9"/>
        <v>0</v>
      </c>
      <c r="K121" s="343">
        <f t="shared" si="10"/>
        <v>0</v>
      </c>
      <c r="L121" s="343">
        <f t="shared" si="11"/>
        <v>0</v>
      </c>
      <c r="M121" s="430">
        <f t="shared" si="12"/>
        <v>0</v>
      </c>
      <c r="N121" s="340"/>
      <c r="O121" s="340"/>
      <c r="AA121" s="277"/>
    </row>
    <row r="122" spans="1:28" s="184" customFormat="1" ht="11.25" customHeight="1" x14ac:dyDescent="0.2">
      <c r="A122" s="605"/>
      <c r="B122" s="340"/>
      <c r="C122" s="331">
        <f t="shared" si="2"/>
        <v>10</v>
      </c>
      <c r="D122" s="343">
        <f t="shared" si="3"/>
        <v>0</v>
      </c>
      <c r="E122" s="343">
        <f t="shared" si="4"/>
        <v>0</v>
      </c>
      <c r="F122" s="343">
        <f t="shared" si="5"/>
        <v>0</v>
      </c>
      <c r="G122" s="343">
        <f t="shared" si="6"/>
        <v>0</v>
      </c>
      <c r="H122" s="343">
        <f t="shared" si="7"/>
        <v>0</v>
      </c>
      <c r="I122" s="343">
        <f t="shared" si="8"/>
        <v>0</v>
      </c>
      <c r="J122" s="343">
        <f t="shared" si="9"/>
        <v>0</v>
      </c>
      <c r="K122" s="343">
        <f t="shared" si="10"/>
        <v>0</v>
      </c>
      <c r="L122" s="343">
        <f t="shared" si="11"/>
        <v>0</v>
      </c>
      <c r="M122" s="430">
        <f t="shared" si="12"/>
        <v>0</v>
      </c>
      <c r="N122" s="340"/>
      <c r="O122" s="340"/>
    </row>
    <row r="123" spans="1:28" s="184" customFormat="1" ht="11.25" customHeight="1" x14ac:dyDescent="0.2">
      <c r="A123" s="605"/>
      <c r="B123" s="340"/>
      <c r="C123" s="331">
        <f t="shared" si="2"/>
        <v>10</v>
      </c>
      <c r="D123" s="343">
        <f t="shared" si="3"/>
        <v>0</v>
      </c>
      <c r="E123" s="343">
        <f t="shared" si="4"/>
        <v>0</v>
      </c>
      <c r="F123" s="343">
        <f t="shared" si="5"/>
        <v>0</v>
      </c>
      <c r="G123" s="343">
        <f t="shared" si="6"/>
        <v>0</v>
      </c>
      <c r="H123" s="343">
        <f t="shared" si="7"/>
        <v>0</v>
      </c>
      <c r="I123" s="343">
        <f t="shared" si="8"/>
        <v>0</v>
      </c>
      <c r="J123" s="343">
        <f t="shared" si="9"/>
        <v>0</v>
      </c>
      <c r="K123" s="343">
        <f t="shared" si="10"/>
        <v>0</v>
      </c>
      <c r="L123" s="343">
        <f t="shared" si="11"/>
        <v>0</v>
      </c>
      <c r="M123" s="430">
        <f t="shared" si="12"/>
        <v>0</v>
      </c>
      <c r="N123" s="340"/>
      <c r="O123" s="340"/>
    </row>
    <row r="124" spans="1:28" s="184" customFormat="1" ht="11.25" customHeight="1" x14ac:dyDescent="0.2">
      <c r="A124" s="605"/>
      <c r="B124" s="340"/>
      <c r="C124" s="331">
        <f t="shared" si="2"/>
        <v>10</v>
      </c>
      <c r="D124" s="343">
        <f t="shared" si="3"/>
        <v>0</v>
      </c>
      <c r="E124" s="343">
        <f t="shared" si="4"/>
        <v>0</v>
      </c>
      <c r="F124" s="343">
        <f t="shared" si="5"/>
        <v>0</v>
      </c>
      <c r="G124" s="343">
        <f t="shared" si="6"/>
        <v>0</v>
      </c>
      <c r="H124" s="343">
        <f t="shared" si="7"/>
        <v>0</v>
      </c>
      <c r="I124" s="343">
        <f t="shared" si="8"/>
        <v>0</v>
      </c>
      <c r="J124" s="343">
        <f t="shared" si="9"/>
        <v>0</v>
      </c>
      <c r="K124" s="343">
        <f t="shared" si="10"/>
        <v>0</v>
      </c>
      <c r="L124" s="343">
        <f t="shared" si="11"/>
        <v>0</v>
      </c>
      <c r="M124" s="430">
        <f t="shared" si="12"/>
        <v>0</v>
      </c>
      <c r="N124" s="340"/>
      <c r="O124" s="340"/>
    </row>
    <row r="125" spans="1:28" s="184" customFormat="1" ht="11.25" customHeight="1" x14ac:dyDescent="0.2">
      <c r="A125" s="605"/>
      <c r="B125" s="340"/>
      <c r="C125" s="331">
        <f t="shared" si="2"/>
        <v>10</v>
      </c>
      <c r="D125" s="343">
        <f t="shared" si="3"/>
        <v>0</v>
      </c>
      <c r="E125" s="343">
        <f t="shared" si="4"/>
        <v>0</v>
      </c>
      <c r="F125" s="343">
        <f t="shared" si="5"/>
        <v>0</v>
      </c>
      <c r="G125" s="343">
        <f t="shared" si="6"/>
        <v>0</v>
      </c>
      <c r="H125" s="343">
        <f t="shared" si="7"/>
        <v>0</v>
      </c>
      <c r="I125" s="343">
        <f t="shared" si="8"/>
        <v>0</v>
      </c>
      <c r="J125" s="343">
        <f t="shared" si="9"/>
        <v>0</v>
      </c>
      <c r="K125" s="343">
        <f t="shared" si="10"/>
        <v>0</v>
      </c>
      <c r="L125" s="343">
        <f t="shared" si="11"/>
        <v>0</v>
      </c>
      <c r="M125" s="430">
        <f t="shared" si="12"/>
        <v>0</v>
      </c>
      <c r="N125" s="340"/>
      <c r="O125" s="340"/>
    </row>
    <row r="126" spans="1:28" s="184" customFormat="1" ht="11.25" customHeight="1" x14ac:dyDescent="0.2">
      <c r="A126" s="605"/>
      <c r="B126" s="340"/>
      <c r="C126" s="331">
        <f t="shared" si="2"/>
        <v>10</v>
      </c>
      <c r="D126" s="343">
        <f t="shared" si="3"/>
        <v>0</v>
      </c>
      <c r="E126" s="343">
        <f t="shared" si="4"/>
        <v>0</v>
      </c>
      <c r="F126" s="343">
        <f t="shared" si="5"/>
        <v>0</v>
      </c>
      <c r="G126" s="343">
        <f t="shared" si="6"/>
        <v>0</v>
      </c>
      <c r="H126" s="343">
        <f t="shared" si="7"/>
        <v>0</v>
      </c>
      <c r="I126" s="343">
        <f t="shared" si="8"/>
        <v>0</v>
      </c>
      <c r="J126" s="343">
        <f t="shared" si="9"/>
        <v>0</v>
      </c>
      <c r="K126" s="343">
        <f t="shared" si="10"/>
        <v>0</v>
      </c>
      <c r="L126" s="343">
        <f t="shared" si="11"/>
        <v>0</v>
      </c>
      <c r="M126" s="430">
        <f t="shared" si="12"/>
        <v>0</v>
      </c>
      <c r="N126" s="340"/>
      <c r="O126" s="340"/>
    </row>
    <row r="127" spans="1:28" s="184" customFormat="1" ht="11.25" customHeight="1" x14ac:dyDescent="0.2">
      <c r="A127" s="605"/>
      <c r="B127" s="340"/>
      <c r="C127" s="331">
        <f t="shared" si="2"/>
        <v>10</v>
      </c>
      <c r="D127" s="343">
        <f t="shared" si="3"/>
        <v>0</v>
      </c>
      <c r="E127" s="343">
        <f t="shared" si="4"/>
        <v>0</v>
      </c>
      <c r="F127" s="343">
        <f t="shared" si="5"/>
        <v>0</v>
      </c>
      <c r="G127" s="343">
        <f t="shared" si="6"/>
        <v>0</v>
      </c>
      <c r="H127" s="343">
        <f t="shared" si="7"/>
        <v>0</v>
      </c>
      <c r="I127" s="343">
        <f t="shared" si="8"/>
        <v>0</v>
      </c>
      <c r="J127" s="343">
        <f t="shared" si="9"/>
        <v>0</v>
      </c>
      <c r="K127" s="343">
        <f t="shared" si="10"/>
        <v>0</v>
      </c>
      <c r="L127" s="343">
        <f t="shared" si="11"/>
        <v>0</v>
      </c>
      <c r="M127" s="430">
        <f t="shared" si="12"/>
        <v>0</v>
      </c>
      <c r="N127" s="340"/>
      <c r="O127" s="340"/>
    </row>
    <row r="128" spans="1:28" s="184" customFormat="1" ht="11.25" customHeight="1" x14ac:dyDescent="0.2">
      <c r="A128" s="605"/>
      <c r="B128" s="340"/>
      <c r="C128" s="331">
        <f t="shared" si="2"/>
        <v>10</v>
      </c>
      <c r="D128" s="343">
        <f t="shared" si="3"/>
        <v>0</v>
      </c>
      <c r="E128" s="343">
        <f t="shared" si="4"/>
        <v>0</v>
      </c>
      <c r="F128" s="343">
        <f t="shared" si="5"/>
        <v>0</v>
      </c>
      <c r="G128" s="343">
        <f t="shared" si="6"/>
        <v>0</v>
      </c>
      <c r="H128" s="343">
        <f t="shared" si="7"/>
        <v>0</v>
      </c>
      <c r="I128" s="343">
        <f t="shared" si="8"/>
        <v>0</v>
      </c>
      <c r="J128" s="343">
        <f t="shared" si="9"/>
        <v>0</v>
      </c>
      <c r="K128" s="343">
        <f t="shared" si="10"/>
        <v>0</v>
      </c>
      <c r="L128" s="343">
        <f t="shared" si="11"/>
        <v>0</v>
      </c>
      <c r="M128" s="430">
        <f t="shared" si="12"/>
        <v>0</v>
      </c>
      <c r="N128" s="340"/>
      <c r="O128" s="340"/>
    </row>
    <row r="129" spans="1:29" s="184" customFormat="1" ht="11.25" customHeight="1" x14ac:dyDescent="0.2">
      <c r="A129" s="605"/>
      <c r="B129" s="340"/>
      <c r="C129" s="331">
        <f t="shared" si="2"/>
        <v>10</v>
      </c>
      <c r="D129" s="343">
        <f t="shared" si="3"/>
        <v>0</v>
      </c>
      <c r="E129" s="343">
        <f t="shared" si="4"/>
        <v>0</v>
      </c>
      <c r="F129" s="343">
        <f t="shared" si="5"/>
        <v>0</v>
      </c>
      <c r="G129" s="343">
        <f t="shared" si="6"/>
        <v>0</v>
      </c>
      <c r="H129" s="343">
        <f t="shared" si="7"/>
        <v>0</v>
      </c>
      <c r="I129" s="343">
        <f t="shared" si="8"/>
        <v>0</v>
      </c>
      <c r="J129" s="343">
        <f t="shared" si="9"/>
        <v>0</v>
      </c>
      <c r="K129" s="343">
        <f t="shared" si="10"/>
        <v>0</v>
      </c>
      <c r="L129" s="343">
        <f t="shared" si="11"/>
        <v>0</v>
      </c>
      <c r="M129" s="430">
        <f t="shared" si="12"/>
        <v>0</v>
      </c>
      <c r="N129" s="340"/>
      <c r="O129" s="340"/>
    </row>
    <row r="130" spans="1:29" s="184" customFormat="1" ht="11.25" customHeight="1" x14ac:dyDescent="0.2">
      <c r="A130" s="605"/>
      <c r="B130" s="340"/>
      <c r="C130" s="331">
        <f t="shared" si="2"/>
        <v>10</v>
      </c>
      <c r="D130" s="343">
        <f t="shared" si="3"/>
        <v>0</v>
      </c>
      <c r="E130" s="343">
        <f t="shared" si="4"/>
        <v>0</v>
      </c>
      <c r="F130" s="343">
        <f t="shared" si="5"/>
        <v>0</v>
      </c>
      <c r="G130" s="343">
        <f t="shared" si="6"/>
        <v>0</v>
      </c>
      <c r="H130" s="343">
        <f t="shared" si="7"/>
        <v>0</v>
      </c>
      <c r="I130" s="343">
        <f t="shared" si="8"/>
        <v>0</v>
      </c>
      <c r="J130" s="343">
        <f t="shared" si="9"/>
        <v>0</v>
      </c>
      <c r="K130" s="343">
        <f t="shared" si="10"/>
        <v>0</v>
      </c>
      <c r="L130" s="343">
        <f t="shared" si="11"/>
        <v>0</v>
      </c>
      <c r="M130" s="430">
        <f t="shared" si="12"/>
        <v>0</v>
      </c>
      <c r="N130" s="340"/>
      <c r="O130" s="340"/>
    </row>
    <row r="131" spans="1:29" s="184" customFormat="1" ht="11.25" customHeight="1" x14ac:dyDescent="0.2">
      <c r="A131" s="605"/>
      <c r="B131" s="340"/>
      <c r="C131" s="331">
        <f t="shared" si="2"/>
        <v>10</v>
      </c>
      <c r="D131" s="343">
        <f t="shared" si="3"/>
        <v>0</v>
      </c>
      <c r="E131" s="343">
        <f t="shared" si="4"/>
        <v>0</v>
      </c>
      <c r="F131" s="343">
        <f t="shared" si="5"/>
        <v>0</v>
      </c>
      <c r="G131" s="343">
        <f t="shared" si="6"/>
        <v>0</v>
      </c>
      <c r="H131" s="343">
        <f t="shared" si="7"/>
        <v>0</v>
      </c>
      <c r="I131" s="343">
        <f t="shared" si="8"/>
        <v>0</v>
      </c>
      <c r="J131" s="343">
        <f t="shared" si="9"/>
        <v>0</v>
      </c>
      <c r="K131" s="343">
        <f t="shared" si="10"/>
        <v>0</v>
      </c>
      <c r="L131" s="343">
        <f t="shared" si="11"/>
        <v>0</v>
      </c>
      <c r="M131" s="430">
        <f t="shared" si="12"/>
        <v>0</v>
      </c>
      <c r="N131" s="340"/>
      <c r="O131" s="340"/>
    </row>
    <row r="132" spans="1:29" s="184" customFormat="1" ht="11.25" customHeight="1" x14ac:dyDescent="0.2">
      <c r="A132" s="605"/>
      <c r="B132" s="340"/>
      <c r="C132" s="331">
        <f t="shared" si="2"/>
        <v>10</v>
      </c>
      <c r="D132" s="343">
        <f t="shared" si="3"/>
        <v>0</v>
      </c>
      <c r="E132" s="343">
        <f t="shared" si="4"/>
        <v>0</v>
      </c>
      <c r="F132" s="343">
        <f t="shared" si="5"/>
        <v>0</v>
      </c>
      <c r="G132" s="343">
        <f t="shared" si="6"/>
        <v>0</v>
      </c>
      <c r="H132" s="343">
        <f t="shared" si="7"/>
        <v>0</v>
      </c>
      <c r="I132" s="343">
        <f t="shared" si="8"/>
        <v>0</v>
      </c>
      <c r="J132" s="343">
        <f t="shared" si="9"/>
        <v>0</v>
      </c>
      <c r="K132" s="343">
        <f t="shared" si="10"/>
        <v>0</v>
      </c>
      <c r="L132" s="343">
        <f t="shared" si="11"/>
        <v>0</v>
      </c>
      <c r="M132" s="430">
        <f t="shared" si="12"/>
        <v>0</v>
      </c>
      <c r="N132" s="340"/>
      <c r="O132" s="340"/>
    </row>
    <row r="133" spans="1:29" s="184" customFormat="1" ht="11.25" customHeight="1" x14ac:dyDescent="0.2">
      <c r="A133" s="605"/>
      <c r="B133" s="340"/>
      <c r="C133" s="331">
        <f t="shared" si="2"/>
        <v>10</v>
      </c>
      <c r="D133" s="343">
        <f t="shared" si="3"/>
        <v>0</v>
      </c>
      <c r="E133" s="343">
        <f t="shared" si="4"/>
        <v>0</v>
      </c>
      <c r="F133" s="343">
        <f t="shared" si="5"/>
        <v>0</v>
      </c>
      <c r="G133" s="343">
        <f t="shared" si="6"/>
        <v>0</v>
      </c>
      <c r="H133" s="343">
        <f t="shared" si="7"/>
        <v>0</v>
      </c>
      <c r="I133" s="343">
        <f t="shared" si="8"/>
        <v>0</v>
      </c>
      <c r="J133" s="343">
        <f t="shared" si="9"/>
        <v>0</v>
      </c>
      <c r="K133" s="343">
        <f t="shared" si="10"/>
        <v>0</v>
      </c>
      <c r="L133" s="343">
        <f t="shared" si="11"/>
        <v>0</v>
      </c>
      <c r="M133" s="430">
        <f t="shared" si="12"/>
        <v>0</v>
      </c>
      <c r="N133" s="340"/>
      <c r="O133" s="340"/>
    </row>
    <row r="134" spans="1:29" s="184" customFormat="1" ht="11.25" customHeight="1" x14ac:dyDescent="0.2">
      <c r="A134" s="605"/>
      <c r="B134" s="340"/>
      <c r="C134" s="344"/>
      <c r="D134" s="345"/>
      <c r="E134" s="345"/>
      <c r="F134" s="345"/>
      <c r="G134" s="345"/>
      <c r="H134" s="345"/>
      <c r="I134" s="345"/>
      <c r="J134" s="345"/>
      <c r="K134" s="345"/>
      <c r="L134" s="345"/>
      <c r="M134" s="379"/>
      <c r="N134" s="340"/>
      <c r="O134" s="340"/>
      <c r="S134" s="277"/>
      <c r="T134" s="277"/>
      <c r="U134" s="277"/>
      <c r="AA134" s="277"/>
    </row>
    <row r="135" spans="1:29" s="184" customFormat="1" ht="11.25" customHeight="1" x14ac:dyDescent="0.2">
      <c r="A135" s="605"/>
      <c r="B135" s="340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S135" s="277"/>
      <c r="T135" s="277"/>
      <c r="U135" s="277"/>
      <c r="AA135" s="277"/>
    </row>
    <row r="136" spans="1:29" x14ac:dyDescent="0.2">
      <c r="B136" s="291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</row>
    <row r="137" spans="1:29" ht="13.5" thickBot="1" x14ac:dyDescent="0.25">
      <c r="A137" s="437"/>
      <c r="B137" s="437"/>
      <c r="C137" s="437"/>
      <c r="D137" s="437"/>
      <c r="E137" s="437"/>
      <c r="F137" s="437"/>
      <c r="G137" s="437"/>
      <c r="H137" s="437"/>
      <c r="I137" s="437"/>
      <c r="J137" s="437"/>
      <c r="K137" s="437"/>
      <c r="L137" s="437"/>
    </row>
    <row r="138" spans="1:29" ht="13.5" thickTop="1" x14ac:dyDescent="0.2">
      <c r="A138" s="606"/>
      <c r="B138" s="353"/>
      <c r="C138" s="353"/>
      <c r="D138" s="353"/>
      <c r="E138" s="353"/>
      <c r="F138" s="353"/>
      <c r="G138" s="353"/>
      <c r="H138" s="353"/>
      <c r="I138" s="353"/>
      <c r="J138" s="353"/>
      <c r="K138" s="353"/>
      <c r="L138" s="353"/>
      <c r="M138" s="353"/>
      <c r="N138" s="438"/>
      <c r="O138" s="438"/>
      <c r="P138" s="438"/>
      <c r="Q138" s="438"/>
      <c r="R138" s="438"/>
      <c r="S138" s="438"/>
      <c r="T138" s="438"/>
      <c r="U138" s="438"/>
      <c r="V138" s="438"/>
      <c r="W138" s="438"/>
      <c r="X138" s="438"/>
      <c r="Y138" s="438"/>
      <c r="Z138" s="438"/>
      <c r="AA138" s="438"/>
      <c r="AB138" s="438"/>
      <c r="AC138" s="438"/>
    </row>
    <row r="139" spans="1:29" x14ac:dyDescent="0.2">
      <c r="A139" s="605"/>
      <c r="B139" s="438"/>
      <c r="C139" s="439" t="s">
        <v>432</v>
      </c>
      <c r="D139" s="309"/>
      <c r="E139" s="309"/>
      <c r="F139" s="309"/>
      <c r="G139" s="309"/>
      <c r="H139" s="309"/>
      <c r="I139" s="309"/>
      <c r="J139" s="309"/>
      <c r="K139" s="309"/>
      <c r="L139" s="309"/>
      <c r="M139" s="309"/>
      <c r="N139" s="440"/>
      <c r="O139" s="438"/>
      <c r="P139" s="438"/>
      <c r="Q139" s="242">
        <f>'TRAFFIC &amp; ACCIDENTS'!E8</f>
        <v>0</v>
      </c>
      <c r="R139" s="306" t="s">
        <v>19</v>
      </c>
      <c r="S139" s="307"/>
      <c r="T139" s="307"/>
      <c r="U139" s="308"/>
      <c r="V139" s="309"/>
      <c r="W139" s="310"/>
      <c r="X139" s="311" t="s">
        <v>379</v>
      </c>
      <c r="Y139" s="309"/>
      <c r="Z139" s="309"/>
      <c r="AA139" s="309"/>
      <c r="AB139" s="440"/>
      <c r="AC139" s="438"/>
    </row>
    <row r="140" spans="1:29" x14ac:dyDescent="0.2">
      <c r="A140" s="605"/>
      <c r="B140" s="438"/>
      <c r="C140" s="312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441"/>
      <c r="O140" s="438"/>
      <c r="P140" s="438"/>
      <c r="Q140" s="240"/>
      <c r="R140" s="240"/>
      <c r="S140" s="240"/>
      <c r="T140" s="240"/>
      <c r="U140" s="312"/>
      <c r="V140" s="307"/>
      <c r="W140" s="313"/>
      <c r="X140" s="314" t="s">
        <v>437</v>
      </c>
      <c r="Y140" s="307"/>
      <c r="Z140" s="307"/>
      <c r="AA140" s="307"/>
      <c r="AB140" s="441"/>
      <c r="AC140" s="438"/>
    </row>
    <row r="141" spans="1:29" x14ac:dyDescent="0.2">
      <c r="A141" s="605"/>
      <c r="B141" s="438"/>
      <c r="C141" s="315" t="s">
        <v>88</v>
      </c>
      <c r="D141" s="316"/>
      <c r="E141" s="316" t="s">
        <v>374</v>
      </c>
      <c r="F141" s="316"/>
      <c r="G141" s="307"/>
      <c r="H141" s="307"/>
      <c r="I141" s="307"/>
      <c r="J141" s="307"/>
      <c r="K141" s="306"/>
      <c r="L141" s="317"/>
      <c r="M141" s="307"/>
      <c r="N141" s="441"/>
      <c r="O141" s="438"/>
      <c r="P141" s="438"/>
      <c r="Q141" s="307"/>
      <c r="R141" s="307"/>
      <c r="S141" s="307"/>
      <c r="T141" s="307"/>
      <c r="U141" s="312"/>
      <c r="V141" s="307" t="s">
        <v>380</v>
      </c>
      <c r="W141" s="318"/>
      <c r="X141" s="307"/>
      <c r="Y141" s="307"/>
      <c r="Z141" s="307"/>
      <c r="AA141" s="307"/>
      <c r="AB141" s="441"/>
      <c r="AC141" s="438"/>
    </row>
    <row r="142" spans="1:29" x14ac:dyDescent="0.2">
      <c r="A142" s="605"/>
      <c r="B142" s="438"/>
      <c r="C142" s="319"/>
      <c r="D142" s="320"/>
      <c r="E142" s="320"/>
      <c r="F142" s="320"/>
      <c r="G142" s="307"/>
      <c r="H142" s="307"/>
      <c r="I142" s="307"/>
      <c r="J142" s="307"/>
      <c r="K142" s="306"/>
      <c r="L142" s="317"/>
      <c r="M142" s="307"/>
      <c r="N142" s="441"/>
      <c r="O142" s="438"/>
      <c r="P142" s="438"/>
      <c r="Q142" s="321"/>
      <c r="R142" s="321"/>
      <c r="S142" s="321"/>
      <c r="T142" s="321"/>
      <c r="U142" s="312"/>
      <c r="V142" s="307" t="s">
        <v>381</v>
      </c>
      <c r="W142" s="322" t="s">
        <v>382</v>
      </c>
      <c r="X142" s="322" t="s">
        <v>445</v>
      </c>
      <c r="Y142" s="322" t="s">
        <v>384</v>
      </c>
      <c r="Z142" s="322" t="s">
        <v>385</v>
      </c>
      <c r="AA142" s="322" t="s">
        <v>383</v>
      </c>
      <c r="AB142" s="441"/>
      <c r="AC142" s="438"/>
    </row>
    <row r="143" spans="1:29" x14ac:dyDescent="0.2">
      <c r="A143" s="605"/>
      <c r="B143" s="438"/>
      <c r="C143" s="323">
        <v>0</v>
      </c>
      <c r="D143" s="320"/>
      <c r="E143" s="324" t="s">
        <v>43</v>
      </c>
      <c r="F143" s="320" t="s">
        <v>444</v>
      </c>
      <c r="G143" s="307"/>
      <c r="H143" s="307"/>
      <c r="I143" s="307"/>
      <c r="J143" s="307"/>
      <c r="K143" s="306"/>
      <c r="L143" s="317"/>
      <c r="M143" s="307"/>
      <c r="N143" s="441"/>
      <c r="O143" s="438"/>
      <c r="P143" s="438"/>
      <c r="Q143" s="307"/>
      <c r="R143" s="325"/>
      <c r="S143" s="325"/>
      <c r="T143" s="325"/>
      <c r="U143" s="326" t="s">
        <v>109</v>
      </c>
      <c r="V143" s="321" t="s">
        <v>103</v>
      </c>
      <c r="W143" s="322" t="s">
        <v>386</v>
      </c>
      <c r="X143" s="322" t="s">
        <v>387</v>
      </c>
      <c r="Y143" s="322" t="s">
        <v>388</v>
      </c>
      <c r="Z143" s="322" t="s">
        <v>389</v>
      </c>
      <c r="AA143" s="322" t="s">
        <v>390</v>
      </c>
      <c r="AB143" s="441"/>
      <c r="AC143" s="438"/>
    </row>
    <row r="144" spans="1:29" x14ac:dyDescent="0.2">
      <c r="A144" s="605"/>
      <c r="B144" s="438"/>
      <c r="C144" s="323"/>
      <c r="D144" s="320"/>
      <c r="E144" s="324"/>
      <c r="F144" s="320"/>
      <c r="G144" s="307"/>
      <c r="H144" s="307"/>
      <c r="I144" s="307"/>
      <c r="J144" s="307"/>
      <c r="K144" s="306"/>
      <c r="L144" s="317"/>
      <c r="M144" s="307"/>
      <c r="N144" s="441"/>
      <c r="O144" s="438"/>
      <c r="P144" s="438"/>
      <c r="Q144" s="307"/>
      <c r="R144" s="327"/>
      <c r="S144" s="307"/>
      <c r="T144" s="307"/>
      <c r="U144" s="312"/>
      <c r="V144" s="328" t="s">
        <v>391</v>
      </c>
      <c r="W144" s="329" t="s">
        <v>392</v>
      </c>
      <c r="X144" s="329" t="s">
        <v>393</v>
      </c>
      <c r="Y144" s="329" t="s">
        <v>394</v>
      </c>
      <c r="Z144" s="329" t="s">
        <v>394</v>
      </c>
      <c r="AA144" s="329" t="s">
        <v>394</v>
      </c>
      <c r="AB144" s="441"/>
      <c r="AC144" s="438"/>
    </row>
    <row r="145" spans="1:29" x14ac:dyDescent="0.2">
      <c r="A145" s="605"/>
      <c r="B145" s="438"/>
      <c r="C145" s="323">
        <v>3.33</v>
      </c>
      <c r="D145" s="320"/>
      <c r="E145" s="324" t="s">
        <v>49</v>
      </c>
      <c r="F145" s="320" t="s">
        <v>441</v>
      </c>
      <c r="G145" s="307"/>
      <c r="H145" s="307"/>
      <c r="I145" s="330"/>
      <c r="J145" s="330"/>
      <c r="K145" s="306"/>
      <c r="L145" s="317"/>
      <c r="M145" s="307"/>
      <c r="N145" s="441"/>
      <c r="O145" s="438"/>
      <c r="P145" s="438"/>
      <c r="Q145" s="307"/>
      <c r="R145" s="307"/>
      <c r="S145" s="307"/>
      <c r="T145" s="307"/>
      <c r="U145" s="331">
        <v>1</v>
      </c>
      <c r="V145" s="332">
        <f>MROUND(GEOMETRY!J22,5)</f>
        <v>0</v>
      </c>
      <c r="W145" s="306">
        <f>IF(AND(V145&lt;&gt;0,S152&gt;V145),S152-V145,0)</f>
        <v>0</v>
      </c>
      <c r="X145" s="306">
        <f t="shared" ref="X145:X158" si="13">IF(W145&lt;=0,1,Y145)</f>
        <v>1</v>
      </c>
      <c r="Y145" s="306" t="str">
        <f>IF(AND(W145&lt;=5,W145&gt;0),1,Z145)</f>
        <v/>
      </c>
      <c r="Z145" s="306" t="str">
        <f t="shared" ref="Z145:Z158" si="14">IF(AND(W145&gt;5,W145&lt;15),1,AA145)</f>
        <v/>
      </c>
      <c r="AA145" s="306" t="str">
        <f t="shared" ref="AA145:AA158" si="15">IF(AND(W145&lt;&gt;"",W145&gt;=15),1,"")</f>
        <v/>
      </c>
      <c r="AB145" s="441"/>
      <c r="AC145" s="438"/>
    </row>
    <row r="146" spans="1:29" x14ac:dyDescent="0.2">
      <c r="A146" s="605"/>
      <c r="B146" s="438"/>
      <c r="C146" s="323"/>
      <c r="D146" s="320"/>
      <c r="E146" s="324"/>
      <c r="F146" s="333" t="s">
        <v>442</v>
      </c>
      <c r="G146" s="307"/>
      <c r="H146" s="307"/>
      <c r="I146" s="307"/>
      <c r="J146" s="307"/>
      <c r="K146" s="306"/>
      <c r="L146" s="317"/>
      <c r="M146" s="307"/>
      <c r="N146" s="441"/>
      <c r="O146" s="438"/>
      <c r="P146" s="438"/>
      <c r="Q146" s="307" t="s">
        <v>179</v>
      </c>
      <c r="R146" s="307"/>
      <c r="S146" s="307"/>
      <c r="T146" s="307"/>
      <c r="U146" s="331">
        <v>2</v>
      </c>
      <c r="V146" s="332">
        <f>MROUND(GEOMETRY!J23,5)</f>
        <v>0</v>
      </c>
      <c r="W146" s="306">
        <f>IF(AND(V146&lt;&gt;0,S152&gt;V146),S152-V146,0)</f>
        <v>0</v>
      </c>
      <c r="X146" s="306">
        <f t="shared" si="13"/>
        <v>1</v>
      </c>
      <c r="Y146" s="306" t="str">
        <f>IF(AND(W146&lt;=5,W146&gt;0),1,Z146)</f>
        <v/>
      </c>
      <c r="Z146" s="306" t="str">
        <f t="shared" si="14"/>
        <v/>
      </c>
      <c r="AA146" s="306" t="str">
        <f t="shared" si="15"/>
        <v/>
      </c>
      <c r="AB146" s="441"/>
      <c r="AC146" s="438"/>
    </row>
    <row r="147" spans="1:29" x14ac:dyDescent="0.2">
      <c r="A147" s="605"/>
      <c r="B147" s="438"/>
      <c r="C147" s="323"/>
      <c r="D147" s="320"/>
      <c r="E147" s="324"/>
      <c r="F147" s="320"/>
      <c r="G147" s="307"/>
      <c r="H147" s="307"/>
      <c r="I147" s="307"/>
      <c r="J147" s="307"/>
      <c r="K147" s="306"/>
      <c r="L147" s="317"/>
      <c r="M147" s="307"/>
      <c r="N147" s="441"/>
      <c r="O147" s="438"/>
      <c r="P147" s="438"/>
      <c r="Q147" s="332">
        <f>GEOMETRY!D6</f>
        <v>0</v>
      </c>
      <c r="R147" s="307" t="s">
        <v>96</v>
      </c>
      <c r="S147" s="307"/>
      <c r="T147" s="307"/>
      <c r="U147" s="331">
        <v>3</v>
      </c>
      <c r="V147" s="332">
        <f>MROUND(GEOMETRY!J24,5)</f>
        <v>0</v>
      </c>
      <c r="W147" s="306">
        <f>IF(AND(V147&lt;&gt;0,S152&gt;V147),S152-V147,0)</f>
        <v>0</v>
      </c>
      <c r="X147" s="306">
        <f t="shared" si="13"/>
        <v>1</v>
      </c>
      <c r="Y147" s="306" t="str">
        <f>IF(AND(W147&lt;=5,W147&gt;0),1,Z147)</f>
        <v/>
      </c>
      <c r="Z147" s="306" t="str">
        <f t="shared" si="14"/>
        <v/>
      </c>
      <c r="AA147" s="306" t="str">
        <f t="shared" si="15"/>
        <v/>
      </c>
      <c r="AB147" s="441"/>
      <c r="AC147" s="438"/>
    </row>
    <row r="148" spans="1:29" x14ac:dyDescent="0.2">
      <c r="A148" s="605"/>
      <c r="B148" s="438"/>
      <c r="C148" s="323">
        <v>6.67</v>
      </c>
      <c r="D148" s="320"/>
      <c r="E148" s="324" t="s">
        <v>61</v>
      </c>
      <c r="F148" s="320" t="s">
        <v>443</v>
      </c>
      <c r="G148" s="307"/>
      <c r="H148" s="307"/>
      <c r="I148" s="307"/>
      <c r="J148" s="307"/>
      <c r="K148" s="306"/>
      <c r="L148" s="317"/>
      <c r="M148" s="307"/>
      <c r="N148" s="441"/>
      <c r="O148" s="438"/>
      <c r="P148" s="438"/>
      <c r="Q148" s="332">
        <f>GEOMETRY!D7</f>
        <v>0</v>
      </c>
      <c r="R148" s="307" t="s">
        <v>98</v>
      </c>
      <c r="S148" s="307"/>
      <c r="T148" s="307"/>
      <c r="U148" s="331">
        <v>4</v>
      </c>
      <c r="V148" s="332">
        <f>MROUND(GEOMETRY!J25,5)</f>
        <v>0</v>
      </c>
      <c r="W148" s="306">
        <f>IF(AND(V148&lt;&gt;0,S152&gt;V148),S152-V148,0)</f>
        <v>0</v>
      </c>
      <c r="X148" s="306">
        <f t="shared" si="13"/>
        <v>1</v>
      </c>
      <c r="Y148" s="306" t="str">
        <f>IF(AND(W148&lt;10,W148&gt;0),1,Z148)</f>
        <v/>
      </c>
      <c r="Z148" s="306" t="str">
        <f t="shared" si="14"/>
        <v/>
      </c>
      <c r="AA148" s="306" t="str">
        <f t="shared" si="15"/>
        <v/>
      </c>
      <c r="AB148" s="441"/>
      <c r="AC148" s="438"/>
    </row>
    <row r="149" spans="1:29" x14ac:dyDescent="0.2">
      <c r="A149" s="605"/>
      <c r="B149" s="438"/>
      <c r="C149" s="334"/>
      <c r="D149" s="306"/>
      <c r="E149" s="322"/>
      <c r="F149" s="333" t="s">
        <v>375</v>
      </c>
      <c r="G149" s="307"/>
      <c r="H149" s="307"/>
      <c r="I149" s="307"/>
      <c r="J149" s="307"/>
      <c r="K149" s="306"/>
      <c r="L149" s="317"/>
      <c r="M149" s="307"/>
      <c r="N149" s="441"/>
      <c r="O149" s="438"/>
      <c r="P149" s="438"/>
      <c r="Q149" s="332">
        <f>GEOMETRY!D8</f>
        <v>0</v>
      </c>
      <c r="R149" s="307" t="s">
        <v>101</v>
      </c>
      <c r="S149" s="307"/>
      <c r="T149" s="307"/>
      <c r="U149" s="331">
        <v>5</v>
      </c>
      <c r="V149" s="332">
        <f>MROUND(GEOMETRY!J26,5)</f>
        <v>0</v>
      </c>
      <c r="W149" s="306">
        <f>IF(AND(V149&lt;&gt;0,S152&gt;V149),S152-V149,0)</f>
        <v>0</v>
      </c>
      <c r="X149" s="306">
        <f t="shared" si="13"/>
        <v>1</v>
      </c>
      <c r="Y149" s="306" t="str">
        <f t="shared" ref="Y149:Y158" si="16">IF(AND(W149&lt;=5,W149&gt;0),1,Z149)</f>
        <v/>
      </c>
      <c r="Z149" s="306" t="str">
        <f t="shared" si="14"/>
        <v/>
      </c>
      <c r="AA149" s="306" t="str">
        <f t="shared" si="15"/>
        <v/>
      </c>
      <c r="AB149" s="441"/>
      <c r="AC149" s="438"/>
    </row>
    <row r="150" spans="1:29" x14ac:dyDescent="0.2">
      <c r="A150" s="605"/>
      <c r="B150" s="438"/>
      <c r="C150" s="323"/>
      <c r="D150" s="320"/>
      <c r="E150" s="324"/>
      <c r="F150" s="320"/>
      <c r="G150" s="306"/>
      <c r="H150" s="306"/>
      <c r="I150" s="306"/>
      <c r="J150" s="306"/>
      <c r="K150" s="306"/>
      <c r="L150" s="307"/>
      <c r="M150" s="307"/>
      <c r="N150" s="441"/>
      <c r="O150" s="438"/>
      <c r="P150" s="438"/>
      <c r="Q150" s="307"/>
      <c r="R150" s="307"/>
      <c r="S150" s="307"/>
      <c r="T150" s="307"/>
      <c r="U150" s="331">
        <v>6</v>
      </c>
      <c r="V150" s="332">
        <f>MROUND(GEOMETRY!J27,5)</f>
        <v>0</v>
      </c>
      <c r="W150" s="306">
        <f>IF(AND(V150&lt;&gt;0,S152&gt;V150),S152-V150,0)</f>
        <v>0</v>
      </c>
      <c r="X150" s="306">
        <f t="shared" si="13"/>
        <v>1</v>
      </c>
      <c r="Y150" s="306" t="str">
        <f t="shared" si="16"/>
        <v/>
      </c>
      <c r="Z150" s="306" t="str">
        <f t="shared" si="14"/>
        <v/>
      </c>
      <c r="AA150" s="306" t="str">
        <f t="shared" si="15"/>
        <v/>
      </c>
      <c r="AB150" s="441"/>
      <c r="AC150" s="438"/>
    </row>
    <row r="151" spans="1:29" x14ac:dyDescent="0.2">
      <c r="A151" s="605"/>
      <c r="B151" s="438"/>
      <c r="C151" s="323">
        <v>10</v>
      </c>
      <c r="D151" s="320"/>
      <c r="E151" s="324" t="s">
        <v>76</v>
      </c>
      <c r="F151" s="320" t="s">
        <v>376</v>
      </c>
      <c r="G151" s="306"/>
      <c r="H151" s="306"/>
      <c r="I151" s="306"/>
      <c r="J151" s="306"/>
      <c r="K151" s="306"/>
      <c r="L151" s="307"/>
      <c r="M151" s="307"/>
      <c r="N151" s="441"/>
      <c r="O151" s="438"/>
      <c r="P151" s="438"/>
      <c r="Q151" s="307"/>
      <c r="R151" s="307"/>
      <c r="S151" s="307"/>
      <c r="T151" s="307"/>
      <c r="U151" s="331">
        <v>7</v>
      </c>
      <c r="V151" s="332">
        <f>MROUND(GEOMETRY!J28,5)</f>
        <v>0</v>
      </c>
      <c r="W151" s="306">
        <f>IF(AND(V151&lt;&gt;0,S152&gt;V151),S152-V151,0)</f>
        <v>0</v>
      </c>
      <c r="X151" s="306">
        <f t="shared" si="13"/>
        <v>1</v>
      </c>
      <c r="Y151" s="306" t="str">
        <f t="shared" si="16"/>
        <v/>
      </c>
      <c r="Z151" s="306" t="str">
        <f t="shared" si="14"/>
        <v/>
      </c>
      <c r="AA151" s="306" t="str">
        <f t="shared" si="15"/>
        <v/>
      </c>
      <c r="AB151" s="441"/>
      <c r="AC151" s="438"/>
    </row>
    <row r="152" spans="1:29" x14ac:dyDescent="0.2">
      <c r="A152" s="605"/>
      <c r="B152" s="438"/>
      <c r="C152" s="334"/>
      <c r="D152" s="306"/>
      <c r="E152" s="306"/>
      <c r="F152" s="306"/>
      <c r="G152" s="306"/>
      <c r="H152" s="306"/>
      <c r="I152" s="306"/>
      <c r="J152" s="306"/>
      <c r="K152" s="306"/>
      <c r="L152" s="307"/>
      <c r="M152" s="307"/>
      <c r="N152" s="441"/>
      <c r="O152" s="438"/>
      <c r="P152" s="438"/>
      <c r="Q152" s="307"/>
      <c r="R152" s="335" t="s">
        <v>102</v>
      </c>
      <c r="S152" s="336">
        <f>Q155</f>
        <v>20</v>
      </c>
      <c r="T152" s="331"/>
      <c r="U152" s="331">
        <v>8</v>
      </c>
      <c r="V152" s="332">
        <f>MROUND(GEOMETRY!J29,5)</f>
        <v>0</v>
      </c>
      <c r="W152" s="306">
        <f>IF(AND(V152&lt;&gt;0,S152&gt;V152),S152-V152,0)</f>
        <v>0</v>
      </c>
      <c r="X152" s="306">
        <f t="shared" si="13"/>
        <v>1</v>
      </c>
      <c r="Y152" s="306" t="str">
        <f t="shared" si="16"/>
        <v/>
      </c>
      <c r="Z152" s="306" t="str">
        <f t="shared" si="14"/>
        <v/>
      </c>
      <c r="AA152" s="306" t="str">
        <f t="shared" si="15"/>
        <v/>
      </c>
      <c r="AB152" s="441"/>
      <c r="AC152" s="438"/>
    </row>
    <row r="153" spans="1:29" x14ac:dyDescent="0.2">
      <c r="A153" s="605"/>
      <c r="B153" s="438"/>
      <c r="C153" s="334"/>
      <c r="D153" s="306"/>
      <c r="E153" s="306"/>
      <c r="F153" s="306"/>
      <c r="G153" s="306"/>
      <c r="H153" s="306"/>
      <c r="I153" s="306"/>
      <c r="J153" s="306"/>
      <c r="K153" s="306"/>
      <c r="L153" s="307"/>
      <c r="M153" s="307"/>
      <c r="N153" s="441"/>
      <c r="O153" s="438"/>
      <c r="P153" s="438"/>
      <c r="Q153" s="307"/>
      <c r="R153" s="307"/>
      <c r="S153" s="307"/>
      <c r="T153" s="307"/>
      <c r="U153" s="331">
        <v>9</v>
      </c>
      <c r="V153" s="332">
        <f>MROUND(GEOMETRY!J30,5)</f>
        <v>0</v>
      </c>
      <c r="W153" s="306">
        <f>IF(AND(V153&lt;&gt;0,S152&gt;V153),S152-V153,0)</f>
        <v>0</v>
      </c>
      <c r="X153" s="306">
        <f t="shared" si="13"/>
        <v>1</v>
      </c>
      <c r="Y153" s="306" t="str">
        <f t="shared" si="16"/>
        <v/>
      </c>
      <c r="Z153" s="306" t="str">
        <f t="shared" si="14"/>
        <v/>
      </c>
      <c r="AA153" s="306" t="str">
        <f t="shared" si="15"/>
        <v/>
      </c>
      <c r="AB153" s="441"/>
      <c r="AC153" s="438"/>
    </row>
    <row r="154" spans="1:29" x14ac:dyDescent="0.2">
      <c r="A154" s="605"/>
      <c r="B154" s="438"/>
      <c r="C154" s="334"/>
      <c r="D154" s="306"/>
      <c r="E154" s="306"/>
      <c r="F154" s="306"/>
      <c r="G154" s="306"/>
      <c r="H154" s="306"/>
      <c r="I154" s="306"/>
      <c r="J154" s="306"/>
      <c r="K154" s="306"/>
      <c r="L154" s="337"/>
      <c r="M154" s="307"/>
      <c r="N154" s="441"/>
      <c r="O154" s="438"/>
      <c r="P154" s="438"/>
      <c r="Q154" s="321" t="s">
        <v>395</v>
      </c>
      <c r="R154" s="321"/>
      <c r="S154" s="321"/>
      <c r="T154" s="321"/>
      <c r="U154" s="331">
        <v>10</v>
      </c>
      <c r="V154" s="332">
        <f>MROUND(GEOMETRY!J31,5)</f>
        <v>0</v>
      </c>
      <c r="W154" s="306">
        <f>IF(AND(V154&lt;&gt;0,S152&gt;V154),S152-V154,0)</f>
        <v>0</v>
      </c>
      <c r="X154" s="306">
        <f t="shared" si="13"/>
        <v>1</v>
      </c>
      <c r="Y154" s="306" t="str">
        <f t="shared" si="16"/>
        <v/>
      </c>
      <c r="Z154" s="306" t="str">
        <f t="shared" si="14"/>
        <v/>
      </c>
      <c r="AA154" s="306" t="str">
        <f t="shared" si="15"/>
        <v/>
      </c>
      <c r="AB154" s="441"/>
      <c r="AC154" s="438"/>
    </row>
    <row r="155" spans="1:29" x14ac:dyDescent="0.2">
      <c r="A155" s="605"/>
      <c r="B155" s="438"/>
      <c r="C155" s="334"/>
      <c r="D155" s="306"/>
      <c r="E155" s="306"/>
      <c r="F155" s="306"/>
      <c r="G155" s="306"/>
      <c r="H155" s="306"/>
      <c r="I155" s="306"/>
      <c r="J155" s="306"/>
      <c r="K155" s="306"/>
      <c r="L155" s="306"/>
      <c r="M155" s="307"/>
      <c r="N155" s="441"/>
      <c r="O155" s="438"/>
      <c r="P155" s="438"/>
      <c r="Q155" s="307">
        <f>IF(Q147&lt;&gt;0,R155,Q156)</f>
        <v>20</v>
      </c>
      <c r="R155" s="307">
        <f>IF(Q139&lt;400,40,S155)</f>
        <v>40</v>
      </c>
      <c r="S155" s="307">
        <f>IF(Q139&lt;2001,50,60)</f>
        <v>50</v>
      </c>
      <c r="T155" s="307"/>
      <c r="U155" s="331">
        <v>11</v>
      </c>
      <c r="V155" s="332">
        <f>MROUND(GEOMETRY!J32,5)</f>
        <v>0</v>
      </c>
      <c r="W155" s="306">
        <f>IF(AND(V155&lt;&gt;0,S152&gt;V155),S152-V155,0)</f>
        <v>0</v>
      </c>
      <c r="X155" s="306">
        <f t="shared" si="13"/>
        <v>1</v>
      </c>
      <c r="Y155" s="306" t="str">
        <f t="shared" si="16"/>
        <v/>
      </c>
      <c r="Z155" s="306" t="str">
        <f t="shared" si="14"/>
        <v/>
      </c>
      <c r="AA155" s="306" t="str">
        <f t="shared" si="15"/>
        <v/>
      </c>
      <c r="AB155" s="441"/>
      <c r="AC155" s="438"/>
    </row>
    <row r="156" spans="1:29" x14ac:dyDescent="0.2">
      <c r="A156" s="605"/>
      <c r="B156" s="438"/>
      <c r="C156" s="323"/>
      <c r="D156" s="320"/>
      <c r="E156" s="320"/>
      <c r="F156" s="320"/>
      <c r="G156" s="306"/>
      <c r="H156" s="320"/>
      <c r="I156" s="320"/>
      <c r="J156" s="338" t="s">
        <v>377</v>
      </c>
      <c r="K156" s="339">
        <f>AA159</f>
        <v>0</v>
      </c>
      <c r="L156" s="320" t="s">
        <v>378</v>
      </c>
      <c r="M156" s="307"/>
      <c r="N156" s="441"/>
      <c r="O156" s="438"/>
      <c r="P156" s="438"/>
      <c r="Q156" s="307">
        <f>IF(Q148&lt;&gt;0,R156,Q157)</f>
        <v>20</v>
      </c>
      <c r="R156" s="307">
        <f>IF(Q139&lt;400,30,S156)</f>
        <v>30</v>
      </c>
      <c r="S156" s="307">
        <f>IF(Q139&lt;2001,40,50)</f>
        <v>40</v>
      </c>
      <c r="T156" s="307"/>
      <c r="U156" s="331">
        <v>12</v>
      </c>
      <c r="V156" s="332">
        <f>MROUND(GEOMETRY!J33,5)</f>
        <v>0</v>
      </c>
      <c r="W156" s="306">
        <f>IF(AND(V156&lt;&gt;0,S152&gt;V156),S152-V156,0)</f>
        <v>0</v>
      </c>
      <c r="X156" s="306">
        <f t="shared" si="13"/>
        <v>1</v>
      </c>
      <c r="Y156" s="306" t="str">
        <f t="shared" si="16"/>
        <v/>
      </c>
      <c r="Z156" s="306" t="str">
        <f t="shared" si="14"/>
        <v/>
      </c>
      <c r="AA156" s="306" t="str">
        <f t="shared" si="15"/>
        <v/>
      </c>
      <c r="AB156" s="441"/>
      <c r="AC156" s="438"/>
    </row>
    <row r="157" spans="1:29" x14ac:dyDescent="0.2">
      <c r="A157" s="605"/>
      <c r="B157" s="438"/>
      <c r="C157" s="312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441"/>
      <c r="O157" s="438"/>
      <c r="P157" s="438"/>
      <c r="Q157" s="307">
        <f>R157</f>
        <v>20</v>
      </c>
      <c r="R157" s="307">
        <f>IF(Q139&lt;400,20,S157)</f>
        <v>20</v>
      </c>
      <c r="S157" s="307">
        <f>IF(Q139&lt;2001,30,40)</f>
        <v>30</v>
      </c>
      <c r="T157" s="307"/>
      <c r="U157" s="331">
        <v>13</v>
      </c>
      <c r="V157" s="332">
        <f>MROUND(GEOMETRY!J34,5)</f>
        <v>0</v>
      </c>
      <c r="W157" s="306">
        <f>IF(AND(V157&lt;&gt;0,S152&gt;V157),S152-V157,0)</f>
        <v>0</v>
      </c>
      <c r="X157" s="306">
        <f t="shared" si="13"/>
        <v>1</v>
      </c>
      <c r="Y157" s="306" t="str">
        <f t="shared" si="16"/>
        <v/>
      </c>
      <c r="Z157" s="306" t="str">
        <f t="shared" si="14"/>
        <v/>
      </c>
      <c r="AA157" s="306" t="str">
        <f t="shared" si="15"/>
        <v/>
      </c>
      <c r="AB157" s="441"/>
      <c r="AC157" s="438"/>
    </row>
    <row r="158" spans="1:29" ht="13.5" thickBot="1" x14ac:dyDescent="0.25">
      <c r="A158" s="605"/>
      <c r="B158" s="438"/>
      <c r="C158" s="344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87"/>
      <c r="O158" s="438"/>
      <c r="P158" s="438"/>
      <c r="Q158" s="307"/>
      <c r="R158" s="307"/>
      <c r="S158" s="307"/>
      <c r="T158" s="307"/>
      <c r="U158" s="331">
        <v>14</v>
      </c>
      <c r="V158" s="332">
        <f>MROUND(GEOMETRY!J35,5)</f>
        <v>0</v>
      </c>
      <c r="W158" s="306">
        <f>IF(AND(V158&lt;&gt;0,S152&gt;V158),S152-V158,0)</f>
        <v>0</v>
      </c>
      <c r="X158" s="306">
        <f t="shared" si="13"/>
        <v>1</v>
      </c>
      <c r="Y158" s="306" t="str">
        <f t="shared" si="16"/>
        <v/>
      </c>
      <c r="Z158" s="306" t="str">
        <f t="shared" si="14"/>
        <v/>
      </c>
      <c r="AA158" s="306" t="str">
        <f t="shared" si="15"/>
        <v/>
      </c>
      <c r="AB158" s="441"/>
      <c r="AC158" s="438"/>
    </row>
    <row r="159" spans="1:29" ht="13.5" thickBot="1" x14ac:dyDescent="0.25">
      <c r="A159" s="605"/>
      <c r="B159" s="438"/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438"/>
      <c r="O159" s="438"/>
      <c r="P159" s="438"/>
      <c r="Q159" s="340"/>
      <c r="R159" s="340"/>
      <c r="S159" s="340"/>
      <c r="T159" s="340"/>
      <c r="U159" s="312"/>
      <c r="V159" s="307"/>
      <c r="W159" s="306"/>
      <c r="X159" s="341">
        <f>IF(SUM(X145:X158)&gt;0,0,W159)</f>
        <v>0</v>
      </c>
      <c r="Y159" s="341">
        <f>IF(SUM(Y145:Y158)&gt;0,3.33,X159)</f>
        <v>0</v>
      </c>
      <c r="Z159" s="341">
        <f>IF(SUM(Z145:Z158)&gt;0,6.67,Y159)</f>
        <v>0</v>
      </c>
      <c r="AA159" s="342">
        <f>IF(SUM(AA145:AA158)&gt;0,10,Z159)</f>
        <v>0</v>
      </c>
      <c r="AB159" s="441"/>
      <c r="AC159" s="438"/>
    </row>
    <row r="160" spans="1:29" x14ac:dyDescent="0.2">
      <c r="A160" s="605"/>
      <c r="B160" s="438"/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438"/>
      <c r="O160" s="438"/>
      <c r="P160" s="438"/>
      <c r="Q160" s="340"/>
      <c r="R160" s="340"/>
      <c r="S160" s="340"/>
      <c r="T160" s="340"/>
      <c r="U160" s="312"/>
      <c r="V160" s="307"/>
      <c r="W160" s="306"/>
      <c r="X160" s="306"/>
      <c r="Y160" s="306"/>
      <c r="Z160" s="306"/>
      <c r="AA160" s="306" t="s">
        <v>396</v>
      </c>
      <c r="AB160" s="441"/>
      <c r="AC160" s="438"/>
    </row>
    <row r="161" spans="1:29" x14ac:dyDescent="0.2">
      <c r="A161" s="605"/>
      <c r="B161" s="438"/>
      <c r="C161" s="340"/>
      <c r="D161" s="340"/>
      <c r="E161" s="340"/>
      <c r="F161" s="340"/>
      <c r="G161" s="340"/>
      <c r="H161" s="340"/>
      <c r="I161" s="340"/>
      <c r="J161" s="340"/>
      <c r="K161" s="307"/>
      <c r="L161" s="340"/>
      <c r="M161" s="307"/>
      <c r="N161" s="438"/>
      <c r="O161" s="438"/>
      <c r="P161" s="438"/>
      <c r="Q161" s="343"/>
      <c r="R161" s="343"/>
      <c r="S161" s="343"/>
      <c r="T161" s="343"/>
      <c r="U161" s="344"/>
      <c r="V161" s="345"/>
      <c r="W161" s="249"/>
      <c r="X161" s="249"/>
      <c r="Y161" s="249"/>
      <c r="Z161" s="249"/>
      <c r="AA161" s="249" t="s">
        <v>3</v>
      </c>
      <c r="AB161" s="387"/>
      <c r="AC161" s="438"/>
    </row>
    <row r="162" spans="1:29" x14ac:dyDescent="0.2">
      <c r="A162" s="605"/>
      <c r="B162" s="438"/>
      <c r="C162" s="393"/>
      <c r="D162" s="340"/>
      <c r="E162" s="340"/>
      <c r="F162" s="393"/>
      <c r="G162" s="393"/>
      <c r="H162" s="393"/>
      <c r="I162" s="340"/>
      <c r="J162" s="442"/>
      <c r="K162" s="443"/>
      <c r="L162" s="340"/>
      <c r="M162" s="307"/>
      <c r="N162" s="438"/>
      <c r="O162" s="438"/>
      <c r="P162" s="438"/>
      <c r="Q162" s="438"/>
      <c r="R162" s="438"/>
      <c r="S162" s="438"/>
      <c r="T162" s="438"/>
      <c r="U162" s="438"/>
      <c r="V162" s="438"/>
      <c r="W162" s="438"/>
      <c r="X162" s="438"/>
      <c r="Y162" s="438"/>
      <c r="Z162" s="438"/>
      <c r="AA162" s="438"/>
      <c r="AB162" s="438"/>
      <c r="AC162" s="438"/>
    </row>
    <row r="163" spans="1:29" ht="15.75" x14ac:dyDescent="0.25">
      <c r="A163" s="605"/>
      <c r="B163" s="438"/>
      <c r="C163" s="444" t="s">
        <v>4</v>
      </c>
      <c r="D163" s="444"/>
      <c r="E163" s="444"/>
      <c r="F163" s="444"/>
      <c r="G163" s="444"/>
      <c r="H163" s="444"/>
      <c r="I163" s="445"/>
      <c r="J163" s="445"/>
      <c r="K163" s="445"/>
      <c r="L163" s="446"/>
      <c r="M163" s="340"/>
      <c r="N163" s="307"/>
      <c r="O163" s="438"/>
      <c r="P163" s="438"/>
      <c r="Q163" s="438"/>
      <c r="R163" s="438"/>
      <c r="S163" s="438"/>
      <c r="T163" s="438"/>
      <c r="U163" s="438"/>
      <c r="V163" s="438"/>
      <c r="W163" s="438"/>
      <c r="X163" s="438"/>
      <c r="Y163" s="438"/>
      <c r="Z163" s="438"/>
      <c r="AA163" s="438"/>
      <c r="AB163" s="438"/>
      <c r="AC163" s="438"/>
    </row>
  </sheetData>
  <sheetProtection password="EC65" sheet="1" selectLockedCells="1"/>
  <mergeCells count="22">
    <mergeCell ref="U43:AC43"/>
    <mergeCell ref="T82:W83"/>
    <mergeCell ref="W91:Y92"/>
    <mergeCell ref="AF85:AH85"/>
    <mergeCell ref="B76:E76"/>
    <mergeCell ref="I76:L76"/>
    <mergeCell ref="J54:M54"/>
    <mergeCell ref="C54:F54"/>
    <mergeCell ref="D12:K12"/>
    <mergeCell ref="I4:L4"/>
    <mergeCell ref="A77:A135"/>
    <mergeCell ref="A138:A163"/>
    <mergeCell ref="A42:A70"/>
    <mergeCell ref="J14:L14"/>
    <mergeCell ref="C19:E19"/>
    <mergeCell ref="C14:E14"/>
    <mergeCell ref="C61:D61"/>
    <mergeCell ref="B19:B21"/>
    <mergeCell ref="I19:I21"/>
    <mergeCell ref="E11:J11"/>
    <mergeCell ref="C15:E16"/>
    <mergeCell ref="J15:L16"/>
  </mergeCells>
  <conditionalFormatting sqref="D18">
    <cfRule type="expression" dxfId="4" priority="4" stopIfTrue="1">
      <formula>ISERROR($G$60)</formula>
    </cfRule>
  </conditionalFormatting>
  <conditionalFormatting sqref="J19">
    <cfRule type="expression" dxfId="3" priority="19" stopIfTrue="1">
      <formula>ISERROR($C$140)</formula>
    </cfRule>
  </conditionalFormatting>
  <conditionalFormatting sqref="L36:M36">
    <cfRule type="expression" dxfId="2" priority="20" stopIfTrue="1">
      <formula>ISERROR($E$140)</formula>
    </cfRule>
  </conditionalFormatting>
  <conditionalFormatting sqref="O22:O35 P7:P18">
    <cfRule type="expression" dxfId="1" priority="21" stopIfTrue="1">
      <formula>ISERROR($V$51)</formula>
    </cfRule>
  </conditionalFormatting>
  <conditionalFormatting sqref="L22:L35">
    <cfRule type="expression" dxfId="0" priority="23" stopIfTrue="1">
      <formula>ISERROR($U$60)</formula>
    </cfRule>
  </conditionalFormatting>
  <hyperlinks>
    <hyperlink ref="C14:E14" location="GEOMETRY!A73" display="VERTICAL CURVES:"/>
    <hyperlink ref="J14:L14" location="GEOMETRY!A134" display="HORIZ. ALIGNMENT:"/>
    <hyperlink ref="I4:L4" location="GEOMETRY!A38" display="LANE &amp; SHOULDER WIDTHS"/>
  </hyperlinks>
  <pageMargins left="0.25" right="0.25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F20" sqref="F20"/>
    </sheetView>
  </sheetViews>
  <sheetFormatPr defaultRowHeight="15" x14ac:dyDescent="0.2"/>
  <cols>
    <col min="1" max="1" width="12.42578125" style="48" customWidth="1"/>
    <col min="2" max="16384" width="9.140625" style="48"/>
  </cols>
  <sheetData>
    <row r="1" spans="1:4" x14ac:dyDescent="0.2">
      <c r="A1" s="47" t="s">
        <v>280</v>
      </c>
    </row>
    <row r="2" spans="1:4" x14ac:dyDescent="0.2">
      <c r="A2" s="47" t="s">
        <v>281</v>
      </c>
    </row>
    <row r="3" spans="1:4" ht="15.75" x14ac:dyDescent="0.25">
      <c r="A3" s="49"/>
    </row>
    <row r="4" spans="1:4" ht="15.75" x14ac:dyDescent="0.25">
      <c r="A4" s="49"/>
    </row>
    <row r="5" spans="1:4" ht="15.75" x14ac:dyDescent="0.25">
      <c r="A5" s="50" t="s">
        <v>282</v>
      </c>
      <c r="B5" s="625"/>
      <c r="C5" s="625"/>
      <c r="D5" s="625"/>
    </row>
    <row r="6" spans="1:4" ht="15.75" x14ac:dyDescent="0.25">
      <c r="A6" s="50" t="s">
        <v>283</v>
      </c>
      <c r="B6" s="626"/>
      <c r="C6" s="626"/>
      <c r="D6" s="626"/>
    </row>
    <row r="7" spans="1:4" ht="15.75" x14ac:dyDescent="0.25">
      <c r="A7" s="50" t="s">
        <v>284</v>
      </c>
      <c r="B7" s="626"/>
      <c r="C7" s="626"/>
      <c r="D7" s="626"/>
    </row>
    <row r="8" spans="1:4" ht="15.75" x14ac:dyDescent="0.25">
      <c r="A8" s="50"/>
    </row>
    <row r="9" spans="1:4" ht="15.75" x14ac:dyDescent="0.25">
      <c r="A9" s="50"/>
    </row>
    <row r="10" spans="1:4" ht="15.75" x14ac:dyDescent="0.25">
      <c r="A10" s="51" t="s">
        <v>285</v>
      </c>
      <c r="C10" s="627"/>
      <c r="D10" s="627"/>
    </row>
    <row r="11" spans="1:4" ht="15.75" x14ac:dyDescent="0.25">
      <c r="A11" s="52"/>
    </row>
    <row r="12" spans="1:4" ht="15.75" x14ac:dyDescent="0.25">
      <c r="A12" s="51" t="s">
        <v>286</v>
      </c>
    </row>
    <row r="13" spans="1:4" ht="15.75" x14ac:dyDescent="0.25">
      <c r="A13" s="53" t="s">
        <v>287</v>
      </c>
    </row>
    <row r="14" spans="1:4" ht="15.75" x14ac:dyDescent="0.25">
      <c r="A14" s="53" t="s">
        <v>288</v>
      </c>
    </row>
    <row r="15" spans="1:4" ht="15.75" x14ac:dyDescent="0.25">
      <c r="A15" s="53" t="s">
        <v>289</v>
      </c>
    </row>
    <row r="16" spans="1:4" ht="15.75" x14ac:dyDescent="0.25">
      <c r="A16" s="53"/>
    </row>
    <row r="17" spans="1:8" ht="15.75" x14ac:dyDescent="0.25">
      <c r="A17" s="51" t="s">
        <v>290</v>
      </c>
    </row>
    <row r="18" spans="1:8" ht="15.75" x14ac:dyDescent="0.25">
      <c r="A18" s="53" t="s">
        <v>291</v>
      </c>
    </row>
    <row r="19" spans="1:8" ht="15.75" x14ac:dyDescent="0.25">
      <c r="A19" s="53" t="s">
        <v>292</v>
      </c>
    </row>
    <row r="20" spans="1:8" ht="15.75" x14ac:dyDescent="0.25">
      <c r="A20" s="53" t="s">
        <v>289</v>
      </c>
    </row>
    <row r="21" spans="1:8" ht="15.75" x14ac:dyDescent="0.25">
      <c r="A21" s="53"/>
    </row>
    <row r="22" spans="1:8" ht="15.75" x14ac:dyDescent="0.25">
      <c r="A22" s="51" t="s">
        <v>293</v>
      </c>
    </row>
    <row r="23" spans="1:8" ht="15.75" x14ac:dyDescent="0.25">
      <c r="A23" s="53"/>
    </row>
    <row r="24" spans="1:8" ht="15.75" x14ac:dyDescent="0.25">
      <c r="A24" s="51" t="s">
        <v>294</v>
      </c>
    </row>
    <row r="25" spans="1:8" ht="15.75" x14ac:dyDescent="0.25">
      <c r="A25" s="52"/>
    </row>
    <row r="26" spans="1:8" ht="15.75" x14ac:dyDescent="0.25">
      <c r="A26" s="52"/>
    </row>
    <row r="27" spans="1:8" ht="15.75" customHeight="1" x14ac:dyDescent="0.25">
      <c r="A27" s="54" t="s">
        <v>295</v>
      </c>
    </row>
    <row r="28" spans="1:8" ht="15.75" x14ac:dyDescent="0.25">
      <c r="A28" s="55"/>
    </row>
    <row r="29" spans="1:8" ht="15.75" x14ac:dyDescent="0.25">
      <c r="A29" s="55"/>
    </row>
    <row r="30" spans="1:8" ht="15.75" x14ac:dyDescent="0.25">
      <c r="A30" s="55"/>
    </row>
    <row r="31" spans="1:8" ht="15.75" x14ac:dyDescent="0.25">
      <c r="A31" s="52"/>
      <c r="B31" s="627"/>
      <c r="C31" s="627"/>
      <c r="D31" s="627"/>
      <c r="G31" s="627"/>
      <c r="H31" s="627"/>
    </row>
    <row r="32" spans="1:8" ht="15.75" x14ac:dyDescent="0.25">
      <c r="B32" s="624" t="s">
        <v>296</v>
      </c>
      <c r="C32" s="624"/>
      <c r="D32" s="624"/>
      <c r="G32" s="624" t="s">
        <v>213</v>
      </c>
      <c r="H32" s="624"/>
    </row>
    <row r="33" spans="1:1" ht="15.75" x14ac:dyDescent="0.25">
      <c r="A33" s="56"/>
    </row>
    <row r="34" spans="1:1" ht="15.75" x14ac:dyDescent="0.25">
      <c r="A34" s="56"/>
    </row>
    <row r="35" spans="1:1" ht="15.75" x14ac:dyDescent="0.25">
      <c r="A35" s="56"/>
    </row>
    <row r="36" spans="1:1" ht="15.75" x14ac:dyDescent="0.25">
      <c r="A36" s="56"/>
    </row>
    <row r="37" spans="1:1" ht="15.75" x14ac:dyDescent="0.25">
      <c r="A37" s="56"/>
    </row>
    <row r="38" spans="1:1" ht="15.75" x14ac:dyDescent="0.25">
      <c r="A38" s="56"/>
    </row>
    <row r="39" spans="1:1" ht="15.75" x14ac:dyDescent="0.25">
      <c r="A39" s="56"/>
    </row>
    <row r="40" spans="1:1" ht="15.75" x14ac:dyDescent="0.25">
      <c r="A40" s="56"/>
    </row>
    <row r="41" spans="1:1" x14ac:dyDescent="0.2">
      <c r="A41" s="57"/>
    </row>
  </sheetData>
  <mergeCells count="8">
    <mergeCell ref="G32:H32"/>
    <mergeCell ref="B32:D32"/>
    <mergeCell ref="B5:D5"/>
    <mergeCell ref="B6:D6"/>
    <mergeCell ref="B7:D7"/>
    <mergeCell ref="C10:D10"/>
    <mergeCell ref="B31:D31"/>
    <mergeCell ref="G31:H31"/>
  </mergeCells>
  <phoneticPr fontId="34" type="noConversion"/>
  <pageMargins left="0.62" right="0.53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75" workbookViewId="0">
      <selection activeCell="H5" sqref="H5"/>
    </sheetView>
  </sheetViews>
  <sheetFormatPr defaultRowHeight="10.5" x14ac:dyDescent="0.2"/>
  <cols>
    <col min="1" max="1" width="16.5703125" style="27" customWidth="1"/>
    <col min="2" max="2" width="15.7109375" style="27" customWidth="1"/>
    <col min="3" max="3" width="18" style="27" customWidth="1"/>
    <col min="4" max="4" width="14.5703125" style="27" customWidth="1"/>
    <col min="5" max="5" width="23" style="27" customWidth="1"/>
    <col min="6" max="6" width="7.7109375" style="27" customWidth="1"/>
    <col min="7" max="7" width="7.140625" style="27" customWidth="1"/>
    <col min="8" max="16384" width="9.140625" style="27"/>
  </cols>
  <sheetData>
    <row r="1" spans="1:9" ht="24.95" customHeight="1" x14ac:dyDescent="0.2">
      <c r="E1" s="629" t="s">
        <v>407</v>
      </c>
      <c r="F1" s="629"/>
      <c r="G1" s="629"/>
      <c r="H1" s="629"/>
      <c r="I1" s="629"/>
    </row>
    <row r="2" spans="1:9" ht="24.95" customHeight="1" thickBot="1" x14ac:dyDescent="0.25">
      <c r="A2" s="28"/>
      <c r="F2" s="628"/>
      <c r="G2" s="628"/>
      <c r="H2" s="628"/>
      <c r="I2" s="628"/>
    </row>
    <row r="3" spans="1:9" ht="35.1" customHeight="1" thickTop="1" x14ac:dyDescent="0.2">
      <c r="A3" s="630" t="s">
        <v>223</v>
      </c>
      <c r="B3" s="631"/>
      <c r="C3" s="632"/>
      <c r="D3" s="29" t="s">
        <v>224</v>
      </c>
      <c r="E3" s="30" t="s">
        <v>225</v>
      </c>
    </row>
    <row r="4" spans="1:9" ht="35.1" customHeight="1" x14ac:dyDescent="0.2">
      <c r="A4" s="639" t="s">
        <v>226</v>
      </c>
      <c r="B4" s="633" t="s">
        <v>227</v>
      </c>
      <c r="C4" s="633" t="s">
        <v>228</v>
      </c>
      <c r="D4" s="31" t="s">
        <v>229</v>
      </c>
      <c r="E4" s="32" t="s">
        <v>230</v>
      </c>
    </row>
    <row r="5" spans="1:9" ht="35.1" customHeight="1" x14ac:dyDescent="0.15">
      <c r="A5" s="640"/>
      <c r="B5" s="638"/>
      <c r="C5" s="634"/>
      <c r="D5" s="31" t="s">
        <v>231</v>
      </c>
      <c r="E5" s="32" t="s">
        <v>232</v>
      </c>
      <c r="G5" s="33" t="s">
        <v>6</v>
      </c>
    </row>
    <row r="6" spans="1:9" ht="35.1" customHeight="1" x14ac:dyDescent="0.2">
      <c r="A6" s="640"/>
      <c r="B6" s="638"/>
      <c r="C6" s="633" t="s">
        <v>233</v>
      </c>
      <c r="D6" s="31" t="s">
        <v>234</v>
      </c>
      <c r="E6" s="32" t="s">
        <v>235</v>
      </c>
    </row>
    <row r="7" spans="1:9" ht="35.1" customHeight="1" x14ac:dyDescent="0.2">
      <c r="A7" s="640"/>
      <c r="B7" s="634"/>
      <c r="C7" s="634"/>
      <c r="D7" s="31" t="s">
        <v>236</v>
      </c>
      <c r="E7" s="32" t="s">
        <v>237</v>
      </c>
    </row>
    <row r="8" spans="1:9" ht="35.1" customHeight="1" x14ac:dyDescent="0.2">
      <c r="A8" s="640"/>
      <c r="B8" s="633" t="s">
        <v>238</v>
      </c>
      <c r="C8" s="633" t="s">
        <v>239</v>
      </c>
      <c r="D8" s="31" t="s">
        <v>240</v>
      </c>
      <c r="E8" s="32" t="s">
        <v>241</v>
      </c>
    </row>
    <row r="9" spans="1:9" ht="35.1" customHeight="1" x14ac:dyDescent="0.15">
      <c r="A9" s="640"/>
      <c r="B9" s="638"/>
      <c r="C9" s="634"/>
      <c r="D9" s="31" t="s">
        <v>242</v>
      </c>
      <c r="E9" s="32" t="s">
        <v>243</v>
      </c>
      <c r="G9" s="33" t="s">
        <v>214</v>
      </c>
    </row>
    <row r="10" spans="1:9" ht="35.1" customHeight="1" x14ac:dyDescent="0.2">
      <c r="A10" s="640"/>
      <c r="B10" s="638"/>
      <c r="C10" s="633" t="s">
        <v>244</v>
      </c>
      <c r="D10" s="31" t="s">
        <v>245</v>
      </c>
      <c r="E10" s="32" t="s">
        <v>246</v>
      </c>
    </row>
    <row r="11" spans="1:9" ht="35.1" customHeight="1" x14ac:dyDescent="0.2">
      <c r="A11" s="641"/>
      <c r="B11" s="634"/>
      <c r="C11" s="634"/>
      <c r="D11" s="31" t="s">
        <v>247</v>
      </c>
      <c r="E11" s="32" t="s">
        <v>248</v>
      </c>
    </row>
    <row r="12" spans="1:9" ht="35.1" customHeight="1" x14ac:dyDescent="0.2">
      <c r="A12" s="639" t="s">
        <v>249</v>
      </c>
      <c r="B12" s="633" t="s">
        <v>250</v>
      </c>
      <c r="C12" s="633" t="s">
        <v>251</v>
      </c>
      <c r="D12" s="31" t="s">
        <v>252</v>
      </c>
      <c r="E12" s="32" t="s">
        <v>217</v>
      </c>
      <c r="F12" s="34" t="s">
        <v>217</v>
      </c>
    </row>
    <row r="13" spans="1:9" ht="35.1" customHeight="1" x14ac:dyDescent="0.2">
      <c r="A13" s="640"/>
      <c r="B13" s="638"/>
      <c r="C13" s="634"/>
      <c r="D13" s="31" t="s">
        <v>253</v>
      </c>
      <c r="E13" s="32" t="s">
        <v>215</v>
      </c>
      <c r="F13" s="34" t="s">
        <v>215</v>
      </c>
    </row>
    <row r="14" spans="1:9" ht="35.1" customHeight="1" x14ac:dyDescent="0.2">
      <c r="A14" s="640"/>
      <c r="B14" s="634"/>
      <c r="C14" s="31" t="s">
        <v>216</v>
      </c>
      <c r="D14" s="31" t="s">
        <v>254</v>
      </c>
      <c r="E14" s="32" t="s">
        <v>255</v>
      </c>
      <c r="F14" s="34" t="s">
        <v>216</v>
      </c>
    </row>
    <row r="15" spans="1:9" ht="35.1" customHeight="1" x14ac:dyDescent="0.2">
      <c r="A15" s="640"/>
      <c r="B15" s="633" t="s">
        <v>256</v>
      </c>
      <c r="C15" s="633" t="s">
        <v>251</v>
      </c>
      <c r="D15" s="31" t="s">
        <v>257</v>
      </c>
      <c r="E15" s="32" t="s">
        <v>258</v>
      </c>
      <c r="F15" s="34" t="s">
        <v>217</v>
      </c>
    </row>
    <row r="16" spans="1:9" ht="35.1" customHeight="1" x14ac:dyDescent="0.2">
      <c r="A16" s="640"/>
      <c r="B16" s="638"/>
      <c r="C16" s="634"/>
      <c r="D16" s="31" t="s">
        <v>259</v>
      </c>
      <c r="E16" s="32" t="s">
        <v>260</v>
      </c>
      <c r="F16" s="34" t="s">
        <v>215</v>
      </c>
    </row>
    <row r="17" spans="1:6" ht="35.1" customHeight="1" x14ac:dyDescent="0.2">
      <c r="A17" s="641"/>
      <c r="B17" s="634"/>
      <c r="C17" s="31" t="s">
        <v>216</v>
      </c>
      <c r="D17" s="31" t="s">
        <v>261</v>
      </c>
      <c r="E17" s="32" t="s">
        <v>262</v>
      </c>
      <c r="F17" s="34" t="s">
        <v>216</v>
      </c>
    </row>
    <row r="18" spans="1:6" ht="35.1" customHeight="1" thickBot="1" x14ac:dyDescent="0.25">
      <c r="A18" s="635" t="s">
        <v>263</v>
      </c>
      <c r="B18" s="636"/>
      <c r="C18" s="637"/>
      <c r="D18" s="35" t="s">
        <v>264</v>
      </c>
      <c r="E18" s="36" t="s">
        <v>265</v>
      </c>
      <c r="F18" s="34" t="s">
        <v>216</v>
      </c>
    </row>
    <row r="19" spans="1:6" ht="12" thickTop="1" x14ac:dyDescent="0.2">
      <c r="A19" s="37"/>
    </row>
  </sheetData>
  <sheetProtection sheet="1" objects="1" scenarios="1" selectLockedCells="1"/>
  <mergeCells count="16">
    <mergeCell ref="F2:I2"/>
    <mergeCell ref="E1:I1"/>
    <mergeCell ref="A3:C3"/>
    <mergeCell ref="C4:C5"/>
    <mergeCell ref="A18:C18"/>
    <mergeCell ref="B8:B11"/>
    <mergeCell ref="B4:B7"/>
    <mergeCell ref="B15:B17"/>
    <mergeCell ref="B12:B14"/>
    <mergeCell ref="A12:A17"/>
    <mergeCell ref="A4:A11"/>
    <mergeCell ref="C10:C11"/>
    <mergeCell ref="C12:C13"/>
    <mergeCell ref="C15:C16"/>
    <mergeCell ref="C6:C7"/>
    <mergeCell ref="C8:C9"/>
  </mergeCells>
  <phoneticPr fontId="23" type="noConversion"/>
  <pageMargins left="0.32" right="0.28000000000000003" top="1" bottom="1" header="0.5" footer="0.5"/>
  <pageSetup orientation="portrait" r:id="rId1"/>
  <headerFooter alignWithMargins="0">
    <oddHeader>&amp;CUnified Soil Classification System;
from American Society for
 Testing and Materials, 1985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RC RATING SUMMARY</vt:lpstr>
      <vt:lpstr>TRAFFIC &amp; ACCIDENTS</vt:lpstr>
      <vt:lpstr>Local &amp; Links</vt:lpstr>
      <vt:lpstr>STRUCTURE</vt:lpstr>
      <vt:lpstr>GEOMETRY</vt:lpstr>
      <vt:lpstr>Dev. Request</vt:lpstr>
      <vt:lpstr>USCS</vt:lpstr>
      <vt:lpstr>GEOMETRY!Print_Area</vt:lpstr>
      <vt:lpstr>STRUCTURE!Print_Area</vt:lpstr>
      <vt:lpstr>'TRAFFIC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Randy Hart</cp:lastModifiedBy>
  <cp:lastPrinted>2020-02-20T19:24:27Z</cp:lastPrinted>
  <dcterms:created xsi:type="dcterms:W3CDTF">2001-08-02T21:00:18Z</dcterms:created>
  <dcterms:modified xsi:type="dcterms:W3CDTF">2020-08-24T17:21:16Z</dcterms:modified>
</cp:coreProperties>
</file>