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Randy\$RAP\Worksheets 21-23\NW\"/>
    </mc:Choice>
  </mc:AlternateContent>
  <bookViews>
    <workbookView xWindow="0" yWindow="0" windowWidth="22305" windowHeight="8565" tabRatio="738" activeTab="2"/>
  </bookViews>
  <sheets>
    <sheet name="3R RATING SUMMARY" sheetId="4" r:id="rId1"/>
    <sheet name="Traffic &amp; Accidents" sheetId="12" r:id="rId2"/>
    <sheet name="Structure" sheetId="13" r:id="rId3"/>
    <sheet name="ITN and DTN Graph" sheetId="8" r:id="rId4"/>
    <sheet name="Geometry" sheetId="14" r:id="rId5"/>
    <sheet name="3R Checklist" sheetId="15" r:id="rId6"/>
    <sheet name="Engineer's 3R letter" sheetId="3" r:id="rId7"/>
  </sheets>
  <definedNames>
    <definedName name="_xlnm.Print_Area" localSheetId="5">'3R Checklist'!$C$3:$M$41</definedName>
    <definedName name="_xlnm.Print_Area" localSheetId="0">'3R RATING SUMMARY'!$B$3:$O$59</definedName>
    <definedName name="_xlnm.Print_Area" localSheetId="4">Geometry!$C$4:$N$37</definedName>
    <definedName name="_xlnm.Print_Area" localSheetId="2">Structure!$B$4:$L$18,Structure!$B$27:$L$65,Structure!$B$67:$L$109</definedName>
    <definedName name="_xlnm.Print_Area" localSheetId="1">'Traffic &amp; Accidents'!$B$4:$L$16,'Traffic &amp; Accidents'!$B$28:$L$78</definedName>
  </definedNames>
  <calcPr calcId="162913"/>
</workbook>
</file>

<file path=xl/calcChain.xml><?xml version="1.0" encoding="utf-8"?>
<calcChain xmlns="http://schemas.openxmlformats.org/spreadsheetml/2006/main">
  <c r="W153" i="14" l="1"/>
  <c r="F59" i="14" l="1"/>
  <c r="F57" i="14"/>
  <c r="F52" i="14"/>
  <c r="F50" i="14" s="1"/>
  <c r="M50" i="14"/>
  <c r="Y40" i="14"/>
  <c r="T192" i="14"/>
  <c r="T191" i="14"/>
  <c r="T190" i="14"/>
  <c r="X145" i="14"/>
  <c r="W145" i="14"/>
  <c r="S141" i="14"/>
  <c r="S139" i="14"/>
  <c r="S138" i="14"/>
  <c r="S137" i="14"/>
  <c r="H105" i="13"/>
  <c r="J107" i="13"/>
  <c r="H63" i="13"/>
  <c r="G63" i="13"/>
  <c r="F63" i="13"/>
  <c r="E63" i="13"/>
  <c r="H43" i="13"/>
  <c r="G43" i="13"/>
  <c r="F43" i="13"/>
  <c r="E43" i="13"/>
  <c r="E33" i="12"/>
  <c r="D72" i="12" s="1"/>
  <c r="J33" i="12"/>
  <c r="F68" i="12" s="1"/>
  <c r="F65" i="12"/>
  <c r="E48" i="12"/>
  <c r="E52" i="12" s="1"/>
  <c r="G48" i="12"/>
  <c r="G52" i="12" s="1"/>
  <c r="I48" i="12"/>
  <c r="I52" i="12" s="1"/>
  <c r="E54" i="12"/>
  <c r="F69" i="12"/>
  <c r="F70" i="12"/>
  <c r="F73" i="12"/>
  <c r="F74" i="12"/>
  <c r="F40" i="15"/>
  <c r="H40" i="15" s="1"/>
  <c r="G18" i="15"/>
  <c r="G17" i="15"/>
  <c r="G12" i="15"/>
  <c r="G20" i="15" s="1"/>
  <c r="M110" i="14"/>
  <c r="M111" i="14"/>
  <c r="M112" i="14"/>
  <c r="M113" i="14"/>
  <c r="M114" i="14"/>
  <c r="M115" i="14"/>
  <c r="M116" i="14"/>
  <c r="M117" i="14"/>
  <c r="M118" i="14"/>
  <c r="M119" i="14"/>
  <c r="L111" i="14"/>
  <c r="T200" i="14"/>
  <c r="L112" i="14"/>
  <c r="T201" i="14"/>
  <c r="L113" i="14"/>
  <c r="T202" i="14"/>
  <c r="L114" i="14"/>
  <c r="T203" i="14"/>
  <c r="L115" i="14"/>
  <c r="T204" i="14"/>
  <c r="L116" i="14"/>
  <c r="T205" i="14"/>
  <c r="L117" i="14"/>
  <c r="T206" i="14"/>
  <c r="L118" i="14"/>
  <c r="T207" i="14"/>
  <c r="Y222" i="14"/>
  <c r="L119" i="14"/>
  <c r="T208" i="14"/>
  <c r="L110" i="14"/>
  <c r="T199" i="14" s="1"/>
  <c r="H110" i="14"/>
  <c r="I110" i="14"/>
  <c r="H111" i="14"/>
  <c r="U173" i="14"/>
  <c r="I111" i="14"/>
  <c r="H112" i="14"/>
  <c r="U174" i="14"/>
  <c r="I112" i="14"/>
  <c r="H113" i="14"/>
  <c r="U175" i="14"/>
  <c r="I113" i="14"/>
  <c r="H114" i="14"/>
  <c r="U176" i="14"/>
  <c r="I114" i="14"/>
  <c r="H115" i="14"/>
  <c r="U177" i="14"/>
  <c r="I115" i="14"/>
  <c r="H116" i="14"/>
  <c r="U178" i="14"/>
  <c r="I116" i="14"/>
  <c r="H117" i="14"/>
  <c r="U179" i="14"/>
  <c r="I117" i="14"/>
  <c r="H118" i="14"/>
  <c r="U180" i="14"/>
  <c r="I118" i="14"/>
  <c r="H119" i="14"/>
  <c r="U181" i="14"/>
  <c r="I119" i="14"/>
  <c r="G111" i="14"/>
  <c r="T173" i="14"/>
  <c r="G112" i="14"/>
  <c r="T174" i="14"/>
  <c r="G113" i="14"/>
  <c r="T175" i="14"/>
  <c r="G114" i="14"/>
  <c r="T176" i="14"/>
  <c r="G115" i="14"/>
  <c r="T177" i="14"/>
  <c r="G116" i="14"/>
  <c r="T178" i="14"/>
  <c r="G117" i="14"/>
  <c r="T179" i="14"/>
  <c r="G118" i="14"/>
  <c r="T180" i="14"/>
  <c r="G119" i="14"/>
  <c r="T181" i="14"/>
  <c r="G110" i="14"/>
  <c r="T172" i="14" s="1"/>
  <c r="C110" i="14"/>
  <c r="X139" i="14"/>
  <c r="D110" i="14"/>
  <c r="C111" i="14"/>
  <c r="X140" i="14" s="1"/>
  <c r="D111" i="14"/>
  <c r="C112" i="14"/>
  <c r="X141" i="14"/>
  <c r="D112" i="14"/>
  <c r="C113" i="14"/>
  <c r="X142" i="14" s="1"/>
  <c r="D113" i="14"/>
  <c r="C114" i="14"/>
  <c r="X143" i="14"/>
  <c r="D114" i="14"/>
  <c r="C115" i="14"/>
  <c r="X144" i="14"/>
  <c r="D115" i="14"/>
  <c r="C116" i="14"/>
  <c r="D116" i="14"/>
  <c r="C117" i="14"/>
  <c r="X146" i="14"/>
  <c r="D117" i="14"/>
  <c r="C118" i="14"/>
  <c r="X147" i="14"/>
  <c r="D118" i="14"/>
  <c r="C119" i="14"/>
  <c r="X148" i="14"/>
  <c r="D119" i="14"/>
  <c r="B111" i="14"/>
  <c r="W140" i="14"/>
  <c r="B112" i="14"/>
  <c r="W141" i="14" s="1"/>
  <c r="B113" i="14"/>
  <c r="W142" i="14" s="1"/>
  <c r="B114" i="14"/>
  <c r="W143" i="14"/>
  <c r="B115" i="14"/>
  <c r="W144" i="14"/>
  <c r="B116" i="14"/>
  <c r="B117" i="14"/>
  <c r="W146" i="14"/>
  <c r="B118" i="14"/>
  <c r="W147" i="14"/>
  <c r="B119" i="14"/>
  <c r="W148" i="14"/>
  <c r="B110" i="14"/>
  <c r="W139" i="14"/>
  <c r="K10" i="14"/>
  <c r="M52" i="14" s="1"/>
  <c r="J10" i="14"/>
  <c r="G13" i="13"/>
  <c r="G12" i="13"/>
  <c r="G11" i="13"/>
  <c r="D72" i="8"/>
  <c r="D67" i="8"/>
  <c r="N17" i="4"/>
  <c r="N19" i="4" s="1"/>
  <c r="G19" i="4"/>
  <c r="H23" i="4"/>
  <c r="G24" i="4"/>
  <c r="H29" i="4"/>
  <c r="H30" i="4"/>
  <c r="H31" i="4"/>
  <c r="H40" i="4"/>
  <c r="H41" i="4"/>
  <c r="H42" i="4"/>
  <c r="H43" i="4"/>
  <c r="H44" i="4"/>
  <c r="H45" i="4"/>
  <c r="H46" i="4"/>
  <c r="H47" i="4"/>
  <c r="M54" i="4"/>
  <c r="H120" i="14"/>
  <c r="Y223" i="14"/>
  <c r="X223" i="14"/>
  <c r="W223" i="14"/>
  <c r="V223" i="14"/>
  <c r="U223" i="14" s="1"/>
  <c r="T223" i="14" s="1"/>
  <c r="U208" i="14" s="1"/>
  <c r="Y215" i="14"/>
  <c r="X215" i="14" s="1"/>
  <c r="W215" i="14" s="1"/>
  <c r="V215" i="14" s="1"/>
  <c r="U215" i="14" s="1"/>
  <c r="T215" i="14" s="1"/>
  <c r="U200" i="14" s="1"/>
  <c r="Y221" i="14"/>
  <c r="X221" i="14"/>
  <c r="W221" i="14" s="1"/>
  <c r="V221" i="14" s="1"/>
  <c r="U221" i="14" s="1"/>
  <c r="T221" i="14" s="1"/>
  <c r="U206" i="14" s="1"/>
  <c r="Y218" i="14"/>
  <c r="X218" i="14" s="1"/>
  <c r="W218" i="14" s="1"/>
  <c r="V218" i="14" s="1"/>
  <c r="U218" i="14" s="1"/>
  <c r="T218" i="14" s="1"/>
  <c r="U203" i="14" s="1"/>
  <c r="Y219" i="14"/>
  <c r="X219" i="14" s="1"/>
  <c r="W219" i="14" s="1"/>
  <c r="V219" i="14" s="1"/>
  <c r="U219" i="14" s="1"/>
  <c r="T219" i="14" s="1"/>
  <c r="U204" i="14" s="1"/>
  <c r="Y217" i="14"/>
  <c r="X217" i="14"/>
  <c r="W217" i="14" s="1"/>
  <c r="V217" i="14" s="1"/>
  <c r="U217" i="14" s="1"/>
  <c r="T217" i="14" s="1"/>
  <c r="U202" i="14" s="1"/>
  <c r="Y216" i="14"/>
  <c r="X216" i="14"/>
  <c r="W216" i="14"/>
  <c r="V216" i="14" s="1"/>
  <c r="U216" i="14" s="1"/>
  <c r="T216" i="14" s="1"/>
  <c r="U201" i="14" s="1"/>
  <c r="U172" i="14"/>
  <c r="X222" i="14"/>
  <c r="W222" i="14"/>
  <c r="V222" i="14" s="1"/>
  <c r="U222" i="14" s="1"/>
  <c r="T222" i="14" s="1"/>
  <c r="U207" i="14" s="1"/>
  <c r="F75" i="12"/>
  <c r="F66" i="12"/>
  <c r="F72" i="12"/>
  <c r="F71" i="12"/>
  <c r="N45" i="12"/>
  <c r="N44" i="12" s="1"/>
  <c r="N43" i="12" s="1"/>
  <c r="N42" i="12" s="1"/>
  <c r="N41" i="12" s="1"/>
  <c r="N40" i="12" s="1"/>
  <c r="N39" i="12" s="1"/>
  <c r="N38" i="12" s="1"/>
  <c r="N37" i="12" s="1"/>
  <c r="N36" i="12" s="1"/>
  <c r="N35" i="12" s="1"/>
  <c r="F67" i="12"/>
  <c r="H48" i="4" l="1"/>
  <c r="J48" i="4" s="1"/>
  <c r="H32" i="4"/>
  <c r="K13" i="13"/>
  <c r="H22" i="4" s="1"/>
  <c r="H24" i="4" s="1"/>
  <c r="D67" i="12"/>
  <c r="D68" i="12"/>
  <c r="M45" i="12"/>
  <c r="M44" i="12" s="1"/>
  <c r="M43" i="12" s="1"/>
  <c r="M42" i="12" s="1"/>
  <c r="M41" i="12" s="1"/>
  <c r="M40" i="12" s="1"/>
  <c r="M39" i="12" s="1"/>
  <c r="M38" i="12" s="1"/>
  <c r="M37" i="12" s="1"/>
  <c r="M36" i="12" s="1"/>
  <c r="M35" i="12" s="1"/>
  <c r="J37" i="12" s="1"/>
  <c r="H16" i="4" s="1"/>
  <c r="U148" i="14"/>
  <c r="T148" i="14" s="1"/>
  <c r="S148" i="14" s="1"/>
  <c r="S147" i="14" s="1"/>
  <c r="S146" i="14" s="1"/>
  <c r="Q146" i="14" s="1"/>
  <c r="D19" i="14" s="1"/>
  <c r="Y192" i="14"/>
  <c r="X192" i="14" s="1"/>
  <c r="D71" i="12"/>
  <c r="D74" i="12"/>
  <c r="AC58" i="14"/>
  <c r="AB58" i="14" s="1"/>
  <c r="Y53" i="14" s="1"/>
  <c r="M8" i="14" s="1"/>
  <c r="U152" i="14"/>
  <c r="T152" i="14" s="1"/>
  <c r="S152" i="14" s="1"/>
  <c r="D75" i="12"/>
  <c r="D70" i="12"/>
  <c r="AD58" i="14"/>
  <c r="U147" i="14"/>
  <c r="T147" i="14" s="1"/>
  <c r="D66" i="12"/>
  <c r="D65" i="12"/>
  <c r="U151" i="14"/>
  <c r="T151" i="14" s="1"/>
  <c r="S151" i="14" s="1"/>
  <c r="AD48" i="14"/>
  <c r="Y193" i="14"/>
  <c r="X193" i="14" s="1"/>
  <c r="D69" i="12"/>
  <c r="U58" i="14"/>
  <c r="T58" i="14" s="1"/>
  <c r="S58" i="14" s="1"/>
  <c r="V48" i="14"/>
  <c r="U146" i="14"/>
  <c r="T146" i="14" s="1"/>
  <c r="D73" i="12"/>
  <c r="Y194" i="14"/>
  <c r="X194" i="14" s="1"/>
  <c r="W194" i="14" s="1"/>
  <c r="W193" i="14" s="1"/>
  <c r="W192" i="14" s="1"/>
  <c r="V58" i="14"/>
  <c r="U153" i="14"/>
  <c r="T153" i="14" s="1"/>
  <c r="S153" i="14" s="1"/>
  <c r="L57" i="14"/>
  <c r="M57" i="14" s="1"/>
  <c r="L61" i="14"/>
  <c r="M61" i="14" s="1"/>
  <c r="L58" i="14"/>
  <c r="M58" i="14" s="1"/>
  <c r="L59" i="14"/>
  <c r="M59" i="14" s="1"/>
  <c r="L56" i="14"/>
  <c r="M56" i="14" s="1"/>
  <c r="M62" i="14" s="1"/>
  <c r="N24" i="4" s="1"/>
  <c r="L60" i="14"/>
  <c r="M60" i="14" s="1"/>
  <c r="C120" i="14"/>
  <c r="K52" i="12"/>
  <c r="C54" i="12" s="1"/>
  <c r="G54" i="12" s="1"/>
  <c r="H65" i="12" s="1"/>
  <c r="Y220" i="14"/>
  <c r="X220" i="14" s="1"/>
  <c r="W220" i="14" s="1"/>
  <c r="V220" i="14" s="1"/>
  <c r="U220" i="14" s="1"/>
  <c r="T220" i="14" s="1"/>
  <c r="U205" i="14" s="1"/>
  <c r="Y214" i="14"/>
  <c r="X214" i="14" s="1"/>
  <c r="W214" i="14" s="1"/>
  <c r="V214" i="14" s="1"/>
  <c r="U214" i="14" s="1"/>
  <c r="T214" i="14" s="1"/>
  <c r="U199" i="14" s="1"/>
  <c r="L48" i="4" l="1"/>
  <c r="H49" i="4"/>
  <c r="H51" i="4" s="1"/>
  <c r="Y189" i="14"/>
  <c r="V208" i="14" s="1"/>
  <c r="AC208" i="14" s="1"/>
  <c r="AB208" i="14" s="1"/>
  <c r="AA208" i="14" s="1"/>
  <c r="Z208" i="14" s="1"/>
  <c r="Y208" i="14" s="1"/>
  <c r="X208" i="14" s="1"/>
  <c r="W208" i="14" s="1"/>
  <c r="H67" i="12"/>
  <c r="H69" i="12"/>
  <c r="H68" i="12"/>
  <c r="H71" i="12"/>
  <c r="M75" i="12"/>
  <c r="M74" i="12" s="1"/>
  <c r="M73" i="12" s="1"/>
  <c r="M72" i="12" s="1"/>
  <c r="M71" i="12" s="1"/>
  <c r="M70" i="12" s="1"/>
  <c r="M69" i="12" s="1"/>
  <c r="M68" i="12" s="1"/>
  <c r="M67" i="12" s="1"/>
  <c r="M66" i="12" s="1"/>
  <c r="M65" i="12" s="1"/>
  <c r="K58" i="12" s="1"/>
  <c r="H18" i="4" s="1"/>
  <c r="H73" i="12"/>
  <c r="H72" i="12"/>
  <c r="H66" i="12"/>
  <c r="H70" i="12"/>
  <c r="H74" i="12"/>
  <c r="H75" i="12"/>
  <c r="S143" i="14"/>
  <c r="Y148" i="14" s="1"/>
  <c r="V206" i="14" l="1"/>
  <c r="AC206" i="14" s="1"/>
  <c r="AB206" i="14" s="1"/>
  <c r="AA206" i="14" s="1"/>
  <c r="Z206" i="14" s="1"/>
  <c r="Y206" i="14" s="1"/>
  <c r="X206" i="14" s="1"/>
  <c r="W206" i="14" s="1"/>
  <c r="AC49" i="14"/>
  <c r="AC48" i="14" s="1"/>
  <c r="AB49" i="14" s="1"/>
  <c r="AB48" i="14" s="1"/>
  <c r="Y44" i="14" s="1"/>
  <c r="M7" i="14" s="1"/>
  <c r="M10" i="14" s="1"/>
  <c r="E10" i="14"/>
  <c r="Y167" i="14"/>
  <c r="AA171" i="14" s="1"/>
  <c r="AA170" i="14" s="1"/>
  <c r="V200" i="14"/>
  <c r="AC200" i="14" s="1"/>
  <c r="AB200" i="14" s="1"/>
  <c r="AA200" i="14" s="1"/>
  <c r="Z200" i="14" s="1"/>
  <c r="Y200" i="14" s="1"/>
  <c r="X200" i="14" s="1"/>
  <c r="W200" i="14" s="1"/>
  <c r="Q41" i="14"/>
  <c r="V204" i="14"/>
  <c r="AC204" i="14" s="1"/>
  <c r="AB204" i="14" s="1"/>
  <c r="AA204" i="14" s="1"/>
  <c r="Z204" i="14" s="1"/>
  <c r="Y204" i="14" s="1"/>
  <c r="X204" i="14" s="1"/>
  <c r="W204" i="14" s="1"/>
  <c r="U49" i="14"/>
  <c r="U48" i="14" s="1"/>
  <c r="T49" i="14" s="1"/>
  <c r="T48" i="14" s="1"/>
  <c r="S49" i="14" s="1"/>
  <c r="S48" i="14" s="1"/>
  <c r="V199" i="14"/>
  <c r="AC199" i="14" s="1"/>
  <c r="AB199" i="14" s="1"/>
  <c r="V203" i="14"/>
  <c r="AC203" i="14" s="1"/>
  <c r="AB203" i="14" s="1"/>
  <c r="AA203" i="14" s="1"/>
  <c r="Z203" i="14" s="1"/>
  <c r="Y203" i="14" s="1"/>
  <c r="X203" i="14" s="1"/>
  <c r="W203" i="14" s="1"/>
  <c r="V201" i="14"/>
  <c r="AC201" i="14" s="1"/>
  <c r="AB201" i="14" s="1"/>
  <c r="AA201" i="14" s="1"/>
  <c r="Z201" i="14" s="1"/>
  <c r="Y201" i="14" s="1"/>
  <c r="X201" i="14" s="1"/>
  <c r="W201" i="14" s="1"/>
  <c r="AA193" i="14"/>
  <c r="AA192" i="14" s="1"/>
  <c r="AA191" i="14" s="1"/>
  <c r="AA190" i="14" s="1"/>
  <c r="AA189" i="14" s="1"/>
  <c r="L105" i="14" s="1"/>
  <c r="N119" i="14" s="1"/>
  <c r="V205" i="14"/>
  <c r="AC205" i="14" s="1"/>
  <c r="V202" i="14"/>
  <c r="AC202" i="14" s="1"/>
  <c r="AB202" i="14" s="1"/>
  <c r="AA202" i="14" s="1"/>
  <c r="Z202" i="14" s="1"/>
  <c r="Y202" i="14" s="1"/>
  <c r="X202" i="14" s="1"/>
  <c r="W202" i="14" s="1"/>
  <c r="V207" i="14"/>
  <c r="AC207" i="14" s="1"/>
  <c r="AB207" i="14" s="1"/>
  <c r="AA207" i="14" s="1"/>
  <c r="Z207" i="14" s="1"/>
  <c r="Y207" i="14" s="1"/>
  <c r="X207" i="14" s="1"/>
  <c r="W207" i="14" s="1"/>
  <c r="H19" i="4"/>
  <c r="Y140" i="14"/>
  <c r="Y144" i="14"/>
  <c r="Y147" i="14"/>
  <c r="Y146" i="14"/>
  <c r="Y139" i="14"/>
  <c r="B105" i="14"/>
  <c r="F115" i="14" s="1"/>
  <c r="Y145" i="14"/>
  <c r="Y143" i="14"/>
  <c r="Y142" i="14"/>
  <c r="Y141" i="14"/>
  <c r="N117" i="14" l="1"/>
  <c r="N114" i="14"/>
  <c r="N113" i="14"/>
  <c r="AA199" i="14"/>
  <c r="Z199" i="14" s="1"/>
  <c r="O119" i="14"/>
  <c r="O114" i="14"/>
  <c r="O115" i="14"/>
  <c r="O110" i="14"/>
  <c r="N110" i="14" s="1"/>
  <c r="N115" i="14"/>
  <c r="N111" i="14"/>
  <c r="AB205" i="14"/>
  <c r="AA205" i="14" s="1"/>
  <c r="Z205" i="14" s="1"/>
  <c r="Y205" i="14" s="1"/>
  <c r="X205" i="14" s="1"/>
  <c r="W205" i="14" s="1"/>
  <c r="O113" i="14"/>
  <c r="N118" i="14"/>
  <c r="N116" i="14"/>
  <c r="M19" i="14"/>
  <c r="O112" i="14"/>
  <c r="O117" i="14"/>
  <c r="O111" i="14"/>
  <c r="N112" i="14"/>
  <c r="O118" i="14"/>
  <c r="O116" i="14"/>
  <c r="AA169" i="14"/>
  <c r="AA168" i="14" s="1"/>
  <c r="AA167" i="14" s="1"/>
  <c r="T167" i="14" s="1"/>
  <c r="V173" i="14" s="1"/>
  <c r="E113" i="14"/>
  <c r="F111" i="14"/>
  <c r="F114" i="14"/>
  <c r="E118" i="14"/>
  <c r="F116" i="14"/>
  <c r="F119" i="14"/>
  <c r="E114" i="14"/>
  <c r="E119" i="14"/>
  <c r="F110" i="14"/>
  <c r="E110" i="14" s="1"/>
  <c r="F113" i="14"/>
  <c r="Y150" i="14"/>
  <c r="E111" i="14"/>
  <c r="F112" i="14"/>
  <c r="E112" i="14"/>
  <c r="F118" i="14"/>
  <c r="F117" i="14"/>
  <c r="E117" i="14"/>
  <c r="E115" i="14"/>
  <c r="E116" i="14"/>
  <c r="Z142" i="14" l="1"/>
  <c r="G105" i="14"/>
  <c r="J112" i="14" s="1"/>
  <c r="N120" i="14"/>
  <c r="V177" i="14"/>
  <c r="V178" i="14"/>
  <c r="V175" i="14"/>
  <c r="V176" i="14"/>
  <c r="V174" i="14"/>
  <c r="V172" i="14"/>
  <c r="V180" i="14"/>
  <c r="V181" i="14"/>
  <c r="V179" i="14"/>
  <c r="E120" i="14"/>
  <c r="Y199" i="14"/>
  <c r="AA153" i="14" l="1"/>
  <c r="AA152" i="14" s="1"/>
  <c r="AA151" i="14" s="1"/>
  <c r="K153" i="14" s="1"/>
  <c r="B106" i="14" s="1"/>
  <c r="D20" i="14" s="1"/>
  <c r="K119" i="14"/>
  <c r="J111" i="14"/>
  <c r="J118" i="14"/>
  <c r="K117" i="14"/>
  <c r="J117" i="14"/>
  <c r="J116" i="14"/>
  <c r="K115" i="14"/>
  <c r="K112" i="14"/>
  <c r="K113" i="14"/>
  <c r="J114" i="14"/>
  <c r="K114" i="14"/>
  <c r="J115" i="14"/>
  <c r="K116" i="14"/>
  <c r="J119" i="14"/>
  <c r="K110" i="14"/>
  <c r="J110" i="14" s="1"/>
  <c r="J113" i="14"/>
  <c r="K118" i="14"/>
  <c r="H19" i="14"/>
  <c r="K111" i="14"/>
  <c r="V182" i="14"/>
  <c r="W176" i="14" s="1"/>
  <c r="Y178" i="14" s="1"/>
  <c r="X199" i="14"/>
  <c r="J120" i="14" l="1"/>
  <c r="Y177" i="14"/>
  <c r="Y176" i="14" s="1"/>
  <c r="K181" i="14" s="1"/>
  <c r="W199" i="14"/>
  <c r="W209" i="14" s="1"/>
  <c r="X209" i="14" s="1"/>
  <c r="Y209" i="14" s="1"/>
  <c r="Z209" i="14" s="1"/>
  <c r="AA209" i="14" s="1"/>
  <c r="AB209" i="14" s="1"/>
  <c r="AC209" i="14" s="1"/>
  <c r="J232" i="14" s="1"/>
  <c r="L106" i="14" s="1"/>
  <c r="G106" i="14" l="1"/>
  <c r="H20" i="14" s="1"/>
  <c r="M20" i="14"/>
  <c r="N23" i="4"/>
  <c r="N22" i="4" l="1"/>
  <c r="N25" i="4" s="1"/>
  <c r="N54" i="4" l="1"/>
</calcChain>
</file>

<file path=xl/sharedStrings.xml><?xml version="1.0" encoding="utf-8"?>
<sst xmlns="http://schemas.openxmlformats.org/spreadsheetml/2006/main" count="764" uniqueCount="530">
  <si>
    <t>NWR RAP Rating Worksheet</t>
  </si>
  <si>
    <t xml:space="preserve">County: </t>
  </si>
  <si>
    <t>WAC 136 130 040</t>
  </si>
  <si>
    <t>Project Name:</t>
  </si>
  <si>
    <t>Scored</t>
  </si>
  <si>
    <t>Points</t>
  </si>
  <si>
    <t>TRAFFIC VOLUME</t>
  </si>
  <si>
    <t>TRAFFIC ACCIDENTS</t>
  </si>
  <si>
    <t>Vertical Alignment</t>
  </si>
  <si>
    <t>Horizontal Alignment</t>
  </si>
  <si>
    <t>Width</t>
  </si>
  <si>
    <t>TOTAL NWR RAP WORKSHEET RATING:</t>
  </si>
  <si>
    <t>NOTES:</t>
  </si>
  <si>
    <t xml:space="preserve">   1.  Points for Visual Rating portion of the STRUCTURAL RATING will be assigned by the RAP Engineer.</t>
  </si>
  <si>
    <t xml:space="preserve">   2.  No points are allowed for conditions which are not going to be improved by the proposed project.</t>
  </si>
  <si>
    <t xml:space="preserve"> </t>
  </si>
  <si>
    <t>Current Est. ADT =</t>
  </si>
  <si>
    <t>Determine Traffic Volume Rating using Table below</t>
  </si>
  <si>
    <t>ADT = Average Weekday Traffic Volumes</t>
  </si>
  <si>
    <t>TRAFFIC VOLUME RATING</t>
  </si>
  <si>
    <t>(Indicate number of accidents, not number of fatalities, injuries or property damages)</t>
  </si>
  <si>
    <t>Year</t>
  </si>
  <si>
    <t>Prop. Damage</t>
  </si>
  <si>
    <t>Injury</t>
  </si>
  <si>
    <t xml:space="preserve">Fatality </t>
  </si>
  <si>
    <t xml:space="preserve">                                          </t>
  </si>
  <si>
    <t>No. of accidents</t>
  </si>
  <si>
    <t xml:space="preserve">    Subtotal</t>
  </si>
  <si>
    <t>Factor</t>
  </si>
  <si>
    <t>x25</t>
  </si>
  <si>
    <t xml:space="preserve">                                                     </t>
  </si>
  <si>
    <t>=</t>
  </si>
  <si>
    <t>+</t>
  </si>
  <si>
    <t>Total</t>
  </si>
  <si>
    <t xml:space="preserve">  Determine accident rating </t>
  </si>
  <si>
    <t>(Length</t>
  </si>
  <si>
    <t>using table below.</t>
  </si>
  <si>
    <t>in Miles)</t>
  </si>
  <si>
    <t>Acc./Mile)</t>
  </si>
  <si>
    <t xml:space="preserve">TRAFFIC ACCIDENT RATING </t>
  </si>
  <si>
    <t>Traffic Volume Rating</t>
  </si>
  <si>
    <t>Traffic Accident</t>
  </si>
  <si>
    <t>Calculation Table</t>
  </si>
  <si>
    <t>ACCIDENT AND TRAFFIC RATING TABLE</t>
  </si>
  <si>
    <t>CALC</t>
  </si>
  <si>
    <t>Average</t>
  </si>
  <si>
    <t>Rating</t>
  </si>
  <si>
    <t>AADT</t>
  </si>
  <si>
    <t>TRUCK AADT</t>
  </si>
  <si>
    <t>ACCIDENT</t>
  </si>
  <si>
    <t xml:space="preserve"> ADT</t>
  </si>
  <si>
    <t>Truck ADT</t>
  </si>
  <si>
    <t>Acc/Mile</t>
  </si>
  <si>
    <t>POINTS</t>
  </si>
  <si>
    <t>&lt;50</t>
  </si>
  <si>
    <t>&lt;5</t>
  </si>
  <si>
    <t>0-2</t>
  </si>
  <si>
    <t>3-4</t>
  </si>
  <si>
    <t>5-6</t>
  </si>
  <si>
    <t>7-8</t>
  </si>
  <si>
    <t>9-10</t>
  </si>
  <si>
    <t>11-12</t>
  </si>
  <si>
    <t>13-14</t>
  </si>
  <si>
    <t>15-16</t>
  </si>
  <si>
    <t>17-18</t>
  </si>
  <si>
    <t>19-20</t>
  </si>
  <si>
    <t>&gt;2500</t>
  </si>
  <si>
    <t>&gt;250</t>
  </si>
  <si>
    <t>&gt;20</t>
  </si>
  <si>
    <t xml:space="preserve">                                              </t>
  </si>
  <si>
    <t>Note: Use the highest value of ADT or Truck ADT</t>
  </si>
  <si>
    <t>Type</t>
  </si>
  <si>
    <t>Degree</t>
  </si>
  <si>
    <t>Percentage</t>
  </si>
  <si>
    <t>Max.</t>
  </si>
  <si>
    <t>of Distress</t>
  </si>
  <si>
    <t>Rating:</t>
  </si>
  <si>
    <t xml:space="preserve">               </t>
  </si>
  <si>
    <t>1 - 15%</t>
  </si>
  <si>
    <t>16 - 30%</t>
  </si>
  <si>
    <t>&gt; 31%</t>
  </si>
  <si>
    <t xml:space="preserve">                                                           </t>
  </si>
  <si>
    <t>Rutting</t>
  </si>
  <si>
    <t>Slight</t>
  </si>
  <si>
    <t>Moderate</t>
  </si>
  <si>
    <t>Severe</t>
  </si>
  <si>
    <t>Corrugations</t>
  </si>
  <si>
    <t>Cracking</t>
  </si>
  <si>
    <t>Patching</t>
  </si>
  <si>
    <t>Condition rating = Points</t>
  </si>
  <si>
    <t>Faulting</t>
  </si>
  <si>
    <t>GRAVEL OR EARTH ONLY</t>
  </si>
  <si>
    <t>Heaving</t>
  </si>
  <si>
    <t>Potholing</t>
  </si>
  <si>
    <t>Drainage</t>
  </si>
  <si>
    <t>Good</t>
  </si>
  <si>
    <t>Fair</t>
  </si>
  <si>
    <t>Poor</t>
  </si>
  <si>
    <t>Surfacing</t>
  </si>
  <si>
    <t>Depth</t>
  </si>
  <si>
    <t>Surface</t>
  </si>
  <si>
    <t>ROADWAY STRUCTURAL CONDITION RATING  GRAVEL OR EARTH</t>
  </si>
  <si>
    <t>1)</t>
  </si>
  <si>
    <t>2)</t>
  </si>
  <si>
    <t>= 30k in Average Rural Area</t>
  </si>
  <si>
    <t>= 40k in Heavy Rural Area</t>
  </si>
  <si>
    <t>3)</t>
  </si>
  <si>
    <t>4)</t>
  </si>
  <si>
    <t>Use 18,000 lbs. for all applications</t>
  </si>
  <si>
    <t>5)</t>
  </si>
  <si>
    <t>6)</t>
  </si>
  <si>
    <t>Geometric rating points shall be claimed only for those conditions which will be improved.</t>
  </si>
  <si>
    <t xml:space="preserve">Total points claimed should be proportional to the percent of substandard sections to be corrected to </t>
  </si>
  <si>
    <t>design standards.  If Local Programs grants a design deviation, that is the standard you must correct to.</t>
  </si>
  <si>
    <t xml:space="preserve">Using the Design Standards tables below as a guide, determine the </t>
  </si>
  <si>
    <t xml:space="preserve">                                                                      </t>
  </si>
  <si>
    <t>ADT</t>
  </si>
  <si>
    <t>&lt;400</t>
  </si>
  <si>
    <t>400 - 2000</t>
  </si>
  <si>
    <t>&gt; 2000</t>
  </si>
  <si>
    <t>FLAT</t>
  </si>
  <si>
    <t>ROLLING</t>
  </si>
  <si>
    <t>MOUNTAINOUS</t>
  </si>
  <si>
    <t>Condition</t>
  </si>
  <si>
    <t>Good - Less than 2% of project length deviates from design standards.</t>
  </si>
  <si>
    <t>Fair - 2% to 5% of project length deviates from design standards.</t>
  </si>
  <si>
    <t>Poor - More than 5% of project length deviates from design standards.</t>
  </si>
  <si>
    <t>Note:  Count a section length only once, regardless of how many deficiency types are present.</t>
  </si>
  <si>
    <t xml:space="preserve">GEOMETRICS, Continued p.2/3 </t>
  </si>
  <si>
    <t>Speed</t>
  </si>
  <si>
    <t>All existing horizontal curves exceed design standards.</t>
  </si>
  <si>
    <t xml:space="preserve">  </t>
  </si>
  <si>
    <t>One or more curves are 10 MPH below design standards.</t>
  </si>
  <si>
    <t>HORIZONTAL RATING POINTS</t>
  </si>
  <si>
    <t>LANE WIDTH</t>
  </si>
  <si>
    <t>( Both sides )</t>
  </si>
  <si>
    <t>SHOULDER WIDTH</t>
  </si>
  <si>
    <t>( One side )</t>
  </si>
  <si>
    <t>TERRAIN</t>
  </si>
  <si>
    <t>Flat</t>
  </si>
  <si>
    <t>Rolling</t>
  </si>
  <si>
    <t>Mountainous</t>
  </si>
  <si>
    <t>Minimum Design Speed</t>
  </si>
  <si>
    <t>Minimum Design Speed Table</t>
  </si>
  <si>
    <t xml:space="preserve">Existing </t>
  </si>
  <si>
    <t>Length of</t>
  </si>
  <si>
    <t>Curve No.</t>
  </si>
  <si>
    <t>Length</t>
  </si>
  <si>
    <t>Radius</t>
  </si>
  <si>
    <t>STANDARD GRADES (MAX.)</t>
  </si>
  <si>
    <t>AASHTO 2001</t>
  </si>
  <si>
    <t>Collectors</t>
  </si>
  <si>
    <t>Arterials</t>
  </si>
  <si>
    <t>(p 427)</t>
  </si>
  <si>
    <t>(p 450)</t>
  </si>
  <si>
    <t>&lt; 400</t>
  </si>
  <si>
    <t>400-2000</t>
  </si>
  <si>
    <t>HORIZ. ALIGNMENT:</t>
  </si>
  <si>
    <t>Standard</t>
  </si>
  <si>
    <t>Grade</t>
  </si>
  <si>
    <t>Grades</t>
  </si>
  <si>
    <t>Grade, Mi.</t>
  </si>
  <si>
    <t>Sight Dist.</t>
  </si>
  <si>
    <t>Length, Mi.</t>
  </si>
  <si>
    <t>PROJECT LENGTH</t>
  </si>
  <si>
    <t>Miles</t>
  </si>
  <si>
    <t>FATAL ACCIDENTS</t>
  </si>
  <si>
    <t>DRD</t>
  </si>
  <si>
    <t>Str. Rating</t>
  </si>
  <si>
    <t>From CRAB</t>
  </si>
  <si>
    <t>TRUCK ADT</t>
  </si>
  <si>
    <t>STANDARD DESIGN SPEEDS</t>
  </si>
  <si>
    <t>(p 145)</t>
  </si>
  <si>
    <r>
      <t xml:space="preserve">MIN, </t>
    </r>
    <r>
      <rPr>
        <b/>
        <sz val="10"/>
        <color indexed="14"/>
        <rFont val="Arial"/>
        <family val="2"/>
      </rPr>
      <t>RADIUS</t>
    </r>
  </si>
  <si>
    <t xml:space="preserve">&lt; 400 </t>
  </si>
  <si>
    <t>MPH</t>
  </si>
  <si>
    <t>FOR 6% SUPER.</t>
  </si>
  <si>
    <t>Safe Speed</t>
  </si>
  <si>
    <t>Exist. Sight</t>
  </si>
  <si>
    <t>(Vs)</t>
  </si>
  <si>
    <t>Dist.  (S)</t>
  </si>
  <si>
    <t>This Table has been revised</t>
  </si>
  <si>
    <t>~</t>
  </si>
  <si>
    <t>as of:  October 29, 2001</t>
  </si>
  <si>
    <t>in keeping with AASHTO's:</t>
  </si>
  <si>
    <t>"A Policy on Geometric Design</t>
  </si>
  <si>
    <t>of</t>
  </si>
  <si>
    <t>Highways and Streets"</t>
  </si>
  <si>
    <t>page 426</t>
  </si>
  <si>
    <t>STOPPING SIGHT DISTANCE</t>
  </si>
  <si>
    <t>Passing and stopping sight distance are not used in this section's calculation</t>
  </si>
  <si>
    <t>% Deficient</t>
  </si>
  <si>
    <t>Safe</t>
  </si>
  <si>
    <t>Curves</t>
  </si>
  <si>
    <r>
      <t xml:space="preserve">Curves </t>
    </r>
    <r>
      <rPr>
        <u/>
        <sz val="8"/>
        <rFont val="Arial"/>
        <family val="2"/>
      </rPr>
      <t>&lt;</t>
    </r>
  </si>
  <si>
    <t>below</t>
  </si>
  <si>
    <t>Better than</t>
  </si>
  <si>
    <t>5 MPH</t>
  </si>
  <si>
    <t>standard</t>
  </si>
  <si>
    <t>below std</t>
  </si>
  <si>
    <t>Horizontal</t>
  </si>
  <si>
    <t>Safe Speed Calculation Table</t>
  </si>
  <si>
    <t>Curves &gt;</t>
  </si>
  <si>
    <t>Pointds</t>
  </si>
  <si>
    <t>Note:  Rate only those pualities which cannot be readily corrected by maintenance blading.</t>
  </si>
  <si>
    <t>puality</t>
  </si>
  <si>
    <t xml:space="preserve">adepuacy of the vertical alignments.                             </t>
  </si>
  <si>
    <t>Minimum Radius:</t>
  </si>
  <si>
    <t>6 MPH</t>
  </si>
  <si>
    <t>7 MPH</t>
  </si>
  <si>
    <t>8 MPH</t>
  </si>
  <si>
    <t>9 MPH</t>
  </si>
  <si>
    <t>Deficient</t>
  </si>
  <si>
    <t>Function Class</t>
  </si>
  <si>
    <t>Standard Grade</t>
  </si>
  <si>
    <r>
      <t xml:space="preserve">Grade Chart, </t>
    </r>
    <r>
      <rPr>
        <b/>
        <sz val="10"/>
        <rFont val="Arial"/>
        <family val="2"/>
      </rPr>
      <t>Arterials</t>
    </r>
  </si>
  <si>
    <r>
      <t xml:space="preserve">Grade Chart, </t>
    </r>
    <r>
      <rPr>
        <b/>
        <sz val="10"/>
        <rFont val="Arial"/>
        <family val="2"/>
      </rPr>
      <t>Collectors</t>
    </r>
  </si>
  <si>
    <t>Total Miles of Deficiency</t>
  </si>
  <si>
    <t>Project Length, miles</t>
  </si>
  <si>
    <t>FUNCTIONAL CLASS</t>
  </si>
  <si>
    <t>Minimum Design Speed:</t>
  </si>
  <si>
    <t xml:space="preserve">Length of Project with less than </t>
  </si>
  <si>
    <t>STOPPING SIGHT DIST.:</t>
  </si>
  <si>
    <t>STOPPING SIGHT DISTANCE CALCULATION:</t>
  </si>
  <si>
    <t>LANE WIDTHS PER ADT</t>
  </si>
  <si>
    <t>400 - 1500</t>
  </si>
  <si>
    <t>1500 - 2000</t>
  </si>
  <si>
    <t>COLLECTORS</t>
  </si>
  <si>
    <t>ARTERIALS</t>
  </si>
  <si>
    <t>SHOULDER WIDTHS PER ADT</t>
  </si>
  <si>
    <t>DESIGN</t>
  </si>
  <si>
    <t>SPEED</t>
  </si>
  <si>
    <t>ALL SPEEDS</t>
  </si>
  <si>
    <t>LANE WIDTH CALCULATION</t>
  </si>
  <si>
    <t>&lt; 1501</t>
  </si>
  <si>
    <t>1501 - 2000</t>
  </si>
  <si>
    <t>DESIGN LANE WIDTH</t>
  </si>
  <si>
    <t>SHOULDER WIDTH CALCULATION</t>
  </si>
  <si>
    <t>REFERRENCE TABLES</t>
  </si>
  <si>
    <t>P.D. ONLY ACCIDENTS</t>
  </si>
  <si>
    <t>INJURY (non fatal) ACCIDENTS</t>
  </si>
  <si>
    <t>ft of stopping sight distance:</t>
  </si>
  <si>
    <t xml:space="preserve">% Safe </t>
  </si>
  <si>
    <t>Stopping sight dist.</t>
  </si>
  <si>
    <t>table</t>
  </si>
  <si>
    <t>Stopping Sight Distance</t>
  </si>
  <si>
    <t>Use the table below to determine the adequacy of the horizontal alignment.</t>
  </si>
  <si>
    <t>TRAFFIC</t>
  </si>
  <si>
    <t>STRUCTURE</t>
  </si>
  <si>
    <t>LANE WIDTH (BOTH SIDES)</t>
  </si>
  <si>
    <t>SHOULDER WIDTH (ONE SIDE)</t>
  </si>
  <si>
    <t>ROADWAY WIDTH</t>
  </si>
  <si>
    <t>Vertical Grade Points</t>
  </si>
  <si>
    <t>Vertical Grade</t>
  </si>
  <si>
    <t>Stopping Sight Distance Points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</si>
  <si>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</si>
  <si>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</si>
  <si>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</si>
  <si>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</si>
  <si>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</si>
  <si>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</si>
  <si>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</si>
  <si>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</si>
  <si>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</si>
  <si>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</si>
  <si>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</si>
  <si>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</si>
  <si>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</si>
  <si>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</si>
  <si>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</si>
  <si>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</si>
  <si>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</si>
  <si>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</si>
  <si>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</si>
  <si>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</si>
  <si>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</si>
  <si>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</si>
  <si>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</si>
  <si>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</si>
  <si>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</si>
  <si>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</si>
  <si>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</si>
  <si>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</si>
  <si>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</si>
  <si>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</si>
  <si>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</si>
  <si>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</si>
  <si>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LOCAL SIGNIFICANCE</t>
  </si>
  <si>
    <t>ITN</t>
  </si>
  <si>
    <t>DTN</t>
  </si>
  <si>
    <t>click here</t>
  </si>
  <si>
    <t>Percentage of heavy trucks in design lane</t>
  </si>
  <si>
    <t>Percent of heavy trucks in traffic stream</t>
  </si>
  <si>
    <t>TERRAIN:</t>
  </si>
  <si>
    <t>ROAD WIDTH:</t>
  </si>
  <si>
    <t>Minimum Radius</t>
  </si>
  <si>
    <t>Maximum Grade</t>
  </si>
  <si>
    <t>Points Assigned</t>
  </si>
  <si>
    <t xml:space="preserve">   %</t>
  </si>
  <si>
    <t>Impr.</t>
  </si>
  <si>
    <t>Proposed</t>
  </si>
  <si>
    <t>Avg.</t>
  </si>
  <si>
    <t>Design Rebound Deflection</t>
  </si>
  <si>
    <t>See Sheet 9</t>
  </si>
  <si>
    <t>3R WORKSHEET RECAP</t>
  </si>
  <si>
    <t>Miles to hundredths</t>
  </si>
  <si>
    <t>SPECIAL:</t>
  </si>
  <si>
    <t>Local Significance</t>
  </si>
  <si>
    <t>STRUCTURAL:</t>
  </si>
  <si>
    <t>GEOMETRY:</t>
  </si>
  <si>
    <t>Road Rater</t>
  </si>
  <si>
    <t>Resurfacing (Visual)</t>
  </si>
  <si>
    <t>3R CHECKLIST:</t>
  </si>
  <si>
    <r>
      <t>A</t>
    </r>
    <r>
      <rPr>
        <sz val="10"/>
        <rFont val="MS Sans Serif"/>
      </rPr>
      <t>. Improve Operational Features:</t>
    </r>
  </si>
  <si>
    <t>Traffic control devices</t>
  </si>
  <si>
    <t>- Must attach warrants</t>
  </si>
  <si>
    <t>Right Turn lanes</t>
  </si>
  <si>
    <t>STANDARD</t>
  </si>
  <si>
    <t>Left turn lanes</t>
  </si>
  <si>
    <r>
      <t>B.</t>
    </r>
    <r>
      <rPr>
        <sz val="10"/>
        <rFont val="MS Sans Serif"/>
      </rPr>
      <t xml:space="preserve"> Remove roadside hazards:</t>
    </r>
  </si>
  <si>
    <t>Provide recent roadside inventory and date inventory was done.</t>
  </si>
  <si>
    <t>Design Speed:</t>
  </si>
  <si>
    <t>Claim only those hazards you will mitigate.</t>
  </si>
  <si>
    <t>20 points will be assigned to the highest regional submittal</t>
  </si>
  <si>
    <t xml:space="preserve">   the remainder of submittals will be prorated back.</t>
  </si>
  <si>
    <t>Roadside Inventory of deficiencies:</t>
  </si>
  <si>
    <t>No. of hazards:</t>
  </si>
  <si>
    <t xml:space="preserve">Sideslopes </t>
  </si>
  <si>
    <t>- Count every 100 ft that is: &gt; 6 ft, 2:1 or steeper</t>
  </si>
  <si>
    <t xml:space="preserve">Utility poles </t>
  </si>
  <si>
    <t>- Must be moved to 4 ft beyond back of ditch or to R/W</t>
  </si>
  <si>
    <t>VERTICAL GRADE:</t>
  </si>
  <si>
    <t xml:space="preserve">Mailboxes </t>
  </si>
  <si>
    <t>Trees</t>
  </si>
  <si>
    <t>Standard Sight Dist</t>
  </si>
  <si>
    <t>Sign posts</t>
  </si>
  <si>
    <t>Culvert ends</t>
  </si>
  <si>
    <t>Barrier systems</t>
  </si>
  <si>
    <t>- Substandard height, support, and terminals</t>
  </si>
  <si>
    <t>Other hazards</t>
  </si>
  <si>
    <t>- Specify in Prospectus</t>
  </si>
  <si>
    <t>/mile</t>
  </si>
  <si>
    <t>3R CHECKLIST Total:</t>
  </si>
  <si>
    <t>Cum.</t>
  </si>
  <si>
    <t>Horizontal Points</t>
  </si>
  <si>
    <t xml:space="preserve">Note:  For vertical points, count a deficient section length only once, </t>
  </si>
  <si>
    <t>whether it be for deficient grade or deficient stopping sight distance.</t>
  </si>
  <si>
    <t>3R CHECKLIST ITEMS:</t>
  </si>
  <si>
    <t>Check if</t>
  </si>
  <si>
    <t>Applicable:</t>
  </si>
  <si>
    <t>Points:</t>
  </si>
  <si>
    <t>Traffic Control Devices.</t>
  </si>
  <si>
    <t xml:space="preserve">          Current Est. Truck ADT </t>
  </si>
  <si>
    <t>51-100</t>
  </si>
  <si>
    <t>6-10</t>
  </si>
  <si>
    <t>101-250</t>
  </si>
  <si>
    <t>11-25</t>
  </si>
  <si>
    <t>251-500</t>
  </si>
  <si>
    <t>26-50</t>
  </si>
  <si>
    <t>501-750</t>
  </si>
  <si>
    <t>51-75</t>
  </si>
  <si>
    <t>751-1000</t>
  </si>
  <si>
    <t>76-100</t>
  </si>
  <si>
    <t>1001-1250</t>
  </si>
  <si>
    <t>101-125</t>
  </si>
  <si>
    <t>1251-1500</t>
  </si>
  <si>
    <t>126-150</t>
  </si>
  <si>
    <t>1501-2000</t>
  </si>
  <si>
    <t>151-200</t>
  </si>
  <si>
    <t>2001-2500</t>
  </si>
  <si>
    <t>201-250</t>
  </si>
  <si>
    <t>ROADWAY STRUCTURAL CONDITION (30 Points Max.)</t>
  </si>
  <si>
    <t>VERTICAL ALIGNMENT CALCULATION:</t>
  </si>
  <si>
    <t>VERTICAL ALIGNMENT - 5 Points</t>
  </si>
  <si>
    <t>HORIZONTAL ALIGNMENT - 5 Points</t>
  </si>
  <si>
    <t>All existing horizontal curves meet or no more than 5 MPH below design standards.</t>
  </si>
  <si>
    <t>All existing horizontal curves are epual to or no more than 6 MPH below design standard.</t>
  </si>
  <si>
    <t>All existing horizontal curves are epual to or no more than 7 MPH below design standard.</t>
  </si>
  <si>
    <t>All existing horizontal curves are epual to or no more than 8 MPH below design standard.</t>
  </si>
  <si>
    <t>All existing horizontal curves are epual to or no more than 9 MPH below design standard.</t>
  </si>
  <si>
    <t>ROADWAY WIDENING</t>
  </si>
  <si>
    <t>10 pts max</t>
  </si>
  <si>
    <t>3R WIDTH RATING</t>
  </si>
  <si>
    <t>TOTAL ROADWAY WIDENING,</t>
  </si>
  <si>
    <t xml:space="preserve"> 3R:</t>
  </si>
  <si>
    <t>Existing Road Width =</t>
  </si>
  <si>
    <t>Proposed Road Width =</t>
  </si>
  <si>
    <t>Feet of</t>
  </si>
  <si>
    <t>Available</t>
  </si>
  <si>
    <t xml:space="preserve">Scored </t>
  </si>
  <si>
    <t>Widening</t>
  </si>
  <si>
    <t>1'</t>
  </si>
  <si>
    <t>2'</t>
  </si>
  <si>
    <t>3'</t>
  </si>
  <si>
    <t>4'</t>
  </si>
  <si>
    <t>5'</t>
  </si>
  <si>
    <t>WIDTH POINTS, 3R</t>
  </si>
  <si>
    <t>07s and 08s</t>
  </si>
  <si>
    <r>
      <t>LANE WIDTHS</t>
    </r>
    <r>
      <rPr>
        <sz val="10"/>
        <rFont val="MS Sans Serif"/>
      </rPr>
      <t xml:space="preserve"> PER ADT:</t>
    </r>
  </si>
  <si>
    <r>
      <t>SHOULDER WIDTHS</t>
    </r>
    <r>
      <rPr>
        <sz val="10"/>
        <rFont val="MS Sans Serif"/>
      </rPr>
      <t xml:space="preserve"> PER ADT      :</t>
    </r>
  </si>
  <si>
    <t>02s and 06s</t>
  </si>
  <si>
    <r>
      <t xml:space="preserve">- Support must be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25 in.</t>
    </r>
    <r>
      <rPr>
        <vertAlign val="superscript"/>
        <sz val="10"/>
        <rFont val="MS Sans Serif"/>
        <family val="2"/>
      </rPr>
      <t>2,</t>
    </r>
    <r>
      <rPr>
        <sz val="10"/>
        <rFont val="MS Sans Serif"/>
        <family val="2"/>
      </rPr>
      <t xml:space="preserve">  non breakaway</t>
    </r>
  </si>
  <si>
    <r>
      <t xml:space="preserve">- Non breakaway </t>
    </r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25 in.</t>
    </r>
    <r>
      <rPr>
        <vertAlign val="superscript"/>
        <sz val="10"/>
        <rFont val="MS Sans Serif"/>
        <family val="2"/>
      </rPr>
      <t>2</t>
    </r>
  </si>
  <si>
    <r>
      <t xml:space="preserve">- Road approch, &gt; 12 in.  and cross culverts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24 in diameter</t>
    </r>
  </si>
  <si>
    <r>
      <t>A</t>
    </r>
    <r>
      <rPr>
        <u/>
        <sz val="10"/>
        <rFont val="MS Sans Serif"/>
        <family val="2"/>
      </rPr>
      <t>. OPERATIONAL FEATURES - 10 Points Max.</t>
    </r>
  </si>
  <si>
    <r>
      <t>B.</t>
    </r>
    <r>
      <rPr>
        <u/>
        <sz val="10"/>
        <rFont val="MS Sans Serif"/>
        <family val="2"/>
      </rPr>
      <t xml:space="preserve"> REMOVE ROADSIDE HAZARDS - 20 Points Max.</t>
    </r>
  </si>
  <si>
    <r>
      <t>TRAFFIC VOLUME (</t>
    </r>
    <r>
      <rPr>
        <b/>
        <sz val="10"/>
        <color indexed="10"/>
        <rFont val="MS Sans Serif"/>
        <family val="2"/>
      </rPr>
      <t>10</t>
    </r>
    <r>
      <rPr>
        <sz val="10"/>
        <rFont val="MS Sans Serif"/>
      </rPr>
      <t xml:space="preserve"> Points Max.)</t>
    </r>
  </si>
  <si>
    <r>
      <t>TRAFFIC ACCIDENTS (</t>
    </r>
    <r>
      <rPr>
        <b/>
        <u/>
        <sz val="10"/>
        <color indexed="10"/>
        <rFont val="MS Sans Serif"/>
        <family val="2"/>
      </rPr>
      <t>10</t>
    </r>
    <r>
      <rPr>
        <u/>
        <sz val="10"/>
        <rFont val="MS Sans Serif"/>
        <family val="2"/>
      </rPr>
      <t xml:space="preserve"> Points Max.)</t>
    </r>
  </si>
  <si>
    <r>
      <t>GEOMETRICS (</t>
    </r>
    <r>
      <rPr>
        <b/>
        <sz val="10"/>
        <color indexed="10"/>
        <rFont val="MS Sans Serif"/>
        <family val="2"/>
      </rPr>
      <t>20</t>
    </r>
    <r>
      <rPr>
        <sz val="10"/>
        <rFont val="MS Sans Serif"/>
      </rPr>
      <t xml:space="preserve"> Points Max.) p.1/3 </t>
    </r>
  </si>
  <si>
    <r>
      <t>&gt;</t>
    </r>
    <r>
      <rPr>
        <b/>
        <sz val="10"/>
        <color indexed="10"/>
        <rFont val="MS Sans Serif"/>
        <family val="2"/>
      </rPr>
      <t xml:space="preserve"> 6'</t>
    </r>
  </si>
  <si>
    <t>From Graph, Attach Printout</t>
  </si>
  <si>
    <t>(this is the 3rd box from top, right side)</t>
  </si>
  <si>
    <t>(18K, online graph)</t>
  </si>
  <si>
    <t>on light traffic with 20% or less of the area in agriculture, timber, or industrial use.</t>
  </si>
  <si>
    <t>x3</t>
  </si>
  <si>
    <t>x10</t>
  </si>
  <si>
    <t>DESIGN
 SHOULDER 
WIDTH</t>
  </si>
  <si>
    <r>
      <rPr>
        <b/>
        <sz val="10"/>
        <rFont val="MS Sans Serif"/>
        <family val="2"/>
      </rPr>
      <t>Right</t>
    </r>
    <r>
      <rPr>
        <sz val="10"/>
        <rFont val="MS Sans Serif"/>
        <family val="2"/>
      </rPr>
      <t xml:space="preserve"> is the</t>
    </r>
    <r>
      <rPr>
        <b/>
        <sz val="10"/>
        <color indexed="62"/>
        <rFont val="MS Sans Serif"/>
        <family val="2"/>
      </rPr>
      <t xml:space="preserve"> ITN DTN GRAPHS</t>
    </r>
    <r>
      <rPr>
        <sz val="10"/>
        <rFont val="MS Sans Serif"/>
        <family val="2"/>
      </rPr>
      <t xml:space="preserve"> for NW and SW structural rating.  To get the ITN and DTN values, follow the </t>
    </r>
    <r>
      <rPr>
        <b/>
        <sz val="12"/>
        <color indexed="62"/>
        <rFont val="MS Sans Serif"/>
        <family val="2"/>
      </rPr>
      <t>PROCEDURE</t>
    </r>
    <r>
      <rPr>
        <sz val="10"/>
        <rFont val="MS Sans Serif"/>
        <family val="2"/>
      </rPr>
      <t xml:space="preserve"> listed below and then input the resulting NHT and GMHT values in the graphs.  Input the results in </t>
    </r>
    <r>
      <rPr>
        <b/>
        <sz val="10"/>
        <color indexed="62"/>
        <rFont val="MS Sans Serif"/>
        <family val="2"/>
      </rPr>
      <t>Step 7</t>
    </r>
  </si>
  <si>
    <r>
      <t xml:space="preserve"> ITN and DTN 
GRAPHS
</t>
    </r>
    <r>
      <rPr>
        <b/>
        <sz val="12"/>
        <color indexed="10"/>
        <rFont val="MS Sans Serif"/>
        <family val="2"/>
      </rPr>
      <t>double click
 here</t>
    </r>
  </si>
  <si>
    <t>PROCEDURE:</t>
  </si>
  <si>
    <r>
      <t>Determine the NUMBER OF HEAVY TRUCKS (</t>
    </r>
    <r>
      <rPr>
        <b/>
        <sz val="10"/>
        <rFont val="MS Sans Serif"/>
        <family val="2"/>
      </rPr>
      <t>NHT</t>
    </r>
    <r>
      <rPr>
        <sz val="10"/>
        <rFont val="MS Sans Serif"/>
      </rPr>
      <t>)</t>
    </r>
  </si>
  <si>
    <r>
      <t xml:space="preserve"> NHT = ADT x (</t>
    </r>
    <r>
      <rPr>
        <b/>
        <sz val="10"/>
        <color indexed="10"/>
        <rFont val="MS Sans Serif"/>
        <family val="2"/>
      </rPr>
      <t>A</t>
    </r>
    <r>
      <rPr>
        <b/>
        <sz val="10"/>
        <rFont val="MS Sans Serif"/>
        <family val="2"/>
      </rPr>
      <t xml:space="preserve">/100) x </t>
    </r>
    <r>
      <rPr>
        <b/>
        <sz val="10"/>
        <color indexed="10"/>
        <rFont val="MS Sans Serif"/>
        <family val="2"/>
      </rPr>
      <t>B</t>
    </r>
    <r>
      <rPr>
        <b/>
        <sz val="10"/>
        <rFont val="MS Sans Serif"/>
        <family val="2"/>
      </rPr>
      <t xml:space="preserve">    </t>
    </r>
  </si>
  <si>
    <r>
      <t xml:space="preserve">where </t>
    </r>
    <r>
      <rPr>
        <b/>
        <sz val="10"/>
        <color indexed="10"/>
        <rFont val="MS Sans Serif"/>
        <family val="2"/>
      </rPr>
      <t>A</t>
    </r>
    <r>
      <rPr>
        <sz val="10"/>
        <rFont val="MS Sans Serif"/>
      </rPr>
      <t xml:space="preserve"> = </t>
    </r>
  </si>
  <si>
    <r>
      <t xml:space="preserve">A = </t>
    </r>
    <r>
      <rPr>
        <b/>
        <sz val="10"/>
        <color indexed="12"/>
        <rFont val="MS Sans Serif"/>
        <family val="2"/>
      </rPr>
      <t>50</t>
    </r>
    <r>
      <rPr>
        <sz val="10"/>
        <rFont val="MS Sans Serif"/>
      </rPr>
      <t xml:space="preserve"> for a two lane road</t>
    </r>
  </si>
  <si>
    <r>
      <t xml:space="preserve">A = </t>
    </r>
    <r>
      <rPr>
        <b/>
        <sz val="10"/>
        <color indexed="12"/>
        <rFont val="MS Sans Serif"/>
        <family val="2"/>
      </rPr>
      <t>45</t>
    </r>
    <r>
      <rPr>
        <sz val="10"/>
        <rFont val="MS Sans Serif"/>
      </rPr>
      <t xml:space="preserve"> for a four lane road, and</t>
    </r>
  </si>
  <si>
    <r>
      <t xml:space="preserve"> </t>
    </r>
    <r>
      <rPr>
        <b/>
        <sz val="10"/>
        <color indexed="10"/>
        <rFont val="MS Sans Serif"/>
        <family val="2"/>
      </rPr>
      <t>B</t>
    </r>
    <r>
      <rPr>
        <sz val="10"/>
        <rFont val="MS Sans Serif"/>
      </rPr>
      <t xml:space="preserve"> = </t>
    </r>
  </si>
  <si>
    <r>
      <t xml:space="preserve">B = </t>
    </r>
    <r>
      <rPr>
        <b/>
        <sz val="10"/>
        <color indexed="12"/>
        <rFont val="MS Sans Serif"/>
        <family val="2"/>
      </rPr>
      <t>0.08</t>
    </r>
    <r>
      <rPr>
        <sz val="10"/>
        <rFont val="MS Sans Serif"/>
      </rPr>
      <t xml:space="preserve"> in Urbanized Rural Area</t>
    </r>
  </si>
  <si>
    <r>
      <t xml:space="preserve">B = </t>
    </r>
    <r>
      <rPr>
        <b/>
        <sz val="10"/>
        <color indexed="12"/>
        <rFont val="MS Sans Serif"/>
        <family val="2"/>
      </rPr>
      <t>0.14</t>
    </r>
    <r>
      <rPr>
        <sz val="10"/>
        <rFont val="MS Sans Serif"/>
      </rPr>
      <t xml:space="preserve"> in Average Rural Area</t>
    </r>
  </si>
  <si>
    <r>
      <t xml:space="preserve">B = </t>
    </r>
    <r>
      <rPr>
        <b/>
        <sz val="10"/>
        <color indexed="12"/>
        <rFont val="MS Sans Serif"/>
        <family val="2"/>
      </rPr>
      <t>0.16</t>
    </r>
    <r>
      <rPr>
        <sz val="10"/>
        <rFont val="MS Sans Serif"/>
      </rPr>
      <t xml:space="preserve"> in Heavy Rural Area, and</t>
    </r>
  </si>
  <si>
    <r>
      <t xml:space="preserve">Type the </t>
    </r>
    <r>
      <rPr>
        <b/>
        <sz val="10"/>
        <color indexed="10"/>
        <rFont val="MS Sans Serif"/>
        <family val="2"/>
      </rPr>
      <t>NHT</t>
    </r>
    <r>
      <rPr>
        <b/>
        <sz val="10"/>
        <rFont val="MS Sans Serif"/>
        <family val="2"/>
      </rPr>
      <t xml:space="preserve"> number in </t>
    </r>
    <r>
      <rPr>
        <b/>
        <sz val="10"/>
        <color indexed="62"/>
        <rFont val="MS Sans Serif"/>
        <family val="2"/>
      </rPr>
      <t>GRAPH</t>
    </r>
    <r>
      <rPr>
        <b/>
        <sz val="10"/>
        <rFont val="MS Sans Serif"/>
        <family val="2"/>
      </rPr>
      <t xml:space="preserve"> above</t>
    </r>
  </si>
  <si>
    <t>DEFINITION OF TERMS</t>
  </si>
  <si>
    <r>
      <t>URBANIZED RURAL AREA</t>
    </r>
    <r>
      <rPr>
        <sz val="10"/>
        <rFont val="MS Sans Serif"/>
        <family val="2"/>
      </rPr>
      <t xml:space="preserve"> is defined as primarily residential with emphasis </t>
    </r>
  </si>
  <si>
    <r>
      <t xml:space="preserve">AVERAGE RURAL AREA </t>
    </r>
    <r>
      <rPr>
        <sz val="10"/>
        <rFont val="MS Sans Serif"/>
        <family val="2"/>
      </rPr>
      <t>is defined as primarily agricultural area with farm to market hauling.</t>
    </r>
  </si>
  <si>
    <r>
      <t>HEAVY RURAL AREA</t>
    </r>
    <r>
      <rPr>
        <sz val="10"/>
        <rFont val="MS Sans Serif"/>
        <family val="2"/>
      </rPr>
      <t xml:space="preserve"> is defined as primarily timbered or industrial use with heavy hauling.</t>
    </r>
  </si>
  <si>
    <r>
      <t>Determine the GROSS MASS OF HEAVY TRUCKS (</t>
    </r>
    <r>
      <rPr>
        <b/>
        <sz val="10"/>
        <rFont val="MS Sans Serif"/>
        <family val="2"/>
      </rPr>
      <t>GMHT</t>
    </r>
    <r>
      <rPr>
        <sz val="10"/>
        <rFont val="MS Sans Serif"/>
      </rPr>
      <t>)</t>
    </r>
  </si>
  <si>
    <r>
      <rPr>
        <b/>
        <sz val="10"/>
        <rFont val="MS Sans Serif"/>
        <family val="2"/>
      </rPr>
      <t>GMHT</t>
    </r>
    <r>
      <rPr>
        <sz val="10"/>
        <rFont val="MS Sans Serif"/>
      </rPr>
      <t xml:space="preserve"> = 25k in Urbanized Rural Area</t>
    </r>
  </si>
  <si>
    <r>
      <t xml:space="preserve">Input </t>
    </r>
    <r>
      <rPr>
        <b/>
        <sz val="10"/>
        <color indexed="10"/>
        <rFont val="MS Sans Serif"/>
        <family val="2"/>
      </rPr>
      <t>GMHT</t>
    </r>
    <r>
      <rPr>
        <b/>
        <sz val="10"/>
        <rFont val="MS Sans Serif"/>
        <family val="2"/>
      </rPr>
      <t xml:space="preserve"> in </t>
    </r>
    <r>
      <rPr>
        <b/>
        <sz val="10"/>
        <color indexed="62"/>
        <rFont val="MS Sans Serif"/>
        <family val="2"/>
      </rPr>
      <t>GRAPH</t>
    </r>
  </si>
  <si>
    <t>Determine the SINGLE AXLE LOAD LIMIT for line E, Figure III 1</t>
  </si>
  <si>
    <r>
      <t>Click on the CALCULATE Button and read the INITIAL TRAFFIC NUMBER (</t>
    </r>
    <r>
      <rPr>
        <b/>
        <sz val="10"/>
        <color indexed="10"/>
        <rFont val="MS Sans Serif"/>
        <family val="2"/>
      </rPr>
      <t>ITN</t>
    </r>
    <r>
      <rPr>
        <sz val="10"/>
        <rFont val="MS Sans Serif"/>
        <family val="2"/>
      </rPr>
      <t xml:space="preserve">) where extended line E B </t>
    </r>
  </si>
  <si>
    <t>intersects line A</t>
  </si>
  <si>
    <r>
      <t>To determine the DESIGN TRAFFIC NUMBER (</t>
    </r>
    <r>
      <rPr>
        <b/>
        <sz val="10"/>
        <color indexed="10"/>
        <rFont val="MS Sans Serif"/>
        <family val="2"/>
      </rPr>
      <t>DTN</t>
    </r>
    <r>
      <rPr>
        <sz val="10"/>
        <rFont val="MS Sans Serif"/>
        <family val="2"/>
      </rPr>
      <t xml:space="preserve">) of the existing roadway enter </t>
    </r>
  </si>
  <si>
    <r>
      <t>the DESIGN REBOUND DEFLECTION (</t>
    </r>
    <r>
      <rPr>
        <b/>
        <sz val="10"/>
        <color indexed="10"/>
        <rFont val="MS Sans Serif"/>
        <family val="2"/>
      </rPr>
      <t>DRD</t>
    </r>
    <r>
      <rPr>
        <sz val="10"/>
        <rFont val="MS Sans Serif"/>
        <family val="2"/>
      </rPr>
      <t xml:space="preserve">) from the STRUCTURAL ADEQUACY EVALUATION tests </t>
    </r>
  </si>
  <si>
    <r>
      <t xml:space="preserve">made by the Benkelman Beam or Road Rater in the  </t>
    </r>
    <r>
      <rPr>
        <b/>
        <sz val="10"/>
        <color indexed="62"/>
        <rFont val="MS Sans Serif"/>
        <family val="2"/>
      </rPr>
      <t>DTN GRAPH</t>
    </r>
    <r>
      <rPr>
        <sz val="10"/>
        <rFont val="MS Sans Serif"/>
        <family val="2"/>
      </rPr>
      <t xml:space="preserve"> (2nd page of the PDF file) and click the Calculate button.</t>
    </r>
  </si>
  <si>
    <t>7)</t>
  </si>
  <si>
    <r>
      <t xml:space="preserve">Enter </t>
    </r>
    <r>
      <rPr>
        <b/>
        <sz val="10"/>
        <color indexed="62"/>
        <rFont val="MS Sans Serif"/>
        <family val="2"/>
      </rPr>
      <t>GRAPH</t>
    </r>
    <r>
      <rPr>
        <sz val="10"/>
        <rFont val="MS Sans Serif"/>
        <family val="2"/>
      </rPr>
      <t xml:space="preserve"> results here</t>
    </r>
  </si>
  <si>
    <t>Benk. Beam Design Rebound Deflection from deflection testing</t>
  </si>
  <si>
    <t xml:space="preserve"> =</t>
  </si>
  <si>
    <r>
      <t xml:space="preserve">Road Rater Structural Rating for </t>
    </r>
    <r>
      <rPr>
        <b/>
        <sz val="10"/>
        <rFont val="Arial"/>
        <family val="2"/>
      </rPr>
      <t>RC</t>
    </r>
    <r>
      <rPr>
        <sz val="10"/>
        <rFont val="Arial"/>
        <family val="2"/>
      </rPr>
      <t xml:space="preserve"> project</t>
    </r>
  </si>
  <si>
    <r>
      <t xml:space="preserve">Road Rater Structural Rating for </t>
    </r>
    <r>
      <rPr>
        <b/>
        <sz val="10"/>
        <rFont val="Arial"/>
        <family val="2"/>
      </rPr>
      <t>3R</t>
    </r>
    <r>
      <rPr>
        <sz val="10"/>
        <rFont val="Arial"/>
        <family val="2"/>
      </rPr>
      <t xml:space="preserve"> project</t>
    </r>
  </si>
  <si>
    <t>ITN and DTN Graph</t>
  </si>
  <si>
    <t>See ITN and DTN Graph for procedure</t>
  </si>
  <si>
    <t>1 Project per County per Biennium</t>
  </si>
  <si>
    <t xml:space="preserve">   </t>
  </si>
  <si>
    <t xml:space="preserve">TYPE OF </t>
  </si>
  <si>
    <t>PERCENTAGE OF DISTRESS</t>
  </si>
  <si>
    <t>DISTRESS</t>
  </si>
  <si>
    <t>ACP</t>
  </si>
  <si>
    <t>No Distress</t>
  </si>
  <si>
    <t>1%-15%</t>
  </si>
  <si>
    <t>16%-30%</t>
  </si>
  <si>
    <t>&gt;30%</t>
  </si>
  <si>
    <t>POINTS:</t>
  </si>
  <si>
    <t>Ravelling</t>
  </si>
  <si>
    <r>
      <t>Cracks</t>
    </r>
    <r>
      <rPr>
        <sz val="8"/>
        <rFont val="MS Sans Serif"/>
        <family val="2"/>
      </rPr>
      <t xml:space="preserve"> </t>
    </r>
    <r>
      <rPr>
        <sz val="7"/>
        <rFont val="MS Sans Serif"/>
        <family val="2"/>
      </rPr>
      <t>(Trans, Long, and sealing)</t>
    </r>
  </si>
  <si>
    <t>Rating provided by CRAB</t>
  </si>
  <si>
    <t>OR</t>
  </si>
  <si>
    <t>PERCENTAGE OF DISTRESS:</t>
  </si>
  <si>
    <t>DISTRESS:</t>
  </si>
  <si>
    <t>ACP/PCC &amp; PCC</t>
  </si>
  <si>
    <t>Joint Spalling</t>
  </si>
  <si>
    <t>Pumping/Blowups</t>
  </si>
  <si>
    <t>Pavement Wear</t>
  </si>
  <si>
    <t>ROADWAY SURFACE CONDITION RATING - PCC</t>
  </si>
  <si>
    <t>Sheet 9 of 10</t>
  </si>
  <si>
    <t>See Sheet 8</t>
  </si>
  <si>
    <t>TOTAL / 4 =</t>
  </si>
  <si>
    <t>TOTAL =</t>
  </si>
  <si>
    <t>NW 3R</t>
  </si>
  <si>
    <t>Equivalent Property Damage Only Accidents, Three Year Average</t>
  </si>
  <si>
    <t>(Equivalent</t>
  </si>
  <si>
    <t>Equivalent</t>
  </si>
  <si>
    <t>[1- (DTN / ITN)] x 30</t>
  </si>
  <si>
    <t>[1- (DTN / ITN)] x 20</t>
  </si>
  <si>
    <t>Hazards Total:</t>
  </si>
  <si>
    <t>Operational Total:</t>
  </si>
  <si>
    <t>- If forested, count every 100 ft as 1 object</t>
  </si>
  <si>
    <t>Score =</t>
  </si>
  <si>
    <t>/mile/2 =</t>
  </si>
  <si>
    <t>Note: formula is based on three biennia of 3R submittals</t>
  </si>
  <si>
    <t>Existing</t>
  </si>
  <si>
    <t>Subtotal Operational Features:</t>
  </si>
  <si>
    <r>
      <t xml:space="preserve">- Support must be </t>
    </r>
    <r>
      <rPr>
        <u/>
        <sz val="8"/>
        <rFont val="MS Sans Serif"/>
      </rPr>
      <t>&gt;</t>
    </r>
    <r>
      <rPr>
        <sz val="8"/>
        <rFont val="MS Sans Serif"/>
      </rPr>
      <t xml:space="preserve"> 25 in.</t>
    </r>
    <r>
      <rPr>
        <vertAlign val="superscript"/>
        <sz val="8"/>
        <rFont val="MS Sans Serif"/>
      </rPr>
      <t>2,</t>
    </r>
    <r>
      <rPr>
        <sz val="8"/>
        <rFont val="MS Sans Serif"/>
      </rPr>
      <t xml:space="preserve">  non breakaway</t>
    </r>
  </si>
  <si>
    <r>
      <t>- Grubbed or cut to ground (</t>
    </r>
    <r>
      <rPr>
        <sz val="8"/>
        <color indexed="10"/>
        <rFont val="MS Sans Serif"/>
      </rPr>
      <t xml:space="preserve">if forested: count </t>
    </r>
    <r>
      <rPr>
        <b/>
        <sz val="8"/>
        <color indexed="10"/>
        <rFont val="MS Sans Serif"/>
      </rPr>
      <t>100 ft = 1 object</t>
    </r>
    <r>
      <rPr>
        <sz val="8"/>
        <rFont val="MS Sans Serif"/>
      </rPr>
      <t>)</t>
    </r>
  </si>
  <si>
    <r>
      <t xml:space="preserve">- Non breakaway </t>
    </r>
    <r>
      <rPr>
        <u/>
        <sz val="8"/>
        <rFont val="MS Sans Serif"/>
      </rPr>
      <t>&gt;</t>
    </r>
    <r>
      <rPr>
        <sz val="8"/>
        <rFont val="MS Sans Serif"/>
      </rPr>
      <t xml:space="preserve"> 25 in.</t>
    </r>
    <r>
      <rPr>
        <vertAlign val="superscript"/>
        <sz val="8"/>
        <rFont val="MS Sans Serif"/>
      </rPr>
      <t>2</t>
    </r>
  </si>
  <si>
    <r>
      <t xml:space="preserve">- Road approch, &gt; 12 in.  and cross culverts </t>
    </r>
    <r>
      <rPr>
        <u/>
        <sz val="8"/>
        <rFont val="MS Sans Serif"/>
      </rPr>
      <t>&gt;</t>
    </r>
    <r>
      <rPr>
        <sz val="8"/>
        <rFont val="MS Sans Serif"/>
      </rPr>
      <t xml:space="preserve"> 24 in diameter</t>
    </r>
  </si>
  <si>
    <r>
      <t xml:space="preserve">Signs, signals, markings and other devices </t>
    </r>
    <r>
      <rPr>
        <sz val="8"/>
        <rFont val="MS Sans Serif"/>
        <family val="2"/>
      </rPr>
      <t xml:space="preserve">used to: </t>
    </r>
  </si>
  <si>
    <t>regulate, warn, or guide traffic placed on, over or adjacent to</t>
  </si>
  <si>
    <t xml:space="preserve"> the roadway, pedestrian facility, or bikeway. - Must attach warrants</t>
  </si>
  <si>
    <t>Number of hazards:</t>
  </si>
  <si>
    <t>NW Region</t>
  </si>
  <si>
    <t xml:space="preserve">1. Non destructive testing:  </t>
  </si>
  <si>
    <t>May use data from previous years if no structural improvement has been made since.</t>
  </si>
  <si>
    <t>2. Visual rating</t>
  </si>
  <si>
    <t>If no mechanical testing ia available, score will be 2X visual rating</t>
  </si>
  <si>
    <t>for instructions</t>
  </si>
  <si>
    <r>
      <t xml:space="preserve">Open ITN and DTN GRAPHS, then follow 
</t>
    </r>
    <r>
      <rPr>
        <b/>
        <sz val="10"/>
        <color indexed="62"/>
        <rFont val="MS Sans Serif"/>
        <family val="2"/>
      </rPr>
      <t>PROCEDURES</t>
    </r>
    <r>
      <rPr>
        <sz val="10"/>
        <rFont val="MS Sans Serif"/>
        <family val="2"/>
      </rPr>
      <t xml:space="preserve"> </t>
    </r>
    <r>
      <rPr>
        <b/>
        <sz val="10"/>
        <color indexed="62"/>
        <rFont val="MS Sans Serif"/>
        <family val="2"/>
      </rPr>
      <t>2-7</t>
    </r>
  </si>
  <si>
    <t>Existing Lane Width=</t>
  </si>
  <si>
    <t>Proposed Lane Width  =</t>
  </si>
  <si>
    <t>Existing Shoulder Width=</t>
  </si>
  <si>
    <t>Proposed Shoulder Width  =</t>
  </si>
  <si>
    <t>Design Speed proposed for project</t>
  </si>
  <si>
    <t>For Project Scoring</t>
  </si>
  <si>
    <t>(Not using the table style for formula)</t>
  </si>
  <si>
    <t>WIDTH standards</t>
  </si>
  <si>
    <t>Design Speed
Standards</t>
  </si>
  <si>
    <t>ROADWAY SURFACE CONDITION RATING HMA or BST:</t>
  </si>
  <si>
    <t>THIS SHEET TO BE USED BY CRAB STAFF</t>
  </si>
  <si>
    <r>
      <t xml:space="preserve">RAP </t>
    </r>
    <r>
      <rPr>
        <b/>
        <sz val="16"/>
        <color indexed="30"/>
        <rFont val="MS Sans Serif"/>
      </rPr>
      <t>3R</t>
    </r>
    <r>
      <rPr>
        <b/>
        <sz val="16"/>
        <color indexed="62"/>
        <rFont val="MS Sans Serif"/>
      </rPr>
      <t xml:space="preserve"> PROJECT</t>
    </r>
  </si>
  <si>
    <r>
      <t xml:space="preserve">Calc relies on </t>
    </r>
    <r>
      <rPr>
        <u/>
        <sz val="8"/>
        <rFont val="MS Sans Serif"/>
      </rPr>
      <t>Project length</t>
    </r>
    <r>
      <rPr>
        <sz val="8"/>
        <rFont val="MS Sans Serif"/>
      </rPr>
      <t xml:space="preserve">, </t>
    </r>
    <r>
      <rPr>
        <u/>
        <sz val="8"/>
        <rFont val="MS Sans Serif"/>
      </rPr>
      <t>AADT</t>
    </r>
    <r>
      <rPr>
        <sz val="8"/>
        <rFont val="MS Sans Serif"/>
      </rPr>
      <t xml:space="preserve">, </t>
    </r>
    <r>
      <rPr>
        <u/>
        <sz val="8"/>
        <rFont val="MS Sans Serif"/>
      </rPr>
      <t>FC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</si>
  <si>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r>
      <t xml:space="preserve">Calc relies on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</si>
  <si>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t>Calc relies on Project length, AADT, and Terrain inputs.</t>
  </si>
  <si>
    <t>Curve #</t>
  </si>
  <si>
    <t>Mark here to assign Local Significance pts to this project.</t>
  </si>
  <si>
    <t>ACCIDENTS</t>
  </si>
  <si>
    <t>Right turn lanes.</t>
  </si>
  <si>
    <t>Limimted to 20 pts</t>
  </si>
  <si>
    <t>Visual Score</t>
  </si>
  <si>
    <t>Use the last five 
full years' reports</t>
  </si>
  <si>
    <r>
      <t xml:space="preserve">ROADWAY SURFACE CONDITION -  </t>
    </r>
    <r>
      <rPr>
        <b/>
        <u/>
        <sz val="14"/>
        <color rgb="FF0070C0"/>
        <rFont val="MS Sans Serif"/>
      </rPr>
      <t>PCC</t>
    </r>
    <r>
      <rPr>
        <b/>
        <sz val="14"/>
        <color rgb="FF0070C0"/>
        <rFont val="MS Sans Serif"/>
        <family val="2"/>
      </rPr>
      <t xml:space="preserve"> (30 Points Max.)</t>
    </r>
  </si>
  <si>
    <r>
      <t xml:space="preserve">SURFACED ROADS - </t>
    </r>
    <r>
      <rPr>
        <u/>
        <sz val="18"/>
        <color rgb="FF0070C0"/>
        <rFont val="MS Sans Serif"/>
      </rPr>
      <t>ACP/BST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</si>
</sst>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#"/>
    <numFmt numFmtId="165" formatCode="yyyy"/>
    <numFmt numFmtId="166" formatCode="#"/>
    <numFmt numFmtId="167" formatCode="#.0"/>
  </numFmts>
  <fonts count="100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u/>
      <sz val="10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b/>
      <sz val="10"/>
      <color indexed="14"/>
      <name val="MS Sans Serif"/>
      <family val="2"/>
    </font>
    <font>
      <b/>
      <sz val="12"/>
      <color indexed="14"/>
      <name val="MS Sans Serif"/>
      <family val="2"/>
    </font>
    <font>
      <u/>
      <sz val="10"/>
      <name val="Arial"/>
      <family val="2"/>
    </font>
    <font>
      <b/>
      <sz val="10"/>
      <color indexed="14"/>
      <name val="MS Sans Serif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b/>
      <sz val="10"/>
      <color indexed="14"/>
      <name val="Arial"/>
      <family val="2"/>
    </font>
    <font>
      <b/>
      <sz val="8"/>
      <color indexed="12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b/>
      <u/>
      <sz val="8"/>
      <name val="MS Sans Serif"/>
      <family val="2"/>
    </font>
    <font>
      <b/>
      <sz val="8"/>
      <name val="Arial"/>
      <family val="2"/>
    </font>
    <font>
      <b/>
      <u/>
      <sz val="10"/>
      <color indexed="14"/>
      <name val="Arial"/>
      <family val="2"/>
    </font>
    <font>
      <b/>
      <u/>
      <sz val="10"/>
      <color indexed="14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2"/>
      <name val="MS Sans Serif"/>
      <family val="2"/>
    </font>
    <font>
      <sz val="8"/>
      <color indexed="10"/>
      <name val="MS Sans Serif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MS Sans Serif"/>
      <family val="2"/>
    </font>
    <font>
      <b/>
      <sz val="12"/>
      <color indexed="10"/>
      <name val="MS Sans Serif"/>
      <family val="2"/>
    </font>
    <font>
      <b/>
      <sz val="12"/>
      <color indexed="14"/>
      <name val="MS Sans Serif"/>
      <family val="2"/>
    </font>
    <font>
      <b/>
      <sz val="12"/>
      <color indexed="12"/>
      <name val="MS Sans Serif"/>
      <family val="2"/>
    </font>
    <font>
      <u/>
      <sz val="8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strike/>
      <sz val="10"/>
      <name val="MS Sans Serif"/>
      <family val="2"/>
    </font>
    <font>
      <vertAlign val="superscript"/>
      <sz val="10"/>
      <name val="MS Sans Serif"/>
      <family val="2"/>
    </font>
    <font>
      <i/>
      <sz val="10"/>
      <name val="MS Sans Serif"/>
      <family val="2"/>
    </font>
    <font>
      <b/>
      <sz val="8"/>
      <color indexed="14"/>
      <name val="MS Sans Serif"/>
      <family val="2"/>
    </font>
    <font>
      <b/>
      <u/>
      <sz val="10"/>
      <color indexed="10"/>
      <name val="MS Sans Serif"/>
      <family val="2"/>
    </font>
    <font>
      <b/>
      <u/>
      <sz val="10"/>
      <color indexed="10"/>
      <name val="MS Sans Serif"/>
      <family val="2"/>
    </font>
    <font>
      <b/>
      <sz val="14"/>
      <color indexed="14"/>
      <name val="MS Sans Serif"/>
      <family val="2"/>
    </font>
    <font>
      <b/>
      <u/>
      <sz val="10"/>
      <color indexed="14"/>
      <name val="MS Sans Serif"/>
      <family val="2"/>
    </font>
    <font>
      <b/>
      <sz val="18"/>
      <name val="MS Sans Serif"/>
      <family val="2"/>
    </font>
    <font>
      <b/>
      <sz val="10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8"/>
      <name val="MS Sans Serif"/>
      <family val="2"/>
    </font>
    <font>
      <sz val="7"/>
      <name val="MS Sans Serif"/>
      <family val="2"/>
    </font>
    <font>
      <sz val="6"/>
      <name val="MS Sans Serif"/>
      <family val="2"/>
    </font>
    <font>
      <b/>
      <u/>
      <sz val="24"/>
      <name val="MS Sans Serif"/>
      <family val="2"/>
    </font>
    <font>
      <b/>
      <sz val="10"/>
      <name val="MS Sans Serif"/>
    </font>
    <font>
      <sz val="8"/>
      <name val="MS Sans Serif"/>
    </font>
    <font>
      <b/>
      <sz val="8"/>
      <name val="MS Sans Serif"/>
    </font>
    <font>
      <u/>
      <sz val="8"/>
      <name val="MS Sans Serif"/>
    </font>
    <font>
      <vertAlign val="superscript"/>
      <sz val="8"/>
      <name val="MS Sans Serif"/>
    </font>
    <font>
      <sz val="8"/>
      <color indexed="10"/>
      <name val="MS Sans Serif"/>
    </font>
    <font>
      <b/>
      <sz val="8"/>
      <color indexed="10"/>
      <name val="MS Sans Serif"/>
    </font>
    <font>
      <u/>
      <sz val="8"/>
      <color indexed="12"/>
      <name val="MS Sans Serif"/>
      <family val="2"/>
    </font>
    <font>
      <b/>
      <u/>
      <sz val="10"/>
      <color indexed="12"/>
      <name val="MS Sans Serif"/>
    </font>
    <font>
      <sz val="18"/>
      <name val="MS Sans Serif"/>
    </font>
    <font>
      <sz val="24"/>
      <name val="MS Sans Serif"/>
    </font>
    <font>
      <b/>
      <sz val="16"/>
      <color indexed="62"/>
      <name val="MS Sans Serif"/>
    </font>
    <font>
      <b/>
      <sz val="16"/>
      <color indexed="30"/>
      <name val="MS Sans Serif"/>
    </font>
    <font>
      <sz val="11"/>
      <color theme="1"/>
      <name val="Calibri"/>
      <family val="2"/>
      <scheme val="minor"/>
    </font>
    <font>
      <b/>
      <sz val="10"/>
      <color rgb="FF7030A0"/>
      <name val="MS Sans Serif"/>
      <family val="2"/>
    </font>
    <font>
      <b/>
      <sz val="12"/>
      <color rgb="FF7030A0"/>
      <name val="MS Sans Serif"/>
      <family val="2"/>
    </font>
    <font>
      <b/>
      <sz val="10"/>
      <color rgb="FFFF0000"/>
      <name val="MS Sans Serif"/>
    </font>
    <font>
      <sz val="8"/>
      <color rgb="FF7030A0"/>
      <name val="MS Sans Serif"/>
    </font>
    <font>
      <sz val="10"/>
      <color rgb="FF7030A0"/>
      <name val="MS Sans Serif"/>
    </font>
    <font>
      <sz val="10"/>
      <color rgb="FFFF0000"/>
      <name val="MS Sans Serif"/>
      <family val="2"/>
    </font>
    <font>
      <sz val="10"/>
      <color rgb="FFFF0000"/>
      <name val="MS Sans Serif"/>
    </font>
    <font>
      <sz val="10"/>
      <color theme="6" tint="0.39997558519241921"/>
      <name val="MS Sans Serif"/>
      <family val="2"/>
    </font>
    <font>
      <sz val="8"/>
      <color rgb="FFFF0000"/>
      <name val="MS Sans Serif"/>
      <family val="2"/>
    </font>
    <font>
      <sz val="8"/>
      <color theme="0"/>
      <name val="MS Sans Serif"/>
    </font>
    <font>
      <b/>
      <sz val="11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8"/>
      <color rgb="FFFF0000"/>
      <name val="MS Sans Serif"/>
      <family val="2"/>
    </font>
    <font>
      <b/>
      <u/>
      <sz val="2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6"/>
      <color rgb="FF7030A0"/>
      <name val="MS Sans Serif"/>
    </font>
    <font>
      <b/>
      <sz val="16"/>
      <color rgb="FF7030A0"/>
      <name val="MS Sans Serif"/>
      <family val="2"/>
    </font>
    <font>
      <b/>
      <sz val="8"/>
      <color rgb="FFFF0000"/>
      <name val="MS Sans Serif"/>
    </font>
    <font>
      <sz val="18"/>
      <color rgb="FF0070C0"/>
      <name val="MS Sans Serif"/>
    </font>
    <font>
      <b/>
      <sz val="14"/>
      <color rgb="FF0070C0"/>
      <name val="MS Sans Serif"/>
      <family val="2"/>
    </font>
    <font>
      <b/>
      <u/>
      <sz val="14"/>
      <color rgb="FF0070C0"/>
      <name val="MS Sans Serif"/>
    </font>
    <font>
      <u/>
      <sz val="18"/>
      <color rgb="FF0070C0"/>
      <name val="MS Sans Serif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5"/>
      </left>
      <right/>
      <top style="medium">
        <color indexed="45"/>
      </top>
      <bottom/>
      <diagonal/>
    </border>
    <border>
      <left/>
      <right style="medium">
        <color indexed="45"/>
      </right>
      <top style="medium">
        <color indexed="45"/>
      </top>
      <bottom/>
      <diagonal/>
    </border>
    <border>
      <left style="medium">
        <color indexed="45"/>
      </left>
      <right/>
      <top/>
      <bottom style="medium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medium">
        <color indexed="48"/>
      </top>
      <bottom/>
      <diagonal/>
    </border>
    <border>
      <left/>
      <right/>
      <top/>
      <bottom style="medium">
        <color indexed="48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48"/>
      </top>
      <bottom/>
      <diagonal/>
    </border>
    <border>
      <left/>
      <right style="medium">
        <color indexed="12"/>
      </right>
      <top style="medium">
        <color indexed="48"/>
      </top>
      <bottom/>
      <diagonal/>
    </border>
    <border>
      <left style="medium">
        <color indexed="12"/>
      </left>
      <right/>
      <top/>
      <bottom style="medium">
        <color indexed="48"/>
      </bottom>
      <diagonal/>
    </border>
    <border>
      <left/>
      <right style="medium">
        <color indexed="12"/>
      </right>
      <top/>
      <bottom style="medium">
        <color theme="3" tint="0.3999450666829432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4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>
      <alignment horizontal="center"/>
    </xf>
    <xf numFmtId="0" fontId="77" fillId="0" borderId="0"/>
    <xf numFmtId="0" fontId="31" fillId="0" borderId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7" fillId="0" borderId="0" xfId="0" applyFont="1" applyBorder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9" fillId="0" borderId="0" xfId="0" applyFont="1"/>
    <xf numFmtId="0" fontId="41" fillId="2" borderId="0" xfId="0" applyFont="1" applyFill="1"/>
    <xf numFmtId="0" fontId="39" fillId="2" borderId="0" xfId="0" applyFont="1" applyFill="1"/>
    <xf numFmtId="0" fontId="1" fillId="0" borderId="0" xfId="0" applyFont="1"/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0" fillId="0" borderId="3" xfId="0" applyBorder="1" applyProtection="1"/>
    <xf numFmtId="0" fontId="20" fillId="0" borderId="0" xfId="0" applyFont="1" applyBorder="1" applyAlignment="1" applyProtection="1">
      <alignment horizontal="left"/>
    </xf>
    <xf numFmtId="2" fontId="0" fillId="0" borderId="0" xfId="0" applyNumberFormat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20" fillId="0" borderId="0" xfId="0" applyFont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5" xfId="0" applyBorder="1" applyProtection="1"/>
    <xf numFmtId="9" fontId="48" fillId="0" borderId="0" xfId="9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2" xfId="0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4" fillId="0" borderId="0" xfId="0" applyFont="1" applyBorder="1" applyAlignment="1" applyProtection="1">
      <alignment horizontal="left"/>
    </xf>
    <xf numFmtId="0" fontId="49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38" fontId="0" fillId="0" borderId="5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38" fontId="8" fillId="0" borderId="0" xfId="0" applyNumberFormat="1" applyFont="1" applyBorder="1" applyAlignment="1" applyProtection="1">
      <alignment horizontal="center"/>
    </xf>
    <xf numFmtId="0" fontId="49" fillId="0" borderId="3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quotePrefix="1" applyAlignment="1" applyProtection="1">
      <alignment horizontal="center"/>
    </xf>
    <xf numFmtId="2" fontId="0" fillId="0" borderId="0" xfId="0" quotePrefix="1" applyNumberFormat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49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6" fillId="0" borderId="0" xfId="0" applyFont="1" applyProtection="1"/>
    <xf numFmtId="0" fontId="19" fillId="0" borderId="0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0" fontId="49" fillId="0" borderId="0" xfId="0" applyFont="1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2" fontId="7" fillId="0" borderId="0" xfId="0" applyNumberFormat="1" applyFon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0" fillId="0" borderId="0" xfId="0" applyFill="1" applyBorder="1" applyAlignment="1" applyProtection="1"/>
    <xf numFmtId="1" fontId="0" fillId="0" borderId="0" xfId="0" applyNumberFormat="1" applyFill="1" applyBorder="1" applyAlignment="1" applyProtection="1"/>
    <xf numFmtId="0" fontId="18" fillId="0" borderId="0" xfId="0" applyFont="1" applyFill="1" applyBorder="1" applyProtection="1"/>
    <xf numFmtId="0" fontId="19" fillId="0" borderId="5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3" xfId="0" quotePrefix="1" applyBorder="1" applyAlignment="1" applyProtection="1">
      <alignment horizontal="left"/>
    </xf>
    <xf numFmtId="2" fontId="8" fillId="0" borderId="0" xfId="0" applyNumberFormat="1" applyFont="1" applyAlignment="1" applyProtection="1">
      <alignment vertical="top" wrapText="1"/>
    </xf>
    <xf numFmtId="0" fontId="19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right"/>
    </xf>
    <xf numFmtId="2" fontId="31" fillId="0" borderId="0" xfId="0" applyNumberFormat="1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2" fontId="8" fillId="0" borderId="0" xfId="0" applyNumberFormat="1" applyFont="1" applyFill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30" fillId="0" borderId="0" xfId="0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19" fillId="0" borderId="4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0" fontId="19" fillId="0" borderId="0" xfId="0" applyFont="1" applyFill="1" applyBorder="1" applyProtection="1"/>
    <xf numFmtId="0" fontId="32" fillId="0" borderId="4" xfId="0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right"/>
    </xf>
    <xf numFmtId="0" fontId="46" fillId="0" borderId="0" xfId="0" applyFont="1" applyBorder="1" applyProtection="1"/>
    <xf numFmtId="0" fontId="6" fillId="0" borderId="0" xfId="0" applyFont="1" applyFill="1" applyBorder="1" applyProtection="1"/>
    <xf numFmtId="0" fontId="49" fillId="0" borderId="0" xfId="0" applyFont="1" applyBorder="1" applyAlignment="1" applyProtection="1">
      <alignment horizontal="left"/>
    </xf>
    <xf numFmtId="0" fontId="19" fillId="3" borderId="4" xfId="0" applyFont="1" applyFill="1" applyBorder="1" applyAlignment="1" applyProtection="1">
      <alignment horizontal="center"/>
      <protection locked="0"/>
    </xf>
    <xf numFmtId="1" fontId="19" fillId="0" borderId="4" xfId="0" applyNumberFormat="1" applyFont="1" applyFill="1" applyBorder="1" applyAlignment="1" applyProtection="1">
      <alignment horizontal="center"/>
    </xf>
    <xf numFmtId="0" fontId="0" fillId="0" borderId="42" xfId="0" applyBorder="1" applyProtection="1"/>
    <xf numFmtId="0" fontId="7" fillId="0" borderId="43" xfId="0" applyFont="1" applyBorder="1" applyProtection="1"/>
    <xf numFmtId="0" fontId="0" fillId="0" borderId="44" xfId="0" applyBorder="1" applyProtection="1"/>
    <xf numFmtId="0" fontId="0" fillId="0" borderId="45" xfId="0" applyBorder="1" applyProtection="1"/>
    <xf numFmtId="0" fontId="0" fillId="0" borderId="46" xfId="0" applyBorder="1" applyProtection="1"/>
    <xf numFmtId="0" fontId="20" fillId="0" borderId="0" xfId="0" applyFont="1" applyBorder="1" applyProtection="1"/>
    <xf numFmtId="165" fontId="19" fillId="0" borderId="0" xfId="0" applyNumberFormat="1" applyFont="1" applyBorder="1" applyAlignment="1" applyProtection="1">
      <alignment horizontal="right"/>
    </xf>
    <xf numFmtId="0" fontId="7" fillId="0" borderId="45" xfId="0" applyFont="1" applyBorder="1" applyProtection="1"/>
    <xf numFmtId="0" fontId="0" fillId="0" borderId="47" xfId="0" applyBorder="1" applyProtection="1"/>
    <xf numFmtId="0" fontId="0" fillId="0" borderId="48" xfId="0" applyBorder="1" applyProtection="1"/>
    <xf numFmtId="0" fontId="3" fillId="0" borderId="48" xfId="2" applyBorder="1" applyAlignment="1" applyProtection="1">
      <alignment horizontal="center"/>
    </xf>
    <xf numFmtId="0" fontId="0" fillId="0" borderId="49" xfId="0" applyBorder="1" applyProtection="1"/>
    <xf numFmtId="0" fontId="19" fillId="0" borderId="0" xfId="0" applyFont="1" applyBorder="1" applyProtection="1"/>
    <xf numFmtId="0" fontId="0" fillId="0" borderId="48" xfId="0" applyFill="1" applyBorder="1" applyAlignment="1" applyProtection="1">
      <alignment horizontal="center"/>
    </xf>
    <xf numFmtId="0" fontId="19" fillId="0" borderId="42" xfId="0" applyFont="1" applyBorder="1" applyProtection="1"/>
    <xf numFmtId="0" fontId="35" fillId="0" borderId="42" xfId="0" applyFont="1" applyBorder="1" applyProtection="1"/>
    <xf numFmtId="0" fontId="20" fillId="0" borderId="0" xfId="0" applyFont="1" applyBorder="1" applyAlignment="1" applyProtection="1">
      <alignment horizontal="right"/>
    </xf>
    <xf numFmtId="0" fontId="0" fillId="0" borderId="42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/>
    </xf>
    <xf numFmtId="0" fontId="8" fillId="0" borderId="48" xfId="0" applyFont="1" applyBorder="1" applyAlignment="1" applyProtection="1">
      <alignment horizontal="right"/>
    </xf>
    <xf numFmtId="0" fontId="0" fillId="0" borderId="42" xfId="0" applyFill="1" applyBorder="1" applyProtection="1"/>
    <xf numFmtId="0" fontId="0" fillId="0" borderId="42" xfId="0" applyFill="1" applyBorder="1" applyAlignment="1" applyProtection="1">
      <alignment horizontal="right"/>
    </xf>
    <xf numFmtId="0" fontId="0" fillId="0" borderId="46" xfId="0" applyBorder="1" applyAlignment="1" applyProtection="1"/>
    <xf numFmtId="0" fontId="0" fillId="0" borderId="49" xfId="0" applyBorder="1" applyAlignment="1" applyProtection="1"/>
    <xf numFmtId="0" fontId="7" fillId="0" borderId="42" xfId="0" applyFont="1" applyBorder="1" applyProtection="1"/>
    <xf numFmtId="0" fontId="0" fillId="0" borderId="44" xfId="0" applyBorder="1" applyAlignment="1" applyProtection="1"/>
    <xf numFmtId="0" fontId="37" fillId="0" borderId="0" xfId="0" applyFont="1" applyBorder="1" applyAlignment="1" applyProtection="1">
      <alignment vertical="top" wrapText="1"/>
    </xf>
    <xf numFmtId="0" fontId="0" fillId="0" borderId="45" xfId="0" applyFill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0" fontId="13" fillId="0" borderId="48" xfId="0" applyFont="1" applyBorder="1" applyAlignment="1" applyProtection="1">
      <alignment horizontal="left"/>
    </xf>
    <xf numFmtId="0" fontId="31" fillId="0" borderId="0" xfId="3" applyProtection="1"/>
    <xf numFmtId="0" fontId="31" fillId="0" borderId="0" xfId="3" applyProtection="1">
      <protection locked="0"/>
    </xf>
    <xf numFmtId="0" fontId="31" fillId="0" borderId="0" xfId="3" applyFill="1" applyAlignment="1" applyProtection="1"/>
    <xf numFmtId="0" fontId="78" fillId="4" borderId="0" xfId="3" applyFont="1" applyFill="1" applyAlignment="1" applyProtection="1">
      <alignment horizontal="center"/>
    </xf>
    <xf numFmtId="0" fontId="31" fillId="0" borderId="0" xfId="8" applyFont="1" applyAlignment="1" applyProtection="1">
      <alignment horizontal="left"/>
    </xf>
    <xf numFmtId="0" fontId="79" fillId="0" borderId="0" xfId="8" applyFont="1" applyAlignment="1" applyProtection="1">
      <alignment horizontal="left"/>
    </xf>
    <xf numFmtId="0" fontId="78" fillId="4" borderId="0" xfId="8" applyFont="1" applyFill="1" applyAlignment="1" applyProtection="1">
      <alignment horizontal="center"/>
    </xf>
    <xf numFmtId="0" fontId="31" fillId="0" borderId="0" xfId="3" applyFont="1" applyAlignment="1" applyProtection="1">
      <alignment horizontal="left"/>
    </xf>
    <xf numFmtId="0" fontId="31" fillId="0" borderId="0" xfId="3" applyAlignment="1" applyProtection="1">
      <alignment horizontal="left"/>
    </xf>
    <xf numFmtId="0" fontId="7" fillId="0" borderId="0" xfId="3" applyFont="1" applyAlignment="1" applyProtection="1">
      <alignment horizontal="left"/>
    </xf>
    <xf numFmtId="0" fontId="31" fillId="0" borderId="0" xfId="8" applyFont="1" applyAlignment="1" applyProtection="1">
      <alignment vertical="top" wrapText="1"/>
    </xf>
    <xf numFmtId="0" fontId="31" fillId="0" borderId="0" xfId="3" applyAlignment="1" applyProtection="1">
      <alignment horizontal="right"/>
    </xf>
    <xf numFmtId="0" fontId="31" fillId="0" borderId="0" xfId="8" applyFont="1" applyAlignment="1" applyProtection="1"/>
    <xf numFmtId="0" fontId="34" fillId="0" borderId="0" xfId="3" applyFont="1" applyAlignment="1" applyProtection="1">
      <alignment vertical="center" wrapText="1"/>
    </xf>
    <xf numFmtId="0" fontId="7" fillId="0" borderId="0" xfId="8" applyFont="1" applyAlignment="1" applyProtection="1">
      <alignment horizontal="left"/>
    </xf>
    <xf numFmtId="0" fontId="31" fillId="0" borderId="0" xfId="3" applyFont="1" applyAlignment="1" applyProtection="1">
      <alignment horizontal="center"/>
    </xf>
    <xf numFmtId="0" fontId="78" fillId="0" borderId="0" xfId="3" applyFont="1" applyAlignment="1" applyProtection="1">
      <alignment horizontal="center"/>
    </xf>
    <xf numFmtId="0" fontId="18" fillId="0" borderId="0" xfId="7" applyFont="1" applyBorder="1" applyAlignment="1" applyProtection="1">
      <alignment horizontal="right"/>
    </xf>
    <xf numFmtId="0" fontId="2" fillId="3" borderId="4" xfId="7" applyFill="1" applyBorder="1" applyAlignment="1" applyProtection="1">
      <alignment horizontal="center"/>
      <protection locked="0"/>
    </xf>
    <xf numFmtId="0" fontId="17" fillId="0" borderId="0" xfId="7" applyFont="1" applyBorder="1" applyProtection="1"/>
    <xf numFmtId="0" fontId="11" fillId="0" borderId="0" xfId="3" applyFont="1" applyBorder="1" applyProtection="1"/>
    <xf numFmtId="0" fontId="60" fillId="0" borderId="0" xfId="8" applyFont="1" applyAlignment="1" applyProtection="1">
      <alignment horizontal="right"/>
    </xf>
    <xf numFmtId="2" fontId="7" fillId="0" borderId="4" xfId="8" quotePrefix="1" applyNumberFormat="1" applyFont="1" applyBorder="1" applyAlignment="1" applyProtection="1">
      <alignment horizontal="center"/>
    </xf>
    <xf numFmtId="0" fontId="2" fillId="0" borderId="0" xfId="7" applyBorder="1" applyAlignment="1" applyProtection="1">
      <alignment horizontal="left"/>
    </xf>
    <xf numFmtId="0" fontId="26" fillId="0" borderId="0" xfId="8" applyFont="1" applyAlignment="1" applyProtection="1">
      <alignment horizontal="center"/>
    </xf>
    <xf numFmtId="2" fontId="7" fillId="0" borderId="4" xfId="8" quotePrefix="1" applyNumberFormat="1" applyFont="1" applyBorder="1" applyAlignment="1">
      <alignment horizontal="center"/>
    </xf>
    <xf numFmtId="0" fontId="31" fillId="0" borderId="0" xfId="8" applyAlignment="1"/>
    <xf numFmtId="0" fontId="31" fillId="0" borderId="0" xfId="8" applyAlignment="1">
      <alignment horizontal="left"/>
    </xf>
    <xf numFmtId="0" fontId="31" fillId="0" borderId="0" xfId="8" applyAlignment="1">
      <alignment horizontal="right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center"/>
    </xf>
    <xf numFmtId="0" fontId="0" fillId="0" borderId="4" xfId="0" applyFill="1" applyBorder="1" applyAlignment="1" applyProtection="1">
      <alignment horizontal="center"/>
    </xf>
    <xf numFmtId="165" fontId="19" fillId="0" borderId="0" xfId="0" quotePrefix="1" applyNumberFormat="1" applyFont="1" applyBorder="1" applyAlignment="1" applyProtection="1">
      <alignment horizontal="right"/>
    </xf>
    <xf numFmtId="0" fontId="19" fillId="0" borderId="2" xfId="0" applyFont="1" applyBorder="1" applyProtection="1"/>
    <xf numFmtId="164" fontId="31" fillId="3" borderId="4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49" fillId="0" borderId="0" xfId="0" applyFont="1" applyAlignment="1" applyProtection="1"/>
    <xf numFmtId="0" fontId="49" fillId="0" borderId="5" xfId="0" applyFont="1" applyBorder="1" applyAlignment="1" applyProtection="1">
      <alignment horizontal="center"/>
    </xf>
    <xf numFmtId="0" fontId="64" fillId="0" borderId="0" xfId="0" applyFont="1" applyAlignment="1" applyProtection="1">
      <alignment horizontal="right"/>
    </xf>
    <xf numFmtId="2" fontId="64" fillId="0" borderId="0" xfId="0" applyNumberFormat="1" applyFont="1" applyAlignment="1" applyProtection="1">
      <alignment horizontal="center"/>
    </xf>
    <xf numFmtId="1" fontId="51" fillId="0" borderId="0" xfId="0" applyNumberFormat="1" applyFont="1" applyFill="1" applyBorder="1" applyAlignment="1" applyProtection="1">
      <alignment horizontal="center"/>
    </xf>
    <xf numFmtId="0" fontId="80" fillId="0" borderId="0" xfId="0" quotePrefix="1" applyFont="1" applyAlignment="1" applyProtection="1">
      <alignment horizontal="left"/>
    </xf>
    <xf numFmtId="2" fontId="0" fillId="0" borderId="0" xfId="0" applyNumberFormat="1" applyAlignment="1" applyProtection="1">
      <alignment horizontal="right"/>
    </xf>
    <xf numFmtId="2" fontId="31" fillId="0" borderId="4" xfId="0" quotePrefix="1" applyNumberFormat="1" applyFont="1" applyFill="1" applyBorder="1" applyAlignment="1" applyProtection="1">
      <alignment horizontal="center"/>
    </xf>
    <xf numFmtId="2" fontId="81" fillId="0" borderId="0" xfId="0" applyNumberFormat="1" applyFont="1" applyAlignment="1" applyProtection="1">
      <alignment vertical="top" wrapText="1"/>
    </xf>
    <xf numFmtId="0" fontId="82" fillId="0" borderId="0" xfId="0" applyFont="1" applyAlignment="1" applyProtection="1">
      <alignment horizontal="left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5" borderId="0" xfId="0" applyFill="1" applyProtection="1"/>
    <xf numFmtId="0" fontId="0" fillId="5" borderId="0" xfId="0" applyFill="1" applyAlignment="1" applyProtection="1">
      <alignment horizontal="left" vertical="center"/>
    </xf>
    <xf numFmtId="0" fontId="83" fillId="5" borderId="48" xfId="0" applyFont="1" applyFill="1" applyBorder="1" applyAlignment="1" applyProtection="1">
      <alignment vertical="center" wrapText="1"/>
    </xf>
    <xf numFmtId="2" fontId="33" fillId="5" borderId="0" xfId="0" applyNumberFormat="1" applyFont="1" applyFill="1" applyBorder="1" applyAlignment="1" applyProtection="1"/>
    <xf numFmtId="0" fontId="3" fillId="5" borderId="0" xfId="2" applyFill="1" applyAlignment="1" applyProtection="1">
      <alignment horizontal="center"/>
    </xf>
    <xf numFmtId="0" fontId="0" fillId="5" borderId="0" xfId="0" applyFill="1" applyAlignment="1" applyProtection="1">
      <alignment horizontal="right"/>
    </xf>
    <xf numFmtId="0" fontId="31" fillId="5" borderId="0" xfId="0" applyFont="1" applyFill="1" applyProtection="1"/>
    <xf numFmtId="0" fontId="8" fillId="5" borderId="0" xfId="0" applyFont="1" applyFill="1" applyAlignment="1" applyProtection="1">
      <alignment horizontal="right"/>
    </xf>
    <xf numFmtId="0" fontId="0" fillId="5" borderId="0" xfId="0" applyFill="1" applyAlignment="1" applyProtection="1"/>
    <xf numFmtId="0" fontId="0" fillId="5" borderId="0" xfId="0" applyFill="1" applyAlignment="1" applyProtection="1">
      <alignment horizontal="left"/>
    </xf>
    <xf numFmtId="0" fontId="0" fillId="5" borderId="0" xfId="0" applyFill="1" applyBorder="1" applyAlignment="1" applyProtection="1">
      <alignment horizontal="center"/>
    </xf>
    <xf numFmtId="0" fontId="19" fillId="5" borderId="0" xfId="0" applyFont="1" applyFill="1" applyProtection="1"/>
    <xf numFmtId="0" fontId="17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46" fillId="5" borderId="0" xfId="0" applyFont="1" applyFill="1" applyBorder="1" applyAlignment="1" applyProtection="1">
      <alignment horizontal="left"/>
    </xf>
    <xf numFmtId="9" fontId="42" fillId="5" borderId="0" xfId="9" applyFont="1" applyFill="1" applyBorder="1" applyAlignment="1" applyProtection="1">
      <alignment horizontal="center"/>
    </xf>
    <xf numFmtId="9" fontId="6" fillId="5" borderId="0" xfId="9" applyFont="1" applyFill="1" applyBorder="1" applyAlignment="1" applyProtection="1">
      <alignment horizontal="left"/>
    </xf>
    <xf numFmtId="2" fontId="0" fillId="0" borderId="0" xfId="0" applyNumberFormat="1" applyBorder="1" applyAlignment="1" applyProtection="1"/>
    <xf numFmtId="0" fontId="0" fillId="0" borderId="46" xfId="0" applyFill="1" applyBorder="1" applyAlignment="1" applyProtection="1"/>
    <xf numFmtId="0" fontId="20" fillId="0" borderId="0" xfId="0" applyFont="1" applyBorder="1" applyAlignment="1" applyProtection="1"/>
    <xf numFmtId="0" fontId="32" fillId="0" borderId="0" xfId="0" applyFont="1" applyFill="1" applyBorder="1" applyAlignment="1" applyProtection="1"/>
    <xf numFmtId="0" fontId="0" fillId="0" borderId="46" xfId="0" applyFill="1" applyBorder="1" applyProtection="1"/>
    <xf numFmtId="0" fontId="20" fillId="0" borderId="45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0" fillId="5" borderId="0" xfId="0" applyFill="1" applyBorder="1" applyAlignment="1" applyProtection="1"/>
    <xf numFmtId="0" fontId="0" fillId="5" borderId="0" xfId="0" applyFill="1" applyBorder="1" applyProtection="1"/>
    <xf numFmtId="0" fontId="13" fillId="5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0" fillId="5" borderId="45" xfId="0" applyFill="1" applyBorder="1" applyProtection="1"/>
    <xf numFmtId="0" fontId="8" fillId="5" borderId="45" xfId="0" applyFont="1" applyFill="1" applyBorder="1" applyAlignment="1" applyProtection="1"/>
    <xf numFmtId="0" fontId="0" fillId="5" borderId="45" xfId="0" applyFill="1" applyBorder="1" applyAlignment="1" applyProtection="1"/>
    <xf numFmtId="0" fontId="17" fillId="5" borderId="45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0" fillId="5" borderId="0" xfId="0" quotePrefix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65" fillId="0" borderId="0" xfId="0" applyFont="1" applyBorder="1" applyAlignment="1" applyProtection="1">
      <alignment horizontal="right"/>
    </xf>
    <xf numFmtId="0" fontId="65" fillId="0" borderId="0" xfId="0" applyFont="1" applyBorder="1" applyProtection="1"/>
    <xf numFmtId="0" fontId="66" fillId="0" borderId="0" xfId="0" applyFont="1" applyBorder="1" applyProtection="1"/>
    <xf numFmtId="0" fontId="11" fillId="0" borderId="0" xfId="0" quotePrefix="1" applyFont="1" applyBorder="1" applyAlignment="1" applyProtection="1">
      <alignment horizontal="left"/>
    </xf>
    <xf numFmtId="0" fontId="65" fillId="0" borderId="0" xfId="0" quotePrefix="1" applyFont="1" applyBorder="1" applyAlignment="1" applyProtection="1">
      <alignment horizontal="left"/>
    </xf>
    <xf numFmtId="0" fontId="65" fillId="0" borderId="0" xfId="0" applyFont="1" applyBorder="1" applyAlignment="1" applyProtection="1"/>
    <xf numFmtId="0" fontId="65" fillId="0" borderId="0" xfId="0" applyFont="1" applyBorder="1" applyAlignment="1" applyProtection="1">
      <alignment horizontal="left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Border="1" applyAlignment="1" applyProtection="1">
      <alignment horizontal="right"/>
    </xf>
    <xf numFmtId="2" fontId="65" fillId="0" borderId="0" xfId="0" applyNumberFormat="1" applyFont="1" applyBorder="1" applyAlignment="1" applyProtection="1">
      <alignment horizontal="right"/>
    </xf>
    <xf numFmtId="0" fontId="0" fillId="0" borderId="0" xfId="0" applyFill="1" applyProtection="1"/>
    <xf numFmtId="0" fontId="0" fillId="0" borderId="0" xfId="0" quotePrefix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vertical="top" wrapText="1"/>
    </xf>
    <xf numFmtId="0" fontId="42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vertical="top" wrapText="1"/>
    </xf>
    <xf numFmtId="0" fontId="0" fillId="5" borderId="45" xfId="0" applyFill="1" applyBorder="1" applyAlignment="1" applyProtection="1">
      <alignment vertical="center"/>
    </xf>
    <xf numFmtId="0" fontId="4" fillId="5" borderId="45" xfId="0" applyFont="1" applyFill="1" applyBorder="1" applyAlignment="1" applyProtection="1">
      <alignment vertical="top" wrapText="1"/>
    </xf>
    <xf numFmtId="0" fontId="0" fillId="0" borderId="43" xfId="0" applyFill="1" applyBorder="1" applyProtection="1"/>
    <xf numFmtId="0" fontId="0" fillId="0" borderId="45" xfId="0" applyFill="1" applyBorder="1" applyProtection="1"/>
    <xf numFmtId="0" fontId="0" fillId="0" borderId="47" xfId="0" applyFill="1" applyBorder="1" applyProtection="1"/>
    <xf numFmtId="0" fontId="0" fillId="0" borderId="42" xfId="0" applyBorder="1" applyAlignment="1" applyProtection="1">
      <alignment horizontal="left"/>
    </xf>
    <xf numFmtId="0" fontId="8" fillId="0" borderId="48" xfId="0" applyFont="1" applyBorder="1" applyAlignment="1" applyProtection="1">
      <alignment horizontal="left"/>
    </xf>
    <xf numFmtId="0" fontId="0" fillId="7" borderId="45" xfId="0" applyFill="1" applyBorder="1" applyProtection="1"/>
    <xf numFmtId="0" fontId="0" fillId="7" borderId="45" xfId="0" applyFill="1" applyBorder="1" applyAlignment="1" applyProtection="1"/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vertical="top" wrapText="1"/>
    </xf>
    <xf numFmtId="0" fontId="84" fillId="0" borderId="3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31" fillId="0" borderId="0" xfId="3" applyFont="1" applyAlignment="1" applyProtection="1">
      <alignment vertical="top" wrapText="1"/>
    </xf>
    <xf numFmtId="0" fontId="0" fillId="8" borderId="0" xfId="0" applyFill="1" applyProtection="1"/>
    <xf numFmtId="0" fontId="0" fillId="8" borderId="0" xfId="0" applyFill="1" applyAlignment="1" applyProtection="1">
      <alignment horizontal="left"/>
    </xf>
    <xf numFmtId="0" fontId="45" fillId="8" borderId="0" xfId="0" applyFont="1" applyFill="1" applyAlignment="1" applyProtection="1">
      <alignment horizontal="left"/>
    </xf>
    <xf numFmtId="0" fontId="36" fillId="8" borderId="0" xfId="0" applyFont="1" applyFill="1" applyAlignment="1" applyProtection="1">
      <alignment vertical="center" wrapText="1"/>
    </xf>
    <xf numFmtId="0" fontId="8" fillId="8" borderId="0" xfId="0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left" vertical="center"/>
    </xf>
    <xf numFmtId="0" fontId="83" fillId="8" borderId="0" xfId="0" applyFont="1" applyFill="1" applyAlignment="1" applyProtection="1">
      <alignment vertical="center" wrapText="1"/>
    </xf>
    <xf numFmtId="2" fontId="33" fillId="8" borderId="0" xfId="0" applyNumberFormat="1" applyFont="1" applyFill="1" applyBorder="1" applyAlignment="1" applyProtection="1"/>
    <xf numFmtId="0" fontId="0" fillId="8" borderId="0" xfId="0" applyFill="1" applyBorder="1" applyProtection="1"/>
    <xf numFmtId="2" fontId="0" fillId="8" borderId="0" xfId="0" applyNumberFormat="1" applyFill="1" applyProtection="1"/>
    <xf numFmtId="0" fontId="37" fillId="5" borderId="0" xfId="0" applyFont="1" applyFill="1" applyBorder="1" applyAlignment="1" applyProtection="1">
      <alignment vertical="top" wrapText="1"/>
    </xf>
    <xf numFmtId="0" fontId="8" fillId="5" borderId="8" xfId="0" applyFont="1" applyFill="1" applyBorder="1" applyAlignment="1" applyProtection="1">
      <alignment horizontal="center"/>
    </xf>
    <xf numFmtId="0" fontId="17" fillId="5" borderId="0" xfId="0" applyFont="1" applyFill="1" applyBorder="1" applyProtection="1"/>
    <xf numFmtId="0" fontId="20" fillId="5" borderId="0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center"/>
    </xf>
    <xf numFmtId="2" fontId="0" fillId="5" borderId="4" xfId="0" applyNumberForma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/>
    <xf numFmtId="2" fontId="0" fillId="5" borderId="0" xfId="0" applyNumberFormat="1" applyFill="1" applyBorder="1" applyAlignment="1" applyProtection="1"/>
    <xf numFmtId="2" fontId="0" fillId="5" borderId="0" xfId="0" applyNumberForma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right"/>
    </xf>
    <xf numFmtId="0" fontId="18" fillId="5" borderId="0" xfId="0" applyFont="1" applyFill="1" applyBorder="1" applyProtection="1"/>
    <xf numFmtId="0" fontId="18" fillId="5" borderId="0" xfId="0" applyFont="1" applyFill="1" applyBorder="1" applyAlignment="1" applyProtection="1">
      <alignment horizontal="left"/>
    </xf>
    <xf numFmtId="9" fontId="48" fillId="5" borderId="11" xfId="9" applyFont="1" applyFill="1" applyBorder="1" applyAlignment="1" applyProtection="1">
      <alignment horizontal="left"/>
    </xf>
    <xf numFmtId="9" fontId="85" fillId="5" borderId="12" xfId="9" applyFont="1" applyFill="1" applyBorder="1" applyAlignment="1" applyProtection="1">
      <alignment horizontal="center"/>
    </xf>
    <xf numFmtId="9" fontId="48" fillId="5" borderId="13" xfId="9" applyFont="1" applyFill="1" applyBorder="1" applyAlignment="1" applyProtection="1">
      <alignment horizontal="left"/>
    </xf>
    <xf numFmtId="9" fontId="85" fillId="5" borderId="14" xfId="9" applyFont="1" applyFill="1" applyBorder="1" applyAlignment="1" applyProtection="1">
      <alignment horizontal="center"/>
    </xf>
    <xf numFmtId="9" fontId="48" fillId="5" borderId="15" xfId="9" applyFont="1" applyFill="1" applyBorder="1" applyAlignment="1" applyProtection="1">
      <alignment horizontal="left"/>
    </xf>
    <xf numFmtId="9" fontId="85" fillId="5" borderId="16" xfId="9" applyFont="1" applyFill="1" applyBorder="1" applyAlignment="1" applyProtection="1">
      <alignment horizontal="center"/>
    </xf>
    <xf numFmtId="2" fontId="0" fillId="5" borderId="0" xfId="0" applyNumberFormat="1" applyFill="1" applyBorder="1" applyProtection="1"/>
    <xf numFmtId="1" fontId="0" fillId="5" borderId="4" xfId="0" applyNumberFormat="1" applyFill="1" applyBorder="1" applyAlignment="1" applyProtection="1">
      <alignment horizontal="center"/>
    </xf>
    <xf numFmtId="0" fontId="52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Protection="1"/>
    <xf numFmtId="0" fontId="8" fillId="0" borderId="46" xfId="0" applyFont="1" applyBorder="1" applyAlignment="1" applyProtection="1"/>
    <xf numFmtId="0" fontId="86" fillId="0" borderId="0" xfId="0" applyFont="1" applyBorder="1" applyProtection="1"/>
    <xf numFmtId="0" fontId="0" fillId="5" borderId="6" xfId="0" applyFill="1" applyBorder="1" applyAlignment="1" applyProtection="1"/>
    <xf numFmtId="0" fontId="0" fillId="5" borderId="1" xfId="0" applyFill="1" applyBorder="1" applyProtection="1"/>
    <xf numFmtId="0" fontId="0" fillId="5" borderId="2" xfId="0" applyFill="1" applyBorder="1" applyAlignment="1" applyProtection="1"/>
    <xf numFmtId="0" fontId="8" fillId="5" borderId="0" xfId="0" applyFont="1" applyFill="1" applyBorder="1" applyAlignment="1" applyProtection="1">
      <alignment horizontal="center"/>
    </xf>
    <xf numFmtId="0" fontId="3" fillId="0" borderId="42" xfId="2" applyBorder="1" applyAlignment="1" applyProtection="1"/>
    <xf numFmtId="0" fontId="0" fillId="9" borderId="0" xfId="0" applyFill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left" vertical="center"/>
    </xf>
    <xf numFmtId="0" fontId="31" fillId="9" borderId="0" xfId="0" applyFont="1" applyFill="1" applyAlignment="1" applyProtection="1">
      <alignment horizontal="left" vertical="center"/>
    </xf>
    <xf numFmtId="0" fontId="11" fillId="5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right" vertical="center"/>
    </xf>
    <xf numFmtId="0" fontId="0" fillId="9" borderId="4" xfId="0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25" xfId="0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horizontal="left" vertical="center"/>
    </xf>
    <xf numFmtId="0" fontId="0" fillId="9" borderId="6" xfId="0" applyFill="1" applyBorder="1" applyAlignment="1" applyProtection="1">
      <alignment horizontal="left" vertical="center"/>
    </xf>
    <xf numFmtId="0" fontId="0" fillId="9" borderId="1" xfId="0" applyFill="1" applyBorder="1" applyAlignment="1" applyProtection="1">
      <alignment vertical="center"/>
    </xf>
    <xf numFmtId="0" fontId="0" fillId="9" borderId="7" xfId="0" applyFill="1" applyBorder="1" applyAlignment="1" applyProtection="1">
      <alignment horizontal="left" vertical="center"/>
    </xf>
    <xf numFmtId="0" fontId="0" fillId="9" borderId="2" xfId="0" applyFill="1" applyBorder="1" applyAlignment="1" applyProtection="1">
      <alignment horizontal="left" vertical="center"/>
    </xf>
    <xf numFmtId="0" fontId="6" fillId="9" borderId="0" xfId="0" applyFont="1" applyFill="1" applyAlignment="1" applyProtection="1">
      <alignment vertical="center"/>
    </xf>
    <xf numFmtId="0" fontId="0" fillId="9" borderId="3" xfId="0" applyFill="1" applyBorder="1" applyAlignment="1" applyProtection="1">
      <alignment horizontal="left" vertical="center"/>
    </xf>
    <xf numFmtId="0" fontId="0" fillId="9" borderId="2" xfId="0" applyFill="1" applyBorder="1" applyAlignment="1" applyProtection="1">
      <alignment vertical="center"/>
    </xf>
    <xf numFmtId="0" fontId="0" fillId="9" borderId="9" xfId="0" applyFill="1" applyBorder="1" applyAlignment="1" applyProtection="1">
      <alignment horizontal="left" vertical="center"/>
    </xf>
    <xf numFmtId="0" fontId="0" fillId="9" borderId="5" xfId="0" applyFill="1" applyBorder="1" applyAlignment="1" applyProtection="1">
      <alignment horizontal="left" vertical="center"/>
    </xf>
    <xf numFmtId="0" fontId="0" fillId="9" borderId="5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center" vertical="center"/>
    </xf>
    <xf numFmtId="2" fontId="0" fillId="9" borderId="25" xfId="0" applyNumberFormat="1" applyFill="1" applyBorder="1" applyAlignment="1" applyProtection="1">
      <alignment horizontal="center" vertical="center"/>
    </xf>
    <xf numFmtId="0" fontId="0" fillId="9" borderId="0" xfId="0" quotePrefix="1" applyFill="1" applyAlignment="1" applyProtection="1">
      <alignment horizontal="center" vertical="center"/>
    </xf>
    <xf numFmtId="1" fontId="0" fillId="9" borderId="5" xfId="0" applyNumberFormat="1" applyFill="1" applyBorder="1" applyAlignment="1" applyProtection="1">
      <alignment horizontal="center" vertical="center"/>
    </xf>
    <xf numFmtId="0" fontId="31" fillId="9" borderId="0" xfId="0" applyFont="1" applyFill="1" applyAlignment="1" applyProtection="1">
      <alignment horizontal="center" vertical="center"/>
    </xf>
    <xf numFmtId="38" fontId="9" fillId="9" borderId="5" xfId="1" applyNumberFormat="1" applyFont="1" applyFill="1" applyBorder="1" applyAlignment="1" applyProtection="1">
      <alignment horizontal="center" vertical="center"/>
    </xf>
    <xf numFmtId="0" fontId="35" fillId="9" borderId="0" xfId="0" applyFont="1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44" fillId="9" borderId="0" xfId="0" applyFont="1" applyFill="1" applyAlignment="1" applyProtection="1">
      <alignment horizontal="left" vertical="center"/>
    </xf>
    <xf numFmtId="3" fontId="0" fillId="9" borderId="0" xfId="0" applyNumberFormat="1" applyFill="1" applyAlignment="1" applyProtection="1">
      <alignment horizontal="center" vertical="center"/>
    </xf>
    <xf numFmtId="0" fontId="14" fillId="9" borderId="0" xfId="0" applyFont="1" applyFill="1" applyAlignment="1" applyProtection="1">
      <alignment horizontal="left" vertical="center"/>
    </xf>
    <xf numFmtId="16" fontId="0" fillId="9" borderId="0" xfId="0" quotePrefix="1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64" fillId="0" borderId="0" xfId="0" applyFont="1" applyFill="1" applyBorder="1" applyProtection="1"/>
    <xf numFmtId="0" fontId="3" fillId="0" borderId="48" xfId="2" applyFill="1" applyBorder="1" applyAlignment="1" applyProtection="1"/>
    <xf numFmtId="0" fontId="77" fillId="5" borderId="0" xfId="5" applyFill="1" applyProtection="1"/>
    <xf numFmtId="0" fontId="77" fillId="5" borderId="0" xfId="5" applyFill="1" applyAlignment="1" applyProtection="1">
      <alignment horizontal="left"/>
    </xf>
    <xf numFmtId="0" fontId="77" fillId="5" borderId="0" xfId="5" applyFill="1" applyAlignment="1" applyProtection="1"/>
    <xf numFmtId="0" fontId="91" fillId="5" borderId="0" xfId="5" applyFont="1" applyFill="1" applyBorder="1" applyAlignment="1" applyProtection="1">
      <alignment vertical="center"/>
    </xf>
    <xf numFmtId="0" fontId="7" fillId="5" borderId="0" xfId="5" applyFont="1" applyFill="1" applyBorder="1" applyAlignment="1" applyProtection="1">
      <alignment horizontal="left"/>
    </xf>
    <xf numFmtId="0" fontId="91" fillId="5" borderId="0" xfId="5" applyFont="1" applyFill="1" applyAlignment="1" applyProtection="1">
      <alignment vertical="center"/>
    </xf>
    <xf numFmtId="0" fontId="29" fillId="5" borderId="0" xfId="5" applyFont="1" applyFill="1" applyBorder="1" applyAlignment="1" applyProtection="1">
      <alignment horizontal="left"/>
    </xf>
    <xf numFmtId="0" fontId="77" fillId="5" borderId="0" xfId="5" applyFill="1" applyAlignment="1" applyProtection="1">
      <alignment horizontal="center"/>
    </xf>
    <xf numFmtId="0" fontId="0" fillId="5" borderId="0" xfId="0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63" fillId="5" borderId="0" xfId="0" applyFont="1" applyFill="1" applyAlignment="1" applyProtection="1">
      <alignment vertical="center"/>
    </xf>
    <xf numFmtId="0" fontId="64" fillId="5" borderId="0" xfId="0" applyFont="1" applyFill="1" applyProtection="1"/>
    <xf numFmtId="0" fontId="4" fillId="0" borderId="0" xfId="0" applyFont="1" applyFill="1" applyBorder="1" applyAlignment="1" applyProtection="1"/>
    <xf numFmtId="0" fontId="0" fillId="5" borderId="7" xfId="0" applyFill="1" applyBorder="1" applyProtection="1"/>
    <xf numFmtId="0" fontId="0" fillId="5" borderId="3" xfId="0" applyFill="1" applyBorder="1" applyProtection="1"/>
    <xf numFmtId="0" fontId="0" fillId="5" borderId="2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left" vertical="center"/>
    </xf>
    <xf numFmtId="0" fontId="31" fillId="5" borderId="0" xfId="0" applyFont="1" applyFill="1" applyAlignment="1" applyProtection="1">
      <alignment horizontal="left" vertical="center"/>
    </xf>
    <xf numFmtId="0" fontId="0" fillId="5" borderId="2" xfId="0" quotePrefix="1" applyFill="1" applyBorder="1" applyAlignment="1" applyProtection="1">
      <alignment horizontal="center" vertical="center"/>
    </xf>
    <xf numFmtId="0" fontId="35" fillId="5" borderId="0" xfId="0" applyFont="1" applyFill="1" applyAlignment="1" applyProtection="1">
      <alignment horizontal="left" vertical="center"/>
    </xf>
    <xf numFmtId="0" fontId="0" fillId="5" borderId="0" xfId="0" applyFill="1" applyBorder="1" applyAlignment="1" applyProtection="1">
      <alignment horizontal="right" vertical="center"/>
    </xf>
    <xf numFmtId="0" fontId="32" fillId="9" borderId="0" xfId="0" applyFont="1" applyFill="1" applyAlignment="1" applyProtection="1">
      <alignment horizontal="left" vertical="center"/>
    </xf>
    <xf numFmtId="0" fontId="32" fillId="9" borderId="0" xfId="0" applyFont="1" applyFill="1" applyAlignment="1" applyProtection="1">
      <alignment horizontal="center" vertical="center"/>
    </xf>
    <xf numFmtId="0" fontId="32" fillId="5" borderId="0" xfId="0" applyFont="1" applyFill="1" applyAlignment="1" applyProtection="1">
      <alignment horizontal="left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0" xfId="0" quotePrefix="1" applyFill="1" applyBorder="1" applyAlignment="1" applyProtection="1">
      <alignment horizontal="center" vertical="center"/>
    </xf>
    <xf numFmtId="0" fontId="32" fillId="9" borderId="4" xfId="0" applyFont="1" applyFill="1" applyBorder="1" applyAlignment="1" applyProtection="1">
      <alignment horizontal="center" vertical="center"/>
    </xf>
    <xf numFmtId="0" fontId="32" fillId="9" borderId="0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horizontal="center" vertical="center"/>
    </xf>
    <xf numFmtId="0" fontId="32" fillId="9" borderId="0" xfId="0" applyFont="1" applyFill="1" applyAlignment="1" applyProtection="1">
      <alignment horizontal="right" vertical="center"/>
    </xf>
    <xf numFmtId="0" fontId="54" fillId="9" borderId="0" xfId="0" applyFont="1" applyFill="1" applyAlignment="1" applyProtection="1">
      <alignment horizontal="right" vertical="center"/>
    </xf>
    <xf numFmtId="0" fontId="54" fillId="9" borderId="0" xfId="0" applyFont="1" applyFill="1" applyAlignment="1" applyProtection="1">
      <alignment horizontal="center" vertical="center"/>
    </xf>
    <xf numFmtId="0" fontId="65" fillId="9" borderId="0" xfId="0" applyFont="1" applyFill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/>
    </xf>
    <xf numFmtId="0" fontId="74" fillId="5" borderId="0" xfId="0" applyFont="1" applyFill="1" applyBorder="1" applyAlignment="1" applyProtection="1">
      <alignment horizontal="center" vertical="center"/>
    </xf>
    <xf numFmtId="0" fontId="56" fillId="5" borderId="0" xfId="0" applyFont="1" applyFill="1" applyBorder="1" applyAlignment="1" applyProtection="1">
      <alignment horizontal="center" vertical="center"/>
    </xf>
    <xf numFmtId="0" fontId="0" fillId="5" borderId="0" xfId="0" quotePrefix="1" applyFill="1" applyAlignment="1" applyProtection="1">
      <alignment horizontal="right" vertical="center"/>
    </xf>
    <xf numFmtId="0" fontId="8" fillId="5" borderId="0" xfId="0" applyFont="1" applyFill="1" applyAlignment="1" applyProtection="1">
      <alignment horizontal="center" vertical="center"/>
    </xf>
    <xf numFmtId="0" fontId="29" fillId="5" borderId="0" xfId="0" quotePrefix="1" applyFont="1" applyFill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right" vertical="center"/>
    </xf>
    <xf numFmtId="0" fontId="0" fillId="5" borderId="0" xfId="0" quotePrefix="1" applyFill="1" applyBorder="1" applyAlignment="1" applyProtection="1">
      <alignment horizontal="right" vertical="center"/>
    </xf>
    <xf numFmtId="0" fontId="49" fillId="5" borderId="0" xfId="0" applyFont="1" applyFill="1" applyBorder="1" applyAlignment="1" applyProtection="1">
      <alignment horizontal="left" vertical="center"/>
    </xf>
    <xf numFmtId="0" fontId="49" fillId="5" borderId="0" xfId="0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166" fontId="4" fillId="5" borderId="33" xfId="0" applyNumberFormat="1" applyFont="1" applyFill="1" applyBorder="1" applyAlignment="1" applyProtection="1">
      <alignment horizontal="center"/>
    </xf>
    <xf numFmtId="167" fontId="4" fillId="5" borderId="34" xfId="0" applyNumberFormat="1" applyFont="1" applyFill="1" applyBorder="1" applyAlignment="1" applyProtection="1">
      <alignment horizontal="center"/>
    </xf>
    <xf numFmtId="166" fontId="4" fillId="5" borderId="35" xfId="0" applyNumberFormat="1" applyFont="1" applyFill="1" applyBorder="1" applyAlignment="1" applyProtection="1">
      <alignment horizontal="center"/>
    </xf>
    <xf numFmtId="166" fontId="4" fillId="5" borderId="34" xfId="0" applyNumberFormat="1" applyFont="1" applyFill="1" applyBorder="1" applyAlignment="1" applyProtection="1">
      <alignment horizontal="center"/>
    </xf>
    <xf numFmtId="166" fontId="4" fillId="5" borderId="36" xfId="0" applyNumberFormat="1" applyFont="1" applyFill="1" applyBorder="1" applyAlignment="1" applyProtection="1">
      <alignment horizontal="center"/>
    </xf>
    <xf numFmtId="167" fontId="4" fillId="5" borderId="37" xfId="0" applyNumberFormat="1" applyFont="1" applyFill="1" applyBorder="1" applyAlignment="1" applyProtection="1">
      <alignment horizontal="center"/>
    </xf>
    <xf numFmtId="166" fontId="4" fillId="5" borderId="38" xfId="0" applyNumberFormat="1" applyFont="1" applyFill="1" applyBorder="1" applyAlignment="1" applyProtection="1">
      <alignment horizontal="center"/>
    </xf>
    <xf numFmtId="166" fontId="4" fillId="5" borderId="37" xfId="0" applyNumberFormat="1" applyFont="1" applyFill="1" applyBorder="1" applyAlignment="1" applyProtection="1">
      <alignment horizontal="center"/>
    </xf>
    <xf numFmtId="166" fontId="4" fillId="5" borderId="39" xfId="0" applyNumberFormat="1" applyFont="1" applyFill="1" applyBorder="1" applyAlignment="1" applyProtection="1">
      <alignment horizontal="center"/>
    </xf>
    <xf numFmtId="167" fontId="4" fillId="5" borderId="40" xfId="0" applyNumberFormat="1" applyFont="1" applyFill="1" applyBorder="1" applyAlignment="1" applyProtection="1">
      <alignment horizontal="center"/>
    </xf>
    <xf numFmtId="166" fontId="4" fillId="5" borderId="41" xfId="0" applyNumberFormat="1" applyFont="1" applyFill="1" applyBorder="1" applyAlignment="1" applyProtection="1">
      <alignment horizontal="center"/>
    </xf>
    <xf numFmtId="166" fontId="4" fillId="5" borderId="40" xfId="0" applyNumberFormat="1" applyFont="1" applyFill="1" applyBorder="1" applyAlignment="1" applyProtection="1">
      <alignment horizontal="center"/>
    </xf>
    <xf numFmtId="0" fontId="28" fillId="5" borderId="2" xfId="0" applyFont="1" applyFill="1" applyBorder="1" applyAlignment="1" applyProtection="1">
      <alignment vertical="center"/>
    </xf>
    <xf numFmtId="0" fontId="28" fillId="5" borderId="0" xfId="0" applyFont="1" applyFill="1" applyBorder="1" applyAlignment="1" applyProtection="1">
      <alignment vertical="center"/>
    </xf>
    <xf numFmtId="0" fontId="28" fillId="5" borderId="3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0" fillId="5" borderId="3" xfId="0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0" fontId="4" fillId="5" borderId="4" xfId="9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/>
    </xf>
    <xf numFmtId="2" fontId="4" fillId="5" borderId="0" xfId="0" applyNumberFormat="1" applyFont="1" applyFill="1" applyBorder="1" applyAlignment="1" applyProtection="1">
      <alignment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32" fillId="5" borderId="25" xfId="0" applyFont="1" applyFill="1" applyBorder="1" applyAlignment="1" applyProtection="1">
      <alignment horizontal="center" vertical="center"/>
    </xf>
    <xf numFmtId="2" fontId="4" fillId="5" borderId="4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vertical="center"/>
    </xf>
    <xf numFmtId="0" fontId="4" fillId="5" borderId="5" xfId="0" applyFont="1" applyFill="1" applyBorder="1" applyAlignment="1" applyProtection="1">
      <alignment vertical="center"/>
    </xf>
    <xf numFmtId="0" fontId="4" fillId="5" borderId="10" xfId="0" applyFont="1" applyFill="1" applyBorder="1" applyAlignment="1" applyProtection="1">
      <alignment vertical="center"/>
    </xf>
    <xf numFmtId="0" fontId="35" fillId="5" borderId="0" xfId="0" applyFont="1" applyFill="1" applyAlignment="1" applyProtection="1">
      <alignment horizontal="center" vertical="center"/>
    </xf>
    <xf numFmtId="0" fontId="27" fillId="5" borderId="2" xfId="0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5" borderId="3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4" fillId="5" borderId="4" xfId="0" applyFont="1" applyFill="1" applyBorder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17" fillId="5" borderId="2" xfId="0" applyFont="1" applyFill="1" applyBorder="1" applyAlignment="1" applyProtection="1">
      <alignment vertical="center"/>
    </xf>
    <xf numFmtId="0" fontId="18" fillId="5" borderId="2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1" fontId="4" fillId="5" borderId="0" xfId="0" applyNumberFormat="1" applyFont="1" applyFill="1" applyBorder="1" applyAlignment="1" applyProtection="1">
      <alignment vertical="center"/>
    </xf>
    <xf numFmtId="0" fontId="4" fillId="5" borderId="25" xfId="0" applyFont="1" applyFill="1" applyBorder="1" applyAlignment="1" applyProtection="1">
      <alignment vertical="center"/>
    </xf>
    <xf numFmtId="2" fontId="4" fillId="5" borderId="5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 vertical="center"/>
    </xf>
    <xf numFmtId="0" fontId="25" fillId="5" borderId="2" xfId="0" applyFont="1" applyFill="1" applyBorder="1" applyAlignment="1" applyProtection="1">
      <alignment horizontal="left" vertical="center"/>
    </xf>
    <xf numFmtId="0" fontId="26" fillId="5" borderId="0" xfId="0" applyFont="1" applyFill="1" applyBorder="1" applyAlignment="1" applyProtection="1">
      <alignment horizontal="left" vertical="center"/>
    </xf>
    <xf numFmtId="1" fontId="0" fillId="5" borderId="25" xfId="0" applyNumberForma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left"/>
    </xf>
    <xf numFmtId="0" fontId="57" fillId="10" borderId="0" xfId="0" applyFont="1" applyFill="1" applyAlignment="1" applyProtection="1">
      <alignment vertical="center" wrapText="1"/>
    </xf>
    <xf numFmtId="0" fontId="3" fillId="0" borderId="0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6" fontId="4" fillId="5" borderId="4" xfId="0" applyNumberFormat="1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10" borderId="0" xfId="0" applyFill="1" applyProtection="1"/>
    <xf numFmtId="0" fontId="64" fillId="0" borderId="4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3" fillId="0" borderId="0" xfId="2" applyBorder="1" applyAlignment="1" applyProtection="1"/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93" fillId="10" borderId="0" xfId="0" applyFont="1" applyFill="1" applyAlignment="1" applyProtection="1">
      <alignment horizontal="center" vertical="center" wrapText="1"/>
    </xf>
    <xf numFmtId="0" fontId="94" fillId="10" borderId="0" xfId="0" applyFont="1" applyFill="1" applyAlignment="1" applyProtection="1">
      <alignment horizontal="center" vertical="center" wrapText="1"/>
    </xf>
    <xf numFmtId="0" fontId="0" fillId="3" borderId="18" xfId="0" applyNumberFormat="1" applyFill="1" applyBorder="1" applyAlignment="1" applyProtection="1">
      <alignment horizontal="left"/>
      <protection locked="0"/>
    </xf>
    <xf numFmtId="0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NumberFormat="1" applyFill="1" applyBorder="1" applyAlignment="1" applyProtection="1">
      <alignment horizontal="left"/>
      <protection locked="0"/>
    </xf>
    <xf numFmtId="2" fontId="87" fillId="0" borderId="0" xfId="0" applyNumberFormat="1" applyFont="1" applyAlignment="1" applyProtection="1">
      <alignment horizontal="center" vertical="top" wrapText="1"/>
    </xf>
    <xf numFmtId="0" fontId="72" fillId="0" borderId="0" xfId="2" applyFont="1" applyBorder="1" applyAlignment="1" applyProtection="1">
      <alignment horizontal="left"/>
      <protection locked="0"/>
    </xf>
    <xf numFmtId="0" fontId="72" fillId="0" borderId="0" xfId="2" applyFont="1" applyAlignment="1" applyProtection="1">
      <alignment horizontal="left"/>
      <protection locked="0"/>
    </xf>
    <xf numFmtId="0" fontId="0" fillId="5" borderId="0" xfId="0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wrapText="1"/>
    </xf>
    <xf numFmtId="0" fontId="31" fillId="0" borderId="48" xfId="0" applyFont="1" applyBorder="1" applyAlignment="1" applyProtection="1">
      <alignment horizontal="center" wrapText="1"/>
    </xf>
    <xf numFmtId="0" fontId="95" fillId="0" borderId="0" xfId="0" applyFont="1" applyBorder="1" applyAlignment="1" applyProtection="1">
      <alignment horizontal="center" wrapText="1"/>
    </xf>
    <xf numFmtId="0" fontId="71" fillId="3" borderId="21" xfId="2" applyFont="1" applyFill="1" applyBorder="1" applyAlignment="1" applyProtection="1">
      <alignment horizontal="left" vertical="center"/>
      <protection locked="0"/>
    </xf>
    <xf numFmtId="0" fontId="71" fillId="3" borderId="22" xfId="2" applyFont="1" applyFill="1" applyBorder="1" applyAlignment="1" applyProtection="1">
      <alignment horizontal="left" vertical="center"/>
      <protection locked="0"/>
    </xf>
    <xf numFmtId="0" fontId="71" fillId="3" borderId="23" xfId="2" applyFont="1" applyFill="1" applyBorder="1" applyAlignment="1" applyProtection="1">
      <alignment horizontal="left" vertical="center"/>
      <protection locked="0"/>
    </xf>
    <xf numFmtId="0" fontId="71" fillId="3" borderId="24" xfId="2" applyFont="1" applyFill="1" applyBorder="1" applyAlignment="1" applyProtection="1">
      <alignment horizontal="left" vertic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31" fillId="9" borderId="50" xfId="3" applyFont="1" applyFill="1" applyBorder="1" applyAlignment="1" applyProtection="1">
      <alignment horizontal="center" vertical="center" wrapText="1"/>
      <protection locked="0"/>
    </xf>
    <xf numFmtId="0" fontId="31" fillId="9" borderId="51" xfId="3" applyFont="1" applyFill="1" applyBorder="1" applyAlignment="1" applyProtection="1">
      <alignment horizontal="center" vertical="center" wrapText="1"/>
      <protection locked="0"/>
    </xf>
    <xf numFmtId="0" fontId="31" fillId="9" borderId="52" xfId="3" applyFont="1" applyFill="1" applyBorder="1" applyAlignment="1" applyProtection="1">
      <alignment horizontal="center" vertical="center" wrapText="1"/>
      <protection locked="0"/>
    </xf>
    <xf numFmtId="0" fontId="31" fillId="9" borderId="53" xfId="3" applyFont="1" applyFill="1" applyBorder="1" applyAlignment="1" applyProtection="1">
      <alignment horizontal="center" vertical="center" wrapText="1"/>
      <protection locked="0"/>
    </xf>
    <xf numFmtId="0" fontId="31" fillId="9" borderId="0" xfId="3" applyFont="1" applyFill="1" applyBorder="1" applyAlignment="1" applyProtection="1">
      <alignment horizontal="center" vertical="center" wrapText="1"/>
      <protection locked="0"/>
    </xf>
    <xf numFmtId="0" fontId="31" fillId="9" borderId="54" xfId="3" applyFont="1" applyFill="1" applyBorder="1" applyAlignment="1" applyProtection="1">
      <alignment horizontal="center" vertical="center" wrapText="1"/>
      <protection locked="0"/>
    </xf>
    <xf numFmtId="0" fontId="31" fillId="9" borderId="55" xfId="3" applyFont="1" applyFill="1" applyBorder="1" applyAlignment="1" applyProtection="1">
      <alignment horizontal="center" vertical="center" wrapText="1"/>
      <protection locked="0"/>
    </xf>
    <xf numFmtId="0" fontId="31" fillId="9" borderId="56" xfId="3" applyFont="1" applyFill="1" applyBorder="1" applyAlignment="1" applyProtection="1">
      <alignment horizontal="center" vertical="center" wrapText="1"/>
      <protection locked="0"/>
    </xf>
    <xf numFmtId="0" fontId="31" fillId="9" borderId="57" xfId="3" applyFont="1" applyFill="1" applyBorder="1" applyAlignment="1" applyProtection="1">
      <alignment horizontal="center" vertical="center" wrapText="1"/>
      <protection locked="0"/>
    </xf>
    <xf numFmtId="0" fontId="78" fillId="0" borderId="0" xfId="3" applyFont="1" applyAlignment="1" applyProtection="1">
      <alignment horizontal="center" vertical="center" wrapText="1"/>
      <protection locked="0"/>
    </xf>
    <xf numFmtId="0" fontId="31" fillId="0" borderId="0" xfId="8" applyFont="1" applyAlignment="1" applyProtection="1">
      <alignment horizontal="left" vertical="top" wrapText="1"/>
    </xf>
    <xf numFmtId="0" fontId="31" fillId="0" borderId="0" xfId="3" applyFont="1" applyAlignment="1" applyProtection="1">
      <alignment horizontal="center" vertical="top" wrapText="1"/>
    </xf>
    <xf numFmtId="0" fontId="65" fillId="0" borderId="0" xfId="0" applyFont="1" applyBorder="1" applyAlignment="1" applyProtection="1">
      <alignment horizontal="center" wrapText="1"/>
    </xf>
    <xf numFmtId="0" fontId="11" fillId="0" borderId="45" xfId="0" applyFont="1" applyBorder="1" applyAlignment="1" applyProtection="1">
      <alignment horizontal="center" textRotation="90"/>
    </xf>
    <xf numFmtId="0" fontId="74" fillId="5" borderId="1" xfId="0" applyFont="1" applyFill="1" applyBorder="1" applyAlignment="1" applyProtection="1">
      <alignment horizontal="center"/>
    </xf>
    <xf numFmtId="0" fontId="74" fillId="5" borderId="0" xfId="0" applyFont="1" applyFill="1" applyBorder="1" applyAlignment="1" applyProtection="1">
      <alignment horizontal="center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7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55" fillId="5" borderId="0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0" fontId="73" fillId="5" borderId="1" xfId="0" applyFont="1" applyFill="1" applyBorder="1" applyAlignment="1" applyProtection="1">
      <alignment horizontal="center" vertical="center" wrapText="1"/>
    </xf>
    <xf numFmtId="0" fontId="74" fillId="5" borderId="1" xfId="0" applyFont="1" applyFill="1" applyBorder="1" applyAlignment="1" applyProtection="1">
      <alignment horizontal="center" vertical="center"/>
    </xf>
    <xf numFmtId="0" fontId="74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/>
    </xf>
    <xf numFmtId="0" fontId="3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20" fillId="0" borderId="45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center"/>
    </xf>
    <xf numFmtId="0" fontId="6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5" borderId="0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vertical="center"/>
    </xf>
    <xf numFmtId="0" fontId="13" fillId="9" borderId="0" xfId="0" applyFont="1" applyFill="1" applyAlignment="1" applyProtection="1">
      <alignment horizontal="center" vertical="center"/>
    </xf>
    <xf numFmtId="0" fontId="35" fillId="9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3" borderId="5" xfId="0" applyFont="1" applyFill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" borderId="19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39" fillId="3" borderId="5" xfId="0" applyFont="1" applyFill="1" applyBorder="1" applyAlignment="1"/>
    <xf numFmtId="0" fontId="29" fillId="10" borderId="26" xfId="5" applyFont="1" applyFill="1" applyBorder="1" applyProtection="1"/>
    <xf numFmtId="0" fontId="29" fillId="10" borderId="26" xfId="5" applyFont="1" applyFill="1" applyBorder="1" applyAlignment="1" applyProtection="1">
      <alignment horizontal="left"/>
    </xf>
    <xf numFmtId="0" fontId="29" fillId="10" borderId="0" xfId="5" applyFont="1" applyFill="1" applyBorder="1" applyProtection="1"/>
    <xf numFmtId="0" fontId="29" fillId="10" borderId="0" xfId="5" applyFont="1" applyFill="1" applyBorder="1" applyAlignment="1" applyProtection="1">
      <alignment horizontal="left"/>
    </xf>
    <xf numFmtId="0" fontId="36" fillId="10" borderId="0" xfId="5" applyFont="1" applyFill="1" applyBorder="1" applyAlignment="1" applyProtection="1">
      <alignment horizontal="center"/>
    </xf>
    <xf numFmtId="0" fontId="29" fillId="10" borderId="0" xfId="5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left" vertical="center"/>
    </xf>
    <xf numFmtId="0" fontId="11" fillId="10" borderId="0" xfId="5" applyFont="1" applyFill="1" applyBorder="1" applyAlignment="1" applyProtection="1"/>
    <xf numFmtId="0" fontId="12" fillId="10" borderId="0" xfId="5" applyFont="1" applyFill="1" applyBorder="1" applyAlignment="1" applyProtection="1">
      <alignment horizontal="right"/>
    </xf>
    <xf numFmtId="0" fontId="12" fillId="10" borderId="0" xfId="5" applyFont="1" applyFill="1" applyBorder="1" applyAlignment="1" applyProtection="1">
      <alignment horizontal="center"/>
    </xf>
    <xf numFmtId="0" fontId="29" fillId="10" borderId="0" xfId="5" applyFont="1" applyFill="1" applyBorder="1" applyAlignment="1" applyProtection="1"/>
    <xf numFmtId="0" fontId="39" fillId="10" borderId="4" xfId="5" applyFont="1" applyFill="1" applyBorder="1" applyAlignment="1" applyProtection="1">
      <alignment horizontal="center"/>
    </xf>
    <xf numFmtId="0" fontId="62" fillId="10" borderId="0" xfId="5" applyFont="1" applyFill="1" applyBorder="1" applyAlignment="1" applyProtection="1">
      <alignment horizontal="center" vertical="top"/>
    </xf>
    <xf numFmtId="0" fontId="29" fillId="10" borderId="5" xfId="5" applyFont="1" applyFill="1" applyBorder="1" applyAlignment="1" applyProtection="1">
      <alignment horizontal="center"/>
    </xf>
    <xf numFmtId="0" fontId="29" fillId="10" borderId="0" xfId="5" applyFont="1" applyFill="1" applyBorder="1" applyAlignment="1" applyProtection="1">
      <alignment horizontal="right"/>
    </xf>
    <xf numFmtId="0" fontId="2" fillId="10" borderId="0" xfId="5" applyFont="1" applyFill="1" applyBorder="1" applyAlignment="1" applyProtection="1">
      <alignment horizontal="right"/>
    </xf>
    <xf numFmtId="0" fontId="36" fillId="10" borderId="0" xfId="5" applyFont="1" applyFill="1" applyBorder="1" applyAlignment="1" applyProtection="1">
      <alignment horizontal="right"/>
    </xf>
    <xf numFmtId="3" fontId="36" fillId="10" borderId="4" xfId="5" applyNumberFormat="1" applyFont="1" applyFill="1" applyBorder="1" applyAlignment="1" applyProtection="1">
      <alignment horizontal="center"/>
    </xf>
    <xf numFmtId="0" fontId="29" fillId="10" borderId="27" xfId="5" applyFont="1" applyFill="1" applyBorder="1" applyProtection="1"/>
    <xf numFmtId="0" fontId="29" fillId="10" borderId="27" xfId="5" applyFont="1" applyFill="1" applyBorder="1" applyAlignment="1" applyProtection="1">
      <alignment horizontal="left"/>
    </xf>
    <xf numFmtId="0" fontId="29" fillId="10" borderId="27" xfId="5" applyFont="1" applyFill="1" applyBorder="1" applyAlignment="1" applyProtection="1">
      <alignment horizontal="right"/>
    </xf>
    <xf numFmtId="0" fontId="36" fillId="10" borderId="58" xfId="5" applyFont="1" applyFill="1" applyBorder="1" applyProtection="1"/>
    <xf numFmtId="0" fontId="90" fillId="10" borderId="58" xfId="5" applyFont="1" applyFill="1" applyBorder="1" applyAlignment="1" applyProtection="1">
      <alignment horizontal="center"/>
    </xf>
    <xf numFmtId="0" fontId="91" fillId="10" borderId="26" xfId="5" applyFont="1" applyFill="1" applyBorder="1" applyAlignment="1" applyProtection="1">
      <alignment vertical="center"/>
    </xf>
    <xf numFmtId="0" fontId="91" fillId="10" borderId="0" xfId="5" applyFont="1" applyFill="1" applyBorder="1" applyAlignment="1" applyProtection="1">
      <alignment vertical="center"/>
    </xf>
    <xf numFmtId="0" fontId="29" fillId="10" borderId="28" xfId="5" applyFont="1" applyFill="1" applyBorder="1" applyAlignment="1" applyProtection="1">
      <alignment horizontal="left"/>
    </xf>
    <xf numFmtId="0" fontId="77" fillId="10" borderId="29" xfId="5" applyFill="1" applyBorder="1" applyProtection="1"/>
    <xf numFmtId="0" fontId="29" fillId="10" borderId="29" xfId="5" applyFont="1" applyFill="1" applyBorder="1" applyAlignment="1" applyProtection="1">
      <alignment horizontal="left"/>
    </xf>
    <xf numFmtId="0" fontId="29" fillId="10" borderId="29" xfId="5" applyFont="1" applyFill="1" applyBorder="1" applyAlignment="1" applyProtection="1">
      <alignment horizontal="center"/>
    </xf>
    <xf numFmtId="0" fontId="29" fillId="10" borderId="29" xfId="5" applyFont="1" applyFill="1" applyBorder="1" applyProtection="1"/>
    <xf numFmtId="0" fontId="29" fillId="10" borderId="30" xfId="5" applyFont="1" applyFill="1" applyBorder="1" applyAlignment="1" applyProtection="1">
      <alignment horizontal="left"/>
    </xf>
    <xf numFmtId="0" fontId="77" fillId="10" borderId="0" xfId="5" applyFill="1" applyBorder="1" applyProtection="1"/>
    <xf numFmtId="0" fontId="39" fillId="10" borderId="17" xfId="5" applyFont="1" applyFill="1" applyBorder="1" applyAlignment="1" applyProtection="1">
      <alignment horizontal="center"/>
    </xf>
    <xf numFmtId="0" fontId="29" fillId="10" borderId="30" xfId="5" applyFont="1" applyFill="1" applyBorder="1" applyProtection="1"/>
    <xf numFmtId="0" fontId="29" fillId="10" borderId="31" xfId="5" applyFont="1" applyFill="1" applyBorder="1" applyAlignment="1" applyProtection="1">
      <alignment horizontal="left"/>
    </xf>
    <xf numFmtId="0" fontId="77" fillId="10" borderId="32" xfId="5" applyFill="1" applyBorder="1" applyProtection="1"/>
    <xf numFmtId="0" fontId="29" fillId="10" borderId="32" xfId="5" applyFont="1" applyFill="1" applyBorder="1" applyAlignment="1" applyProtection="1">
      <alignment horizontal="left"/>
    </xf>
    <xf numFmtId="0" fontId="29" fillId="10" borderId="32" xfId="5" applyFont="1" applyFill="1" applyBorder="1" applyProtection="1"/>
    <xf numFmtId="0" fontId="29" fillId="10" borderId="32" xfId="5" applyFont="1" applyFill="1" applyBorder="1" applyAlignment="1" applyProtection="1">
      <alignment horizontal="center"/>
    </xf>
    <xf numFmtId="0" fontId="90" fillId="10" borderId="32" xfId="5" applyFont="1" applyFill="1" applyBorder="1" applyAlignment="1" applyProtection="1">
      <alignment horizontal="center"/>
    </xf>
    <xf numFmtId="0" fontId="0" fillId="10" borderId="32" xfId="0" applyFill="1" applyBorder="1" applyAlignment="1" applyProtection="1">
      <alignment horizontal="left" vertical="center"/>
    </xf>
    <xf numFmtId="0" fontId="0" fillId="10" borderId="5" xfId="0" applyFill="1" applyBorder="1" applyAlignment="1" applyProtection="1">
      <alignment horizontal="left" vertical="center"/>
    </xf>
    <xf numFmtId="0" fontId="0" fillId="10" borderId="5" xfId="0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vertical="center"/>
    </xf>
    <xf numFmtId="0" fontId="7" fillId="10" borderId="4" xfId="0" applyFont="1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center" vertical="center"/>
    </xf>
    <xf numFmtId="0" fontId="35" fillId="10" borderId="28" xfId="0" applyFont="1" applyFill="1" applyBorder="1" applyAlignment="1" applyProtection="1">
      <alignment horizontal="left" vertical="center"/>
    </xf>
    <xf numFmtId="0" fontId="0" fillId="10" borderId="29" xfId="0" applyFill="1" applyBorder="1" applyAlignment="1" applyProtection="1">
      <alignment horizontal="left" vertical="center"/>
    </xf>
    <xf numFmtId="0" fontId="0" fillId="10" borderId="59" xfId="0" applyFill="1" applyBorder="1" applyAlignment="1" applyProtection="1">
      <alignment horizontal="left" vertical="center"/>
    </xf>
    <xf numFmtId="0" fontId="88" fillId="10" borderId="30" xfId="5" applyFont="1" applyFill="1" applyBorder="1" applyAlignment="1" applyProtection="1">
      <alignment horizontal="center" vertical="center" wrapText="1"/>
    </xf>
    <xf numFmtId="0" fontId="88" fillId="10" borderId="0" xfId="5" applyFont="1" applyFill="1" applyBorder="1" applyAlignment="1" applyProtection="1">
      <alignment horizontal="center" vertical="center" wrapText="1"/>
    </xf>
    <xf numFmtId="0" fontId="89" fillId="10" borderId="0" xfId="5" applyFont="1" applyFill="1" applyBorder="1" applyAlignment="1" applyProtection="1">
      <alignment horizontal="center" vertical="center" wrapText="1"/>
    </xf>
    <xf numFmtId="0" fontId="89" fillId="10" borderId="60" xfId="5" applyFont="1" applyFill="1" applyBorder="1" applyAlignment="1" applyProtection="1">
      <alignment horizontal="center" vertical="center" wrapText="1"/>
    </xf>
    <xf numFmtId="0" fontId="96" fillId="10" borderId="30" xfId="0" applyFont="1" applyFill="1" applyBorder="1" applyAlignment="1" applyProtection="1">
      <alignment horizontal="center" vertical="center" wrapText="1"/>
    </xf>
    <xf numFmtId="0" fontId="96" fillId="10" borderId="0" xfId="0" applyFont="1" applyFill="1" applyBorder="1" applyAlignment="1" applyProtection="1">
      <alignment horizontal="center" vertical="center" wrapText="1"/>
    </xf>
    <xf numFmtId="0" fontId="77" fillId="10" borderId="0" xfId="5" applyFill="1" applyBorder="1" applyAlignment="1" applyProtection="1">
      <alignment horizontal="left"/>
    </xf>
    <xf numFmtId="0" fontId="77" fillId="10" borderId="0" xfId="5" applyFill="1" applyBorder="1" applyAlignment="1" applyProtection="1">
      <alignment horizontal="center"/>
    </xf>
    <xf numFmtId="0" fontId="77" fillId="10" borderId="60" xfId="5" applyFill="1" applyBorder="1" applyAlignment="1" applyProtection="1">
      <alignment horizontal="left"/>
    </xf>
    <xf numFmtId="0" fontId="77" fillId="10" borderId="30" xfId="5" applyFill="1" applyBorder="1" applyAlignment="1" applyProtection="1">
      <alignment horizontal="left"/>
    </xf>
    <xf numFmtId="0" fontId="29" fillId="10" borderId="61" xfId="5" applyFont="1" applyFill="1" applyBorder="1" applyAlignment="1" applyProtection="1">
      <alignment horizontal="left"/>
    </xf>
    <xf numFmtId="0" fontId="29" fillId="10" borderId="62" xfId="5" applyFont="1" applyFill="1" applyBorder="1" applyAlignment="1" applyProtection="1">
      <alignment horizontal="center"/>
    </xf>
    <xf numFmtId="0" fontId="36" fillId="10" borderId="30" xfId="5" applyFont="1" applyFill="1" applyBorder="1" applyAlignment="1" applyProtection="1">
      <alignment horizontal="left"/>
    </xf>
    <xf numFmtId="0" fontId="29" fillId="10" borderId="60" xfId="5" applyFont="1" applyFill="1" applyBorder="1" applyAlignment="1" applyProtection="1">
      <alignment horizontal="center"/>
    </xf>
    <xf numFmtId="0" fontId="0" fillId="10" borderId="60" xfId="0" applyFill="1" applyBorder="1" applyAlignment="1" applyProtection="1">
      <alignment horizontal="left" vertical="center"/>
    </xf>
    <xf numFmtId="0" fontId="39" fillId="10" borderId="30" xfId="5" applyFont="1" applyFill="1" applyBorder="1" applyAlignment="1" applyProtection="1">
      <alignment horizontal="left"/>
    </xf>
    <xf numFmtId="0" fontId="29" fillId="10" borderId="63" xfId="5" applyFont="1" applyFill="1" applyBorder="1" applyAlignment="1" applyProtection="1">
      <alignment horizontal="left"/>
    </xf>
    <xf numFmtId="0" fontId="0" fillId="10" borderId="64" xfId="0" applyFill="1" applyBorder="1" applyAlignment="1" applyProtection="1">
      <alignment horizontal="left" vertical="center"/>
    </xf>
    <xf numFmtId="0" fontId="77" fillId="10" borderId="0" xfId="5" applyFill="1" applyBorder="1" applyAlignment="1" applyProtection="1">
      <alignment horizontal="right"/>
    </xf>
    <xf numFmtId="0" fontId="7" fillId="10" borderId="0" xfId="5" applyFont="1" applyFill="1" applyBorder="1" applyAlignment="1" applyProtection="1">
      <alignment horizontal="center"/>
    </xf>
    <xf numFmtId="0" fontId="91" fillId="10" borderId="60" xfId="5" applyFont="1" applyFill="1" applyBorder="1" applyAlignment="1" applyProtection="1">
      <alignment vertical="center"/>
    </xf>
    <xf numFmtId="0" fontId="92" fillId="10" borderId="0" xfId="5" applyFont="1" applyFill="1" applyBorder="1" applyAlignment="1" applyProtection="1">
      <alignment vertical="center"/>
    </xf>
    <xf numFmtId="0" fontId="97" fillId="10" borderId="30" xfId="5" applyFont="1" applyFill="1" applyBorder="1" applyAlignment="1" applyProtection="1">
      <alignment horizontal="left" vertical="center"/>
    </xf>
    <xf numFmtId="0" fontId="97" fillId="10" borderId="0" xfId="5" applyFont="1" applyFill="1" applyBorder="1" applyAlignment="1" applyProtection="1">
      <alignment horizontal="left" vertical="center"/>
    </xf>
    <xf numFmtId="0" fontId="77" fillId="10" borderId="60" xfId="5" applyFill="1" applyBorder="1" applyAlignment="1" applyProtection="1">
      <alignment horizontal="center"/>
    </xf>
    <xf numFmtId="0" fontId="29" fillId="10" borderId="59" xfId="5" applyFont="1" applyFill="1" applyBorder="1" applyAlignment="1" applyProtection="1">
      <alignment horizontal="center"/>
    </xf>
    <xf numFmtId="0" fontId="0" fillId="10" borderId="65" xfId="0" applyFill="1" applyBorder="1" applyAlignment="1" applyProtection="1">
      <alignment horizontal="left" vertical="center"/>
    </xf>
    <xf numFmtId="0" fontId="0" fillId="10" borderId="28" xfId="0" applyFill="1" applyBorder="1" applyAlignment="1" applyProtection="1">
      <alignment horizontal="left" vertical="center"/>
    </xf>
    <xf numFmtId="0" fontId="0" fillId="10" borderId="30" xfId="0" applyFill="1" applyBorder="1" applyAlignment="1" applyProtection="1">
      <alignment horizontal="left" vertical="center"/>
    </xf>
    <xf numFmtId="0" fontId="0" fillId="10" borderId="0" xfId="0" applyFill="1" applyBorder="1" applyAlignment="1" applyProtection="1">
      <alignment horizontal="center" vertical="center"/>
    </xf>
    <xf numFmtId="0" fontId="63" fillId="10" borderId="0" xfId="0" applyFont="1" applyFill="1" applyBorder="1" applyAlignment="1" applyProtection="1">
      <alignment horizontal="center" vertical="center"/>
    </xf>
    <xf numFmtId="0" fontId="0" fillId="10" borderId="30" xfId="0" applyFill="1" applyBorder="1" applyAlignment="1" applyProtection="1">
      <alignment vertical="center"/>
    </xf>
    <xf numFmtId="0" fontId="63" fillId="10" borderId="0" xfId="0" applyFont="1" applyFill="1" applyBorder="1" applyAlignment="1" applyProtection="1">
      <alignment vertical="center"/>
    </xf>
    <xf numFmtId="0" fontId="63" fillId="10" borderId="60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6" fillId="10" borderId="3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center" vertical="center"/>
    </xf>
    <xf numFmtId="0" fontId="0" fillId="10" borderId="66" xfId="0" applyFill="1" applyBorder="1" applyAlignment="1" applyProtection="1">
      <alignment horizontal="left" vertical="center"/>
    </xf>
    <xf numFmtId="0" fontId="0" fillId="10" borderId="0" xfId="0" quotePrefix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right" vertical="center"/>
    </xf>
    <xf numFmtId="0" fontId="31" fillId="10" borderId="0" xfId="0" applyFont="1" applyFill="1" applyBorder="1" applyAlignment="1" applyProtection="1">
      <alignment horizontal="center" vertical="center"/>
    </xf>
    <xf numFmtId="0" fontId="48" fillId="10" borderId="0" xfId="0" applyFont="1" applyFill="1" applyBorder="1" applyAlignment="1" applyProtection="1">
      <alignment horizontal="center" vertical="center"/>
    </xf>
    <xf numFmtId="0" fontId="0" fillId="10" borderId="31" xfId="0" applyFill="1" applyBorder="1" applyAlignment="1" applyProtection="1">
      <alignment horizontal="left" vertical="center"/>
    </xf>
    <xf numFmtId="0" fontId="0" fillId="10" borderId="32" xfId="0" applyFill="1" applyBorder="1" applyAlignment="1" applyProtection="1">
      <alignment vertical="center"/>
    </xf>
    <xf numFmtId="0" fontId="0" fillId="10" borderId="32" xfId="0" applyFill="1" applyBorder="1" applyAlignment="1" applyProtection="1">
      <alignment horizontal="center" vertical="center"/>
    </xf>
  </cellXfs>
  <cellStyles count="11">
    <cellStyle name="Comma" xfId="1" builtinId="3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_SWRWKSHT - 3R 2" xfId="7"/>
    <cellStyle name="Normal_SWRWKSHT 2" xfId="8"/>
    <cellStyle name="Percent" xfId="9" builtinId="5"/>
    <cellStyle name="Percent 2" xfId="1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76200</xdr:rowOff>
    </xdr:from>
    <xdr:to>
      <xdr:col>14</xdr:col>
      <xdr:colOff>333375</xdr:colOff>
      <xdr:row>51</xdr:row>
      <xdr:rowOff>95250</xdr:rowOff>
    </xdr:to>
    <xdr:sp macro="" textlink="">
      <xdr:nvSpPr>
        <xdr:cNvPr id="3334" name="Rectangle 2"/>
        <xdr:cNvSpPr>
          <a:spLocks noChangeArrowheads="1"/>
        </xdr:cNvSpPr>
      </xdr:nvSpPr>
      <xdr:spPr bwMode="auto">
        <a:xfrm>
          <a:off x="447675" y="3829050"/>
          <a:ext cx="6381750" cy="4286250"/>
        </a:xfrm>
        <a:prstGeom prst="rect">
          <a:avLst/>
        </a:prstGeom>
        <a:noFill/>
        <a:ln w="19050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28575</xdr:rowOff>
        </xdr:from>
        <xdr:to>
          <xdr:col>3</xdr:col>
          <xdr:colOff>142875</xdr:colOff>
          <xdr:row>53</xdr:row>
          <xdr:rowOff>142875</xdr:rowOff>
        </xdr:to>
        <xdr:sp macro="" textlink="">
          <xdr:nvSpPr>
            <xdr:cNvPr id="8199" name="Picture 1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53</xdr:row>
          <xdr:rowOff>28575</xdr:rowOff>
        </xdr:from>
        <xdr:to>
          <xdr:col>4</xdr:col>
          <xdr:colOff>66675</xdr:colOff>
          <xdr:row>53</xdr:row>
          <xdr:rowOff>142875</xdr:rowOff>
        </xdr:to>
        <xdr:sp macro="" textlink="">
          <xdr:nvSpPr>
            <xdr:cNvPr id="8200" name="Picture 2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11</xdr:row>
      <xdr:rowOff>28575</xdr:rowOff>
    </xdr:from>
    <xdr:to>
      <xdr:col>5</xdr:col>
      <xdr:colOff>228600</xdr:colOff>
      <xdr:row>12</xdr:row>
      <xdr:rowOff>133350</xdr:rowOff>
    </xdr:to>
    <xdr:sp macro="" textlink="">
      <xdr:nvSpPr>
        <xdr:cNvPr id="9284" name="AutoShape 3"/>
        <xdr:cNvSpPr>
          <a:spLocks/>
        </xdr:cNvSpPr>
      </xdr:nvSpPr>
      <xdr:spPr bwMode="auto">
        <a:xfrm rot="10800000">
          <a:off x="2686050" y="1838325"/>
          <a:ext cx="209550" cy="266700"/>
        </a:xfrm>
        <a:prstGeom prst="rightBrace">
          <a:avLst>
            <a:gd name="adj1" fmla="val 23687"/>
            <a:gd name="adj2" fmla="val 47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12</xdr:row>
      <xdr:rowOff>28575</xdr:rowOff>
    </xdr:from>
    <xdr:to>
      <xdr:col>2</xdr:col>
      <xdr:colOff>419100</xdr:colOff>
      <xdr:row>12</xdr:row>
      <xdr:rowOff>28575</xdr:rowOff>
    </xdr:to>
    <xdr:sp macro="" textlink="">
      <xdr:nvSpPr>
        <xdr:cNvPr id="9285" name="Line 4"/>
        <xdr:cNvSpPr>
          <a:spLocks noChangeShapeType="1"/>
        </xdr:cNvSpPr>
      </xdr:nvSpPr>
      <xdr:spPr bwMode="auto">
        <a:xfrm>
          <a:off x="1381125" y="20002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10</xdr:row>
      <xdr:rowOff>123825</xdr:rowOff>
    </xdr:from>
    <xdr:to>
      <xdr:col>10</xdr:col>
      <xdr:colOff>19050</xdr:colOff>
      <xdr:row>12</xdr:row>
      <xdr:rowOff>114300</xdr:rowOff>
    </xdr:to>
    <xdr:sp macro="" textlink="">
      <xdr:nvSpPr>
        <xdr:cNvPr id="9286" name="AutoShape 8"/>
        <xdr:cNvSpPr>
          <a:spLocks/>
        </xdr:cNvSpPr>
      </xdr:nvSpPr>
      <xdr:spPr bwMode="auto">
        <a:xfrm>
          <a:off x="5010150" y="1762125"/>
          <a:ext cx="247650" cy="323850"/>
        </a:xfrm>
        <a:prstGeom prst="rightBrace">
          <a:avLst>
            <a:gd name="adj1" fmla="val 0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103</xdr:row>
          <xdr:rowOff>152400</xdr:rowOff>
        </xdr:from>
        <xdr:to>
          <xdr:col>5</xdr:col>
          <xdr:colOff>180975</xdr:colOff>
          <xdr:row>104</xdr:row>
          <xdr:rowOff>152400</xdr:rowOff>
        </xdr:to>
        <xdr:sp macro="" textlink="">
          <xdr:nvSpPr>
            <xdr:cNvPr id="9235" name="Picture 7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104</xdr:row>
          <xdr:rowOff>9525</xdr:rowOff>
        </xdr:from>
        <xdr:to>
          <xdr:col>8</xdr:col>
          <xdr:colOff>228600</xdr:colOff>
          <xdr:row>105</xdr:row>
          <xdr:rowOff>0</xdr:rowOff>
        </xdr:to>
        <xdr:sp macro="" textlink="">
          <xdr:nvSpPr>
            <xdr:cNvPr id="9262" name="Picture 7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</xdr:row>
          <xdr:rowOff>28575</xdr:rowOff>
        </xdr:from>
        <xdr:to>
          <xdr:col>14</xdr:col>
          <xdr:colOff>400050</xdr:colOff>
          <xdr:row>7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>
                <a:alpha val="32001"/>
              </a:srgbClr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167</xdr:row>
      <xdr:rowOff>47625</xdr:rowOff>
    </xdr:from>
    <xdr:to>
      <xdr:col>21</xdr:col>
      <xdr:colOff>304800</xdr:colOff>
      <xdr:row>169</xdr:row>
      <xdr:rowOff>9525</xdr:rowOff>
    </xdr:to>
    <xdr:sp macro="" textlink="">
      <xdr:nvSpPr>
        <xdr:cNvPr id="10272" name="Line 14"/>
        <xdr:cNvSpPr>
          <a:spLocks noChangeShapeType="1"/>
        </xdr:cNvSpPr>
      </xdr:nvSpPr>
      <xdr:spPr bwMode="auto">
        <a:xfrm>
          <a:off x="11430000" y="2718435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224</xdr:row>
      <xdr:rowOff>0</xdr:rowOff>
    </xdr:from>
    <xdr:to>
      <xdr:col>15</xdr:col>
      <xdr:colOff>0</xdr:colOff>
      <xdr:row>230</xdr:row>
      <xdr:rowOff>114300</xdr:rowOff>
    </xdr:to>
    <xdr:sp macro="" textlink="">
      <xdr:nvSpPr>
        <xdr:cNvPr id="10273" name="Line 18"/>
        <xdr:cNvSpPr>
          <a:spLocks noChangeShapeType="1"/>
        </xdr:cNvSpPr>
      </xdr:nvSpPr>
      <xdr:spPr bwMode="auto">
        <a:xfrm flipH="1">
          <a:off x="5334000" y="36509325"/>
          <a:ext cx="2228850" cy="10858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ab.wa.gov/grants/OnLineForms/crab_calcgraph.pdf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B1:AY521"/>
  <sheetViews>
    <sheetView showGridLines="0" topLeftCell="B4" zoomScale="87" zoomScaleNormal="87" workbookViewId="0">
      <selection activeCell="E8" sqref="E8:F8"/>
    </sheetView>
  </sheetViews>
  <sheetFormatPr defaultColWidth="0" defaultRowHeight="12.75" zeroHeight="1" x14ac:dyDescent="0.2"/>
  <cols>
    <col min="1" max="1" width="4.5703125" style="273" customWidth="1"/>
    <col min="2" max="2" width="5.28515625" style="273" customWidth="1"/>
    <col min="3" max="3" width="4.28515625" style="273" customWidth="1"/>
    <col min="4" max="15" width="7.5703125" style="273" customWidth="1"/>
    <col min="16" max="17" width="7.7109375" style="273" hidden="1" customWidth="1"/>
    <col min="18" max="18" width="6.5703125" style="273" hidden="1" customWidth="1"/>
    <col min="19" max="19" width="5.85546875" style="273" hidden="1" customWidth="1"/>
    <col min="20" max="20" width="5.28515625" style="273" hidden="1" customWidth="1"/>
    <col min="21" max="21" width="5" style="273" hidden="1" customWidth="1"/>
    <col min="22" max="33" width="7.42578125" style="273" hidden="1" customWidth="1"/>
    <col min="34" max="34" width="6.28515625" style="273" hidden="1" customWidth="1"/>
    <col min="35" max="35" width="8.42578125" style="273" hidden="1" customWidth="1"/>
    <col min="36" max="16384" width="0" style="273" hidden="1"/>
  </cols>
  <sheetData>
    <row r="1" spans="2:31" hidden="1" x14ac:dyDescent="0.2"/>
    <row r="2" spans="2:31" hidden="1" x14ac:dyDescent="0.2"/>
    <row r="3" spans="2:31" ht="12.75" customHeight="1" x14ac:dyDescent="0.25">
      <c r="B3" s="2"/>
      <c r="C3" s="2"/>
      <c r="D3" s="2"/>
      <c r="E3" s="2"/>
      <c r="F3" s="2"/>
      <c r="G3" s="1"/>
      <c r="H3" s="1"/>
      <c r="I3" s="1"/>
      <c r="J3" s="1"/>
      <c r="K3" s="505" t="s">
        <v>517</v>
      </c>
      <c r="L3" s="505"/>
      <c r="M3" s="505"/>
      <c r="N3" s="505"/>
      <c r="O3" s="1"/>
      <c r="R3" s="274"/>
      <c r="S3" s="275"/>
      <c r="AB3" s="276"/>
      <c r="AE3" s="277"/>
    </row>
    <row r="4" spans="2:31" ht="12.75" customHeight="1" x14ac:dyDescent="0.2">
      <c r="B4" s="2" t="s">
        <v>1</v>
      </c>
      <c r="C4" s="2"/>
      <c r="D4" s="1"/>
      <c r="E4" s="507" t="s">
        <v>15</v>
      </c>
      <c r="F4" s="508"/>
      <c r="G4" s="508"/>
      <c r="H4" s="509"/>
      <c r="I4" s="1"/>
      <c r="J4" s="1"/>
      <c r="K4" s="505"/>
      <c r="L4" s="505"/>
      <c r="M4" s="505"/>
      <c r="N4" s="505"/>
      <c r="O4" s="1"/>
      <c r="R4" s="278"/>
      <c r="S4" s="279"/>
      <c r="T4" s="279"/>
      <c r="U4" s="279"/>
      <c r="V4" s="279"/>
      <c r="W4" s="279"/>
      <c r="X4" s="279"/>
      <c r="AB4" s="276"/>
      <c r="AE4" s="280"/>
    </row>
    <row r="5" spans="2:31" ht="12.75" customHeight="1" x14ac:dyDescent="0.2">
      <c r="B5" s="2" t="s">
        <v>3</v>
      </c>
      <c r="C5" s="2"/>
      <c r="D5" s="1"/>
      <c r="E5" s="507" t="s">
        <v>15</v>
      </c>
      <c r="F5" s="508"/>
      <c r="G5" s="508"/>
      <c r="H5" s="508"/>
      <c r="I5" s="509"/>
      <c r="J5" s="1"/>
      <c r="K5" s="506" t="s">
        <v>499</v>
      </c>
      <c r="L5" s="506"/>
      <c r="M5" s="506"/>
      <c r="N5" s="506"/>
      <c r="O5" s="1"/>
      <c r="R5" s="278"/>
      <c r="S5" s="279"/>
      <c r="T5" s="279"/>
      <c r="U5" s="279"/>
      <c r="V5" s="279"/>
      <c r="W5" s="279"/>
      <c r="X5" s="279"/>
      <c r="AB5" s="276"/>
      <c r="AE5" s="281"/>
    </row>
    <row r="6" spans="2:31" ht="12.75" customHeight="1" x14ac:dyDescent="0.2">
      <c r="B6" s="129" t="s">
        <v>164</v>
      </c>
      <c r="C6" s="251"/>
      <c r="D6" s="251"/>
      <c r="E6" s="30"/>
      <c r="F6" s="129" t="s">
        <v>305</v>
      </c>
      <c r="G6" s="251"/>
      <c r="H6" s="251"/>
      <c r="I6" s="251"/>
      <c r="J6" s="1"/>
      <c r="K6" s="506"/>
      <c r="L6" s="506"/>
      <c r="M6" s="506"/>
      <c r="N6" s="506"/>
      <c r="O6" s="1"/>
    </row>
    <row r="7" spans="2:31" ht="12.75" customHeight="1" x14ac:dyDescent="0.2">
      <c r="B7" s="2"/>
      <c r="C7" s="2"/>
      <c r="D7" s="1"/>
      <c r="E7" s="46"/>
      <c r="F7" s="46"/>
      <c r="G7" s="3"/>
      <c r="H7" s="1"/>
      <c r="I7" s="1"/>
      <c r="J7" s="1"/>
      <c r="K7" s="492"/>
      <c r="L7" s="493"/>
      <c r="M7" s="493"/>
      <c r="N7" s="493"/>
      <c r="O7" s="1"/>
    </row>
    <row r="8" spans="2:31" ht="12.75" customHeight="1" x14ac:dyDescent="0.2">
      <c r="B8" s="2"/>
      <c r="C8" s="2"/>
      <c r="D8" s="1"/>
      <c r="E8" s="504"/>
      <c r="F8" s="504"/>
      <c r="G8" s="3"/>
      <c r="H8" s="1"/>
      <c r="I8" s="1"/>
      <c r="J8" s="1"/>
      <c r="K8" s="1"/>
      <c r="L8" s="1"/>
      <c r="M8" s="1"/>
      <c r="N8" s="1"/>
      <c r="O8" s="1"/>
    </row>
    <row r="9" spans="2:31" x14ac:dyDescent="0.2">
      <c r="B9" s="1"/>
      <c r="C9" s="1"/>
      <c r="D9" s="47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31" x14ac:dyDescent="0.2">
      <c r="B10" s="49"/>
      <c r="C10" s="8"/>
      <c r="D10" s="50"/>
      <c r="E10" s="8"/>
      <c r="F10" s="8"/>
      <c r="G10" s="8"/>
      <c r="H10" s="8"/>
      <c r="I10" s="8"/>
      <c r="J10" s="8"/>
      <c r="K10" s="8"/>
      <c r="L10" s="8"/>
      <c r="M10" s="8"/>
      <c r="N10" s="8"/>
      <c r="O10" s="51"/>
    </row>
    <row r="11" spans="2:31" x14ac:dyDescent="0.2">
      <c r="B11" s="52"/>
      <c r="C11" s="50"/>
      <c r="D11" s="50"/>
      <c r="E11" s="50"/>
      <c r="F11" s="50"/>
      <c r="G11" s="35"/>
      <c r="H11" s="53" t="s">
        <v>304</v>
      </c>
      <c r="I11" s="50"/>
      <c r="J11" s="50"/>
      <c r="K11" s="50"/>
      <c r="L11" s="50"/>
      <c r="M11" s="50"/>
      <c r="N11" s="35"/>
      <c r="O11" s="54"/>
    </row>
    <row r="12" spans="2:31" x14ac:dyDescent="0.2">
      <c r="B12" s="9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35"/>
      <c r="O12" s="54"/>
    </row>
    <row r="13" spans="2:31" x14ac:dyDescent="0.2">
      <c r="B13" s="9"/>
      <c r="C13" s="2"/>
      <c r="D13" s="5"/>
      <c r="E13" s="5"/>
      <c r="F13" s="5"/>
      <c r="G13" s="3" t="s">
        <v>74</v>
      </c>
      <c r="H13" s="35" t="s">
        <v>4</v>
      </c>
      <c r="I13" s="35"/>
      <c r="J13" s="35"/>
      <c r="K13" s="35"/>
      <c r="L13" s="35"/>
      <c r="M13" s="3" t="s">
        <v>74</v>
      </c>
      <c r="N13" s="35" t="s">
        <v>4</v>
      </c>
      <c r="O13" s="54"/>
    </row>
    <row r="14" spans="2:31" x14ac:dyDescent="0.2">
      <c r="B14" s="9"/>
      <c r="C14" s="2"/>
      <c r="D14" s="5"/>
      <c r="E14" s="5"/>
      <c r="F14" s="5"/>
      <c r="G14" s="11" t="s">
        <v>5</v>
      </c>
      <c r="H14" s="55" t="s">
        <v>5</v>
      </c>
      <c r="I14" s="55"/>
      <c r="J14" s="55"/>
      <c r="K14" s="55"/>
      <c r="L14" s="55"/>
      <c r="M14" s="11" t="s">
        <v>5</v>
      </c>
      <c r="N14" s="55" t="s">
        <v>5</v>
      </c>
      <c r="O14" s="54"/>
    </row>
    <row r="15" spans="2:31" x14ac:dyDescent="0.2">
      <c r="B15" s="9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35"/>
      <c r="O15" s="54"/>
    </row>
    <row r="16" spans="2:31" x14ac:dyDescent="0.2">
      <c r="B16" s="56"/>
      <c r="C16" s="511" t="s">
        <v>6</v>
      </c>
      <c r="D16" s="511"/>
      <c r="E16" s="511"/>
      <c r="F16" s="511"/>
      <c r="G16" s="59">
        <v>10</v>
      </c>
      <c r="H16" s="35" t="str">
        <f>'Traffic &amp; Accidents'!J37</f>
        <v/>
      </c>
      <c r="I16" s="35"/>
      <c r="J16" s="512" t="s">
        <v>306</v>
      </c>
      <c r="K16" s="512"/>
      <c r="L16" s="2"/>
      <c r="M16" s="2"/>
      <c r="N16" s="60"/>
      <c r="O16" s="54"/>
    </row>
    <row r="17" spans="2:16" x14ac:dyDescent="0.2">
      <c r="B17" s="56"/>
      <c r="C17" s="50"/>
      <c r="D17" s="5"/>
      <c r="E17" s="2"/>
      <c r="F17" s="58"/>
      <c r="G17" s="59"/>
      <c r="H17" s="35"/>
      <c r="I17" s="50"/>
      <c r="J17" s="2" t="s">
        <v>307</v>
      </c>
      <c r="K17" s="2"/>
      <c r="L17" s="2"/>
      <c r="M17" s="3">
        <v>30</v>
      </c>
      <c r="N17" s="35">
        <f>IF('Traffic &amp; Accidents'!G13="",0,30)</f>
        <v>0</v>
      </c>
      <c r="O17" s="54"/>
    </row>
    <row r="18" spans="2:16" x14ac:dyDescent="0.2">
      <c r="B18" s="56"/>
      <c r="C18" s="511" t="s">
        <v>7</v>
      </c>
      <c r="D18" s="511"/>
      <c r="E18" s="511"/>
      <c r="F18" s="511"/>
      <c r="G18" s="61">
        <v>10</v>
      </c>
      <c r="H18" s="62">
        <f>'Traffic &amp; Accidents'!K58</f>
        <v>0</v>
      </c>
      <c r="I18" s="35"/>
      <c r="J18" s="80"/>
      <c r="K18" s="80"/>
      <c r="L18" s="192"/>
      <c r="M18" s="193"/>
      <c r="N18" s="193"/>
      <c r="O18" s="54"/>
    </row>
    <row r="19" spans="2:16" ht="12.75" customHeight="1" x14ac:dyDescent="0.2">
      <c r="B19" s="56"/>
      <c r="C19" s="57"/>
      <c r="D19" s="2"/>
      <c r="E19" s="2"/>
      <c r="F19" s="63"/>
      <c r="G19" s="64">
        <f>SUM(G16,G18)</f>
        <v>20</v>
      </c>
      <c r="H19" s="65">
        <f>ROUND(SUM(H16,H18),2)</f>
        <v>0</v>
      </c>
      <c r="I19" s="35"/>
      <c r="J19" s="50"/>
      <c r="K19" s="2"/>
      <c r="L19" s="63"/>
      <c r="M19" s="64">
        <v>30</v>
      </c>
      <c r="N19" s="64">
        <f>ROUND(SUM(N17:N18),2)</f>
        <v>0</v>
      </c>
      <c r="O19" s="54"/>
    </row>
    <row r="20" spans="2:16" ht="12.75" customHeight="1" x14ac:dyDescent="0.2">
      <c r="B20" s="56"/>
      <c r="C20" s="50"/>
      <c r="D20" s="2"/>
      <c r="E20" s="2"/>
      <c r="F20" s="5"/>
      <c r="G20" s="3"/>
      <c r="H20" s="5"/>
      <c r="I20" s="5"/>
      <c r="J20" s="5"/>
      <c r="K20" s="5"/>
      <c r="L20" s="5"/>
      <c r="M20" s="3"/>
      <c r="N20" s="35"/>
      <c r="O20" s="54"/>
    </row>
    <row r="21" spans="2:16" x14ac:dyDescent="0.2">
      <c r="B21" s="56"/>
      <c r="C21" s="511" t="s">
        <v>308</v>
      </c>
      <c r="D21" s="511"/>
      <c r="E21" s="511"/>
      <c r="F21" s="55"/>
      <c r="G21" s="1"/>
      <c r="H21" s="1"/>
      <c r="I21" s="5"/>
      <c r="J21" s="511" t="s">
        <v>309</v>
      </c>
      <c r="K21" s="511"/>
      <c r="L21" s="5"/>
      <c r="M21" s="2"/>
      <c r="N21" s="5"/>
      <c r="O21" s="66"/>
    </row>
    <row r="22" spans="2:16" x14ac:dyDescent="0.2">
      <c r="B22" s="56"/>
      <c r="C22" s="67" t="s">
        <v>310</v>
      </c>
      <c r="D22" s="5"/>
      <c r="E22" s="1"/>
      <c r="F22" s="1"/>
      <c r="G22" s="3">
        <v>20</v>
      </c>
      <c r="H22" s="42">
        <f>Structure!K13</f>
        <v>0</v>
      </c>
      <c r="I22" s="35"/>
      <c r="J22" s="50" t="s">
        <v>8</v>
      </c>
      <c r="K22" s="1"/>
      <c r="L22" s="2"/>
      <c r="M22" s="68">
        <v>5</v>
      </c>
      <c r="N22" s="69">
        <f>IF(SUM(Geometry!B106,Geometry!G106)&gt;5,5,SUM(Geometry!B106,Geometry!G106))</f>
        <v>0</v>
      </c>
      <c r="O22" s="66"/>
    </row>
    <row r="23" spans="2:16" ht="12.75" customHeight="1" x14ac:dyDescent="0.2">
      <c r="B23" s="56"/>
      <c r="C23" s="67" t="s">
        <v>311</v>
      </c>
      <c r="D23" s="5"/>
      <c r="E23" s="1"/>
      <c r="F23" s="1"/>
      <c r="G23" s="15">
        <v>10</v>
      </c>
      <c r="H23" s="70">
        <f>IF(Structure!G17&gt;10,10,Structure!G17)</f>
        <v>0</v>
      </c>
      <c r="I23" s="35"/>
      <c r="J23" s="50" t="s">
        <v>9</v>
      </c>
      <c r="K23" s="1"/>
      <c r="L23" s="2"/>
      <c r="M23" s="3">
        <v>5</v>
      </c>
      <c r="N23" s="71">
        <f>Geometry!L106</f>
        <v>0</v>
      </c>
      <c r="O23" s="54"/>
    </row>
    <row r="24" spans="2:16" ht="13.5" customHeight="1" x14ac:dyDescent="0.2">
      <c r="B24" s="52"/>
      <c r="C24" s="5"/>
      <c r="D24" s="5"/>
      <c r="E24" s="1"/>
      <c r="F24" s="1"/>
      <c r="G24" s="64">
        <f>SUM(G22,G23)</f>
        <v>30</v>
      </c>
      <c r="H24" s="195">
        <f>SUM(H22:H23)</f>
        <v>0</v>
      </c>
      <c r="I24" s="35"/>
      <c r="J24" s="50" t="s">
        <v>10</v>
      </c>
      <c r="K24" s="50"/>
      <c r="L24" s="5"/>
      <c r="M24" s="15">
        <v>10</v>
      </c>
      <c r="N24" s="72">
        <f>Geometry!M62</f>
        <v>0</v>
      </c>
      <c r="O24" s="54"/>
    </row>
    <row r="25" spans="2:16" ht="14.25" customHeight="1" x14ac:dyDescent="0.2">
      <c r="B25" s="56"/>
      <c r="C25" s="1"/>
      <c r="D25" s="1"/>
      <c r="E25" s="1"/>
      <c r="F25" s="1"/>
      <c r="G25" s="1"/>
      <c r="H25" s="1"/>
      <c r="I25" s="35"/>
      <c r="J25" s="50"/>
      <c r="K25" s="50"/>
      <c r="L25" s="5"/>
      <c r="M25" s="73">
        <v>20</v>
      </c>
      <c r="N25" s="74">
        <f>ROUND(SUM(N22:N24),2)</f>
        <v>0</v>
      </c>
      <c r="O25" s="66"/>
    </row>
    <row r="26" spans="2:16" x14ac:dyDescent="0.2">
      <c r="B26" s="56"/>
      <c r="C26" s="1"/>
      <c r="D26" s="1"/>
      <c r="E26" s="1"/>
      <c r="F26" s="1"/>
      <c r="G26" s="1"/>
      <c r="H26" s="1"/>
      <c r="I26" s="35"/>
      <c r="J26" s="1"/>
      <c r="K26" s="1"/>
      <c r="L26" s="1"/>
      <c r="M26" s="1"/>
      <c r="N26" s="1"/>
      <c r="O26" s="10"/>
    </row>
    <row r="27" spans="2:16" x14ac:dyDescent="0.2">
      <c r="B27" s="56"/>
      <c r="C27" s="511" t="s">
        <v>312</v>
      </c>
      <c r="D27" s="511"/>
      <c r="E27" s="511"/>
      <c r="F27" s="1"/>
      <c r="G27" s="3"/>
      <c r="H27" s="5"/>
      <c r="I27" s="2"/>
      <c r="J27" s="1"/>
      <c r="K27" s="1"/>
      <c r="L27" s="1"/>
      <c r="M27" s="1"/>
      <c r="N27" s="1"/>
      <c r="O27" s="40"/>
    </row>
    <row r="28" spans="2:16" x14ac:dyDescent="0.2">
      <c r="B28" s="56"/>
      <c r="C28" s="75" t="s">
        <v>313</v>
      </c>
      <c r="D28" s="2"/>
      <c r="E28" s="2"/>
      <c r="F28" s="5"/>
      <c r="G28" s="3"/>
      <c r="H28" s="5"/>
      <c r="I28" s="35"/>
      <c r="J28" s="1"/>
      <c r="K28" s="1"/>
      <c r="L28" s="1"/>
      <c r="M28" s="1"/>
      <c r="N28" s="1"/>
      <c r="O28" s="40"/>
    </row>
    <row r="29" spans="2:16" ht="14.25" customHeight="1" x14ac:dyDescent="0.2">
      <c r="B29" s="56"/>
      <c r="C29" s="1"/>
      <c r="D29" s="76" t="s">
        <v>314</v>
      </c>
      <c r="E29" s="2"/>
      <c r="F29" s="58"/>
      <c r="G29" s="3">
        <v>3</v>
      </c>
      <c r="H29" s="35" t="str">
        <f>IF('3R Checklist'!F12&lt;&gt;"",3,"")</f>
        <v/>
      </c>
      <c r="I29" s="77" t="s">
        <v>315</v>
      </c>
      <c r="J29" s="1"/>
      <c r="K29" s="1"/>
      <c r="L29" s="1"/>
      <c r="M29" s="1"/>
      <c r="N29" s="1"/>
      <c r="O29" s="40"/>
      <c r="P29" s="274"/>
    </row>
    <row r="30" spans="2:16" ht="12.75" customHeight="1" x14ac:dyDescent="0.2">
      <c r="B30" s="9"/>
      <c r="C30" s="1"/>
      <c r="D30" s="78" t="s">
        <v>316</v>
      </c>
      <c r="E30" s="2"/>
      <c r="F30" s="5"/>
      <c r="G30" s="35">
        <v>2</v>
      </c>
      <c r="H30" s="35" t="str">
        <f>IF('3R Checklist'!F17&lt;&gt;"",2,"")</f>
        <v/>
      </c>
      <c r="I30" s="77" t="s">
        <v>315</v>
      </c>
      <c r="J30" s="1"/>
      <c r="K30" s="1"/>
      <c r="L30" s="1"/>
      <c r="M30" s="1"/>
      <c r="N30" s="1"/>
      <c r="O30" s="40"/>
    </row>
    <row r="31" spans="2:16" x14ac:dyDescent="0.2">
      <c r="B31" s="9"/>
      <c r="C31" s="80"/>
      <c r="D31" s="76" t="s">
        <v>318</v>
      </c>
      <c r="E31" s="80"/>
      <c r="F31" s="1"/>
      <c r="G31" s="15">
        <v>5</v>
      </c>
      <c r="H31" s="35" t="str">
        <f>IF('3R Checklist'!F18&lt;&gt;"",5,"")</f>
        <v/>
      </c>
      <c r="I31" s="77" t="s">
        <v>315</v>
      </c>
      <c r="J31" s="1"/>
      <c r="K31" s="1"/>
      <c r="L31" s="1"/>
      <c r="M31" s="1"/>
      <c r="N31" s="1"/>
      <c r="O31" s="40"/>
    </row>
    <row r="32" spans="2:16" x14ac:dyDescent="0.2">
      <c r="B32" s="9"/>
      <c r="C32" s="1"/>
      <c r="D32" s="1"/>
      <c r="E32" s="1"/>
      <c r="F32" s="194" t="s">
        <v>484</v>
      </c>
      <c r="G32" s="64">
        <v>10</v>
      </c>
      <c r="H32" s="64">
        <f>ROUND(SUM(H29:H31),2)</f>
        <v>0</v>
      </c>
      <c r="I32" s="1"/>
      <c r="J32" s="1"/>
      <c r="K32" s="1"/>
      <c r="L32" s="1"/>
      <c r="M32" s="1"/>
      <c r="N32" s="1"/>
      <c r="O32" s="40"/>
    </row>
    <row r="33" spans="2:15" x14ac:dyDescent="0.2">
      <c r="B33" s="9"/>
      <c r="C33" s="1"/>
      <c r="D33" s="1"/>
      <c r="E33" s="1"/>
      <c r="F33" s="194"/>
      <c r="G33" s="64"/>
      <c r="H33" s="64"/>
      <c r="I33" s="1"/>
      <c r="J33" s="1"/>
      <c r="K33" s="1"/>
      <c r="L33" s="1"/>
      <c r="M33" s="1"/>
      <c r="N33" s="1"/>
      <c r="O33" s="40"/>
    </row>
    <row r="34" spans="2:15" x14ac:dyDescent="0.2">
      <c r="B34" s="9"/>
      <c r="C34" s="75" t="s">
        <v>319</v>
      </c>
      <c r="D34" s="1"/>
      <c r="E34" s="1"/>
      <c r="F34" s="58"/>
      <c r="G34" s="7"/>
      <c r="H34" s="64"/>
      <c r="I34" s="1"/>
      <c r="J34" s="1"/>
      <c r="K34" s="1"/>
      <c r="L34" s="1"/>
      <c r="M34" s="1"/>
      <c r="N34" s="1"/>
      <c r="O34" s="40"/>
    </row>
    <row r="35" spans="2:15" x14ac:dyDescent="0.2">
      <c r="B35" s="56"/>
      <c r="C35" s="1"/>
      <c r="D35" s="81">
        <v>1</v>
      </c>
      <c r="E35" s="82" t="s">
        <v>320</v>
      </c>
      <c r="F35" s="2"/>
      <c r="G35" s="1"/>
      <c r="H35" s="1"/>
      <c r="I35" s="1"/>
      <c r="J35" s="1"/>
      <c r="K35" s="1"/>
      <c r="L35" s="1"/>
      <c r="M35" s="1"/>
      <c r="N35" s="1"/>
      <c r="O35" s="66"/>
    </row>
    <row r="36" spans="2:15" x14ac:dyDescent="0.2">
      <c r="B36" s="56"/>
      <c r="C36" s="1"/>
      <c r="D36" s="81">
        <v>2</v>
      </c>
      <c r="E36" s="82" t="s">
        <v>322</v>
      </c>
      <c r="F36" s="2"/>
      <c r="G36" s="1"/>
      <c r="H36" s="1"/>
      <c r="I36" s="1"/>
      <c r="J36" s="1"/>
      <c r="K36" s="1"/>
      <c r="L36" s="1"/>
      <c r="M36" s="1"/>
      <c r="N36" s="1"/>
      <c r="O36" s="66"/>
    </row>
    <row r="37" spans="2:15" x14ac:dyDescent="0.2">
      <c r="B37" s="56"/>
      <c r="C37" s="1"/>
      <c r="D37" s="81">
        <v>3</v>
      </c>
      <c r="E37" s="82" t="s">
        <v>323</v>
      </c>
      <c r="F37" s="2"/>
      <c r="G37" s="1"/>
      <c r="H37" s="1"/>
      <c r="I37" s="1"/>
      <c r="J37" s="1"/>
      <c r="K37" s="1"/>
      <c r="L37" s="1"/>
      <c r="M37" s="1"/>
      <c r="N37" s="1"/>
      <c r="O37" s="66"/>
    </row>
    <row r="38" spans="2:15" ht="12.75" customHeight="1" x14ac:dyDescent="0.2">
      <c r="B38" s="56"/>
      <c r="C38" s="1"/>
      <c r="D38" s="1"/>
      <c r="E38" s="83" t="s">
        <v>324</v>
      </c>
      <c r="F38" s="2"/>
      <c r="G38" s="1"/>
      <c r="H38" s="1"/>
      <c r="I38" s="1"/>
      <c r="J38" s="1"/>
      <c r="K38" s="1"/>
      <c r="L38" s="1"/>
      <c r="M38" s="1"/>
      <c r="N38" s="1"/>
      <c r="O38" s="66"/>
    </row>
    <row r="39" spans="2:15" ht="12.75" customHeight="1" x14ac:dyDescent="0.2">
      <c r="B39" s="56"/>
      <c r="C39" s="1"/>
      <c r="D39" s="84" t="s">
        <v>325</v>
      </c>
      <c r="E39" s="2"/>
      <c r="F39" s="58"/>
      <c r="G39" s="3"/>
      <c r="H39" s="84" t="s">
        <v>326</v>
      </c>
      <c r="I39" s="35"/>
      <c r="J39" s="1"/>
      <c r="K39" s="1"/>
      <c r="L39" s="1"/>
      <c r="M39" s="1"/>
      <c r="N39" s="1"/>
      <c r="O39" s="66"/>
    </row>
    <row r="40" spans="2:15" ht="15.75" customHeight="1" x14ac:dyDescent="0.2">
      <c r="B40" s="56"/>
      <c r="C40" s="1"/>
      <c r="D40" s="2" t="s">
        <v>327</v>
      </c>
      <c r="E40" s="80"/>
      <c r="F40" s="58"/>
      <c r="G40" s="58"/>
      <c r="H40" s="85">
        <f>'3R Checklist'!F32</f>
        <v>0</v>
      </c>
      <c r="I40" s="77" t="s">
        <v>328</v>
      </c>
      <c r="J40" s="5"/>
      <c r="K40" s="5"/>
      <c r="L40" s="5"/>
      <c r="M40" s="2"/>
      <c r="N40" s="50"/>
      <c r="O40" s="54"/>
    </row>
    <row r="41" spans="2:15" x14ac:dyDescent="0.2">
      <c r="B41" s="56"/>
      <c r="C41" s="1"/>
      <c r="D41" s="50" t="s">
        <v>329</v>
      </c>
      <c r="E41" s="86"/>
      <c r="F41" s="87"/>
      <c r="G41" s="35"/>
      <c r="H41" s="85">
        <f>'3R Checklist'!F33</f>
        <v>0</v>
      </c>
      <c r="I41" s="77" t="s">
        <v>330</v>
      </c>
      <c r="J41" s="5"/>
      <c r="K41" s="67"/>
      <c r="L41" s="67"/>
      <c r="M41" s="35"/>
      <c r="N41" s="35"/>
      <c r="O41" s="54"/>
    </row>
    <row r="42" spans="2:15" ht="12.75" customHeight="1" x14ac:dyDescent="0.2">
      <c r="B42" s="9"/>
      <c r="C42" s="1"/>
      <c r="D42" s="34" t="s">
        <v>332</v>
      </c>
      <c r="E42" s="50"/>
      <c r="F42" s="87"/>
      <c r="G42" s="35"/>
      <c r="H42" s="85">
        <f>'3R Checklist'!F34</f>
        <v>0</v>
      </c>
      <c r="I42" s="88" t="s">
        <v>401</v>
      </c>
      <c r="J42" s="2"/>
      <c r="K42" s="50"/>
      <c r="L42" s="89"/>
      <c r="M42" s="34"/>
      <c r="N42" s="90"/>
      <c r="O42" s="54"/>
    </row>
    <row r="43" spans="2:15" x14ac:dyDescent="0.2">
      <c r="B43" s="9"/>
      <c r="C43" s="1"/>
      <c r="D43" s="50" t="s">
        <v>333</v>
      </c>
      <c r="E43" s="50"/>
      <c r="F43" s="87"/>
      <c r="G43" s="35"/>
      <c r="H43" s="85">
        <f>'3R Checklist'!F35</f>
        <v>0</v>
      </c>
      <c r="I43" s="197" t="s">
        <v>485</v>
      </c>
      <c r="J43" s="2"/>
      <c r="K43" s="2"/>
      <c r="L43" s="3"/>
      <c r="M43" s="2"/>
      <c r="N43" s="35"/>
      <c r="O43" s="54"/>
    </row>
    <row r="44" spans="2:15" ht="12.75" customHeight="1" x14ac:dyDescent="0.2">
      <c r="B44" s="9"/>
      <c r="C44" s="1"/>
      <c r="D44" s="36" t="s">
        <v>335</v>
      </c>
      <c r="E44" s="86"/>
      <c r="F44" s="87"/>
      <c r="G44" s="35"/>
      <c r="H44" s="85">
        <f>'3R Checklist'!F36</f>
        <v>0</v>
      </c>
      <c r="I44" s="88" t="s">
        <v>402</v>
      </c>
      <c r="J44" s="2"/>
      <c r="K44" s="2"/>
      <c r="L44" s="3"/>
      <c r="M44" s="35"/>
      <c r="N44" s="35"/>
      <c r="O44" s="54"/>
    </row>
    <row r="45" spans="2:15" ht="12.75" customHeight="1" x14ac:dyDescent="0.2">
      <c r="B45" s="9"/>
      <c r="C45" s="1"/>
      <c r="D45" s="36" t="s">
        <v>336</v>
      </c>
      <c r="E45" s="86"/>
      <c r="F45" s="87"/>
      <c r="G45" s="35"/>
      <c r="H45" s="85">
        <f>'3R Checklist'!F37</f>
        <v>0</v>
      </c>
      <c r="I45" s="88" t="s">
        <v>403</v>
      </c>
      <c r="J45" s="2"/>
      <c r="K45" s="2"/>
      <c r="L45" s="3"/>
      <c r="M45" s="35"/>
      <c r="N45" s="35"/>
      <c r="O45" s="54"/>
    </row>
    <row r="46" spans="2:15" ht="12.75" customHeight="1" x14ac:dyDescent="0.2">
      <c r="B46" s="9"/>
      <c r="C46" s="1"/>
      <c r="D46" s="36" t="s">
        <v>337</v>
      </c>
      <c r="E46" s="34"/>
      <c r="F46" s="67"/>
      <c r="G46" s="35"/>
      <c r="H46" s="85">
        <f>'3R Checklist'!F38</f>
        <v>0</v>
      </c>
      <c r="I46" s="88" t="s">
        <v>338</v>
      </c>
      <c r="J46" s="2"/>
      <c r="K46" s="2"/>
      <c r="L46" s="3"/>
      <c r="M46" s="35"/>
      <c r="N46" s="35"/>
      <c r="O46" s="54"/>
    </row>
    <row r="47" spans="2:15" x14ac:dyDescent="0.2">
      <c r="B47" s="9"/>
      <c r="C47" s="1"/>
      <c r="D47" s="36" t="s">
        <v>339</v>
      </c>
      <c r="E47" s="2"/>
      <c r="F47" s="5"/>
      <c r="G47" s="1"/>
      <c r="H47" s="96">
        <f>'3R Checklist'!F39</f>
        <v>0</v>
      </c>
      <c r="I47" s="88" t="s">
        <v>340</v>
      </c>
      <c r="J47" s="3"/>
      <c r="K47" s="3"/>
      <c r="L47" s="3"/>
      <c r="M47" s="35"/>
      <c r="N47" s="35"/>
      <c r="O47" s="54"/>
    </row>
    <row r="48" spans="2:15" x14ac:dyDescent="0.2">
      <c r="B48" s="56"/>
      <c r="C48" s="1"/>
      <c r="D48" s="36"/>
      <c r="E48" s="1"/>
      <c r="F48" s="1"/>
      <c r="G48" s="13" t="s">
        <v>33</v>
      </c>
      <c r="H48" s="3">
        <f>SUM(H40:H47)</f>
        <v>0</v>
      </c>
      <c r="I48" s="98" t="s">
        <v>486</v>
      </c>
      <c r="J48" s="198" t="str">
        <f>IF('3R RATING SUMMARY'!E6=0,"",ROUND(H48/'3R RATING SUMMARY'!E6,2))</f>
        <v/>
      </c>
      <c r="K48" s="201" t="s">
        <v>487</v>
      </c>
      <c r="L48" s="199" t="e">
        <f>J48/2</f>
        <v>#VALUE!</v>
      </c>
      <c r="M48" s="50" t="s">
        <v>525</v>
      </c>
      <c r="N48" s="196"/>
      <c r="O48" s="100"/>
    </row>
    <row r="49" spans="2:36" ht="12.75" customHeight="1" x14ac:dyDescent="0.2">
      <c r="B49" s="56"/>
      <c r="C49" s="1"/>
      <c r="D49" s="1"/>
      <c r="E49" s="1"/>
      <c r="F49" s="194" t="s">
        <v>483</v>
      </c>
      <c r="G49" s="7">
        <v>20</v>
      </c>
      <c r="H49" s="199" t="e">
        <f>IF(J48/2&gt;20,20,J48/2)</f>
        <v>#VALUE!</v>
      </c>
      <c r="I49" s="98"/>
      <c r="J49" s="1"/>
      <c r="K49" s="200"/>
      <c r="L49" s="200"/>
      <c r="M49" s="1"/>
      <c r="N49" s="102"/>
      <c r="O49" s="54"/>
      <c r="P49" s="282"/>
    </row>
    <row r="50" spans="2:36" ht="12.75" customHeight="1" x14ac:dyDescent="0.2">
      <c r="B50" s="9"/>
      <c r="C50" s="1"/>
      <c r="D50" s="2"/>
      <c r="E50" s="2"/>
      <c r="F50" s="1"/>
      <c r="G50" s="1"/>
      <c r="H50" s="34"/>
      <c r="I50" s="1"/>
      <c r="J50" s="510" t="s">
        <v>488</v>
      </c>
      <c r="K50" s="510"/>
      <c r="L50" s="510"/>
      <c r="M50" s="1"/>
      <c r="N50" s="102"/>
      <c r="O50" s="54"/>
    </row>
    <row r="51" spans="2:36" x14ac:dyDescent="0.2">
      <c r="B51" s="9"/>
      <c r="C51" s="1"/>
      <c r="D51" s="2"/>
      <c r="E51" s="2"/>
      <c r="F51" s="103" t="s">
        <v>342</v>
      </c>
      <c r="G51" s="7">
        <v>30</v>
      </c>
      <c r="H51" s="104" t="e">
        <f>SUM(H32,H49)</f>
        <v>#VALUE!</v>
      </c>
      <c r="I51" s="1"/>
      <c r="J51" s="510"/>
      <c r="K51" s="510"/>
      <c r="L51" s="510"/>
      <c r="M51" s="64"/>
      <c r="N51" s="64"/>
      <c r="O51" s="54"/>
      <c r="P51" s="282"/>
    </row>
    <row r="52" spans="2:36" x14ac:dyDescent="0.2">
      <c r="B52" s="9"/>
      <c r="C52" s="1"/>
      <c r="D52" s="2"/>
      <c r="E52" s="2"/>
      <c r="F52" s="103"/>
      <c r="G52" s="7"/>
      <c r="H52" s="105"/>
      <c r="I52" s="1"/>
      <c r="J52" s="101"/>
      <c r="K52" s="1"/>
      <c r="L52" s="3"/>
      <c r="M52" s="64"/>
      <c r="N52" s="64"/>
      <c r="O52" s="54"/>
    </row>
    <row r="53" spans="2:36" x14ac:dyDescent="0.2">
      <c r="B53" s="9"/>
      <c r="C53" s="2"/>
      <c r="D53" s="1"/>
      <c r="E53" s="2"/>
      <c r="F53" s="5"/>
      <c r="G53" s="3"/>
      <c r="H53" s="2"/>
      <c r="I53" s="2"/>
      <c r="J53" s="101"/>
      <c r="K53" s="2"/>
      <c r="L53" s="2"/>
      <c r="M53" s="3" t="s">
        <v>74</v>
      </c>
      <c r="N53" s="2" t="s">
        <v>4</v>
      </c>
      <c r="O53" s="54"/>
    </row>
    <row r="54" spans="2:36" x14ac:dyDescent="0.2">
      <c r="B54" s="23"/>
      <c r="C54" s="24"/>
      <c r="D54" s="24"/>
      <c r="E54" s="24"/>
      <c r="F54" s="24"/>
      <c r="G54" s="16"/>
      <c r="H54" s="2"/>
      <c r="I54" s="2"/>
      <c r="J54" s="2"/>
      <c r="K54" s="2"/>
      <c r="L54" s="106" t="s">
        <v>11</v>
      </c>
      <c r="M54" s="16">
        <f>SUM(G19,M19,G24,M25,G32,G49)</f>
        <v>130</v>
      </c>
      <c r="N54" s="107">
        <f>IF(H48=0,ROUND(SUM(H19,N19,H24,N25),2),ROUND(SUM(H19,N19,H24,N25,H51),2))</f>
        <v>0</v>
      </c>
      <c r="O54" s="54"/>
    </row>
    <row r="55" spans="2:36" x14ac:dyDescent="0.2">
      <c r="B55" s="10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109"/>
    </row>
    <row r="56" spans="2:36" x14ac:dyDescent="0.2">
      <c r="B56" s="1"/>
      <c r="C56" s="24" t="s">
        <v>12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36" x14ac:dyDescent="0.2">
      <c r="B57" s="1"/>
      <c r="C57" s="2" t="s">
        <v>13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36" x14ac:dyDescent="0.2">
      <c r="B58" s="1"/>
      <c r="C58" s="2" t="s">
        <v>14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36" hidden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36" hidden="1" x14ac:dyDescent="0.2"/>
    <row r="62" spans="2:36" hidden="1" x14ac:dyDescent="0.2"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AJ62" s="281"/>
    </row>
    <row r="63" spans="2:36" hidden="1" x14ac:dyDescent="0.2"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AJ63" s="281"/>
    </row>
    <row r="64" spans="2:36" hidden="1" x14ac:dyDescent="0.2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AJ64" s="281"/>
    </row>
    <row r="65" spans="2:51" hidden="1" x14ac:dyDescent="0.2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AJ65" s="281"/>
    </row>
    <row r="66" spans="2:51" hidden="1" x14ac:dyDescent="0.2"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</row>
    <row r="67" spans="2:51" hidden="1" x14ac:dyDescent="0.2"/>
    <row r="68" spans="2:51" hidden="1" x14ac:dyDescent="0.2"/>
    <row r="69" spans="2:51" hidden="1" x14ac:dyDescent="0.2"/>
    <row r="70" spans="2:51" hidden="1" x14ac:dyDescent="0.2"/>
    <row r="71" spans="2:51" hidden="1" x14ac:dyDescent="0.2"/>
    <row r="72" spans="2:51" hidden="1" x14ac:dyDescent="0.2"/>
    <row r="73" spans="2:51" hidden="1" x14ac:dyDescent="0.2"/>
    <row r="74" spans="2:51" hidden="1" x14ac:dyDescent="0.2"/>
    <row r="75" spans="2:51" hidden="1" x14ac:dyDescent="0.2"/>
    <row r="76" spans="2:51" hidden="1" x14ac:dyDescent="0.2"/>
    <row r="77" spans="2:51" hidden="1" x14ac:dyDescent="0.2"/>
    <row r="78" spans="2:51" hidden="1" x14ac:dyDescent="0.2"/>
    <row r="79" spans="2:51" hidden="1" x14ac:dyDescent="0.2"/>
    <row r="80" spans="2:5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3:36" hidden="1" x14ac:dyDescent="0.2"/>
    <row r="114" spans="3:36" hidden="1" x14ac:dyDescent="0.2"/>
    <row r="115" spans="3:36" hidden="1" x14ac:dyDescent="0.2"/>
    <row r="116" spans="3:36" hidden="1" x14ac:dyDescent="0.2"/>
    <row r="117" spans="3:36" hidden="1" x14ac:dyDescent="0.2"/>
    <row r="118" spans="3:36" hidden="1" x14ac:dyDescent="0.2"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</row>
    <row r="119" spans="3:36" hidden="1" x14ac:dyDescent="0.2"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</row>
    <row r="120" spans="3:36" hidden="1" x14ac:dyDescent="0.2"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</row>
    <row r="121" spans="3:36" hidden="1" x14ac:dyDescent="0.2"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</row>
    <row r="122" spans="3:36" hidden="1" x14ac:dyDescent="0.2"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</row>
    <row r="123" spans="3:36" hidden="1" x14ac:dyDescent="0.2"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</row>
    <row r="124" spans="3:36" hidden="1" x14ac:dyDescent="0.2"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</row>
    <row r="125" spans="3:36" hidden="1" x14ac:dyDescent="0.2"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</row>
    <row r="126" spans="3:36" hidden="1" x14ac:dyDescent="0.2"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</row>
    <row r="127" spans="3:36" hidden="1" x14ac:dyDescent="0.2"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</row>
    <row r="128" spans="3:36" hidden="1" x14ac:dyDescent="0.2"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</row>
    <row r="129" spans="3:36" hidden="1" x14ac:dyDescent="0.2"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</row>
    <row r="130" spans="3:36" hidden="1" x14ac:dyDescent="0.2"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</row>
    <row r="131" spans="3:36" hidden="1" x14ac:dyDescent="0.2"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</row>
    <row r="132" spans="3:36" hidden="1" x14ac:dyDescent="0.2"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</row>
    <row r="133" spans="3:36" hidden="1" x14ac:dyDescent="0.2"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</row>
    <row r="134" spans="3:36" hidden="1" x14ac:dyDescent="0.2"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</row>
    <row r="135" spans="3:36" hidden="1" x14ac:dyDescent="0.2"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</row>
    <row r="136" spans="3:36" hidden="1" x14ac:dyDescent="0.2"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</row>
    <row r="137" spans="3:36" hidden="1" x14ac:dyDescent="0.2"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</row>
    <row r="138" spans="3:36" hidden="1" x14ac:dyDescent="0.2"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</row>
    <row r="139" spans="3:36" hidden="1" x14ac:dyDescent="0.2"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</row>
    <row r="140" spans="3:36" hidden="1" x14ac:dyDescent="0.2"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</row>
    <row r="141" spans="3:36" hidden="1" x14ac:dyDescent="0.2"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</row>
    <row r="142" spans="3:36" hidden="1" x14ac:dyDescent="0.2"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</row>
    <row r="143" spans="3:36" hidden="1" x14ac:dyDescent="0.2"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</row>
    <row r="144" spans="3:36" hidden="1" x14ac:dyDescent="0.2"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</row>
    <row r="145" spans="3:36" hidden="1" x14ac:dyDescent="0.2"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</row>
    <row r="146" spans="3:36" hidden="1" x14ac:dyDescent="0.2"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</row>
    <row r="147" spans="3:36" hidden="1" x14ac:dyDescent="0.2"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</row>
    <row r="148" spans="3:36" hidden="1" x14ac:dyDescent="0.2"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</row>
    <row r="149" spans="3:36" hidden="1" x14ac:dyDescent="0.2"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</row>
    <row r="150" spans="3:36" hidden="1" x14ac:dyDescent="0.2"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</row>
    <row r="151" spans="3:36" hidden="1" x14ac:dyDescent="0.2"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</row>
    <row r="152" spans="3:36" hidden="1" x14ac:dyDescent="0.2"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</row>
    <row r="153" spans="3:36" hidden="1" x14ac:dyDescent="0.2"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</row>
    <row r="154" spans="3:36" hidden="1" x14ac:dyDescent="0.2"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</row>
    <row r="155" spans="3:36" hidden="1" x14ac:dyDescent="0.2"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</row>
    <row r="156" spans="3:36" hidden="1" x14ac:dyDescent="0.2"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</row>
    <row r="157" spans="3:36" hidden="1" x14ac:dyDescent="0.2"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</row>
    <row r="158" spans="3:36" hidden="1" x14ac:dyDescent="0.2"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</row>
    <row r="159" spans="3:36" hidden="1" x14ac:dyDescent="0.2"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</row>
    <row r="160" spans="3:36" hidden="1" x14ac:dyDescent="0.2"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</row>
    <row r="161" spans="3:36" hidden="1" x14ac:dyDescent="0.2"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</row>
    <row r="162" spans="3:36" hidden="1" x14ac:dyDescent="0.2"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</row>
    <row r="163" spans="3:36" hidden="1" x14ac:dyDescent="0.2"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</row>
    <row r="164" spans="3:36" hidden="1" x14ac:dyDescent="0.2"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</row>
    <row r="165" spans="3:36" hidden="1" x14ac:dyDescent="0.2">
      <c r="C165" s="281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</row>
    <row r="166" spans="3:36" hidden="1" x14ac:dyDescent="0.2"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</row>
    <row r="167" spans="3:36" hidden="1" x14ac:dyDescent="0.2"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</row>
    <row r="168" spans="3:36" hidden="1" x14ac:dyDescent="0.2">
      <c r="C168" s="281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</row>
    <row r="169" spans="3:36" hidden="1" x14ac:dyDescent="0.2"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</row>
    <row r="170" spans="3:36" hidden="1" x14ac:dyDescent="0.2"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</row>
    <row r="171" spans="3:36" hidden="1" x14ac:dyDescent="0.2"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</row>
    <row r="172" spans="3:36" hidden="1" x14ac:dyDescent="0.2"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</row>
    <row r="173" spans="3:36" hidden="1" x14ac:dyDescent="0.2"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</row>
    <row r="174" spans="3:36" hidden="1" x14ac:dyDescent="0.2"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</row>
    <row r="175" spans="3:36" hidden="1" x14ac:dyDescent="0.2">
      <c r="C175" s="281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</row>
    <row r="176" spans="3:36" hidden="1" x14ac:dyDescent="0.2">
      <c r="C176" s="281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</row>
    <row r="177" spans="3:36" hidden="1" x14ac:dyDescent="0.2"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</row>
    <row r="178" spans="3:36" hidden="1" x14ac:dyDescent="0.2"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</row>
    <row r="179" spans="3:36" hidden="1" x14ac:dyDescent="0.2">
      <c r="C179" s="281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</row>
    <row r="180" spans="3:36" hidden="1" x14ac:dyDescent="0.2"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</row>
    <row r="181" spans="3:36" hidden="1" x14ac:dyDescent="0.2"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</row>
    <row r="182" spans="3:36" hidden="1" x14ac:dyDescent="0.2"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</row>
    <row r="183" spans="3:36" hidden="1" x14ac:dyDescent="0.2"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</row>
    <row r="184" spans="3:36" hidden="1" x14ac:dyDescent="0.2"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</row>
    <row r="185" spans="3:36" hidden="1" x14ac:dyDescent="0.2"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</row>
    <row r="186" spans="3:36" hidden="1" x14ac:dyDescent="0.2"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</row>
    <row r="187" spans="3:36" hidden="1" x14ac:dyDescent="0.2"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</row>
    <row r="188" spans="3:36" hidden="1" x14ac:dyDescent="0.2"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</row>
    <row r="189" spans="3:36" hidden="1" x14ac:dyDescent="0.2"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</row>
    <row r="190" spans="3:36" hidden="1" x14ac:dyDescent="0.2">
      <c r="C190" s="281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</row>
    <row r="191" spans="3:36" hidden="1" x14ac:dyDescent="0.2"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</row>
    <row r="192" spans="3:36" hidden="1" x14ac:dyDescent="0.2"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</row>
    <row r="193" spans="3:36" hidden="1" x14ac:dyDescent="0.2">
      <c r="C193" s="281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</row>
    <row r="194" spans="3:36" hidden="1" x14ac:dyDescent="0.2">
      <c r="C194" s="281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</row>
    <row r="195" spans="3:36" hidden="1" x14ac:dyDescent="0.2"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</row>
    <row r="196" spans="3:36" hidden="1" x14ac:dyDescent="0.2"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</row>
    <row r="197" spans="3:36" hidden="1" x14ac:dyDescent="0.2"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</row>
    <row r="198" spans="3:36" hidden="1" x14ac:dyDescent="0.2"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</row>
    <row r="199" spans="3:36" hidden="1" x14ac:dyDescent="0.2"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</row>
    <row r="200" spans="3:36" hidden="1" x14ac:dyDescent="0.2"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</row>
    <row r="201" spans="3:36" hidden="1" x14ac:dyDescent="0.2"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</row>
    <row r="202" spans="3:36" hidden="1" x14ac:dyDescent="0.2"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</row>
    <row r="203" spans="3:36" hidden="1" x14ac:dyDescent="0.2"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</row>
    <row r="204" spans="3:36" hidden="1" x14ac:dyDescent="0.2"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</row>
    <row r="205" spans="3:36" hidden="1" x14ac:dyDescent="0.2"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</row>
    <row r="206" spans="3:36" hidden="1" x14ac:dyDescent="0.2"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</row>
    <row r="207" spans="3:36" hidden="1" x14ac:dyDescent="0.2"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</row>
    <row r="208" spans="3:36" hidden="1" x14ac:dyDescent="0.2"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</row>
    <row r="209" spans="3:36" hidden="1" x14ac:dyDescent="0.2"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</row>
    <row r="210" spans="3:36" hidden="1" x14ac:dyDescent="0.2"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</row>
    <row r="211" spans="3:36" hidden="1" x14ac:dyDescent="0.2"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</row>
    <row r="212" spans="3:36" hidden="1" x14ac:dyDescent="0.2"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</row>
    <row r="213" spans="3:36" hidden="1" x14ac:dyDescent="0.2"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</row>
    <row r="214" spans="3:36" hidden="1" x14ac:dyDescent="0.2"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</row>
    <row r="215" spans="3:36" hidden="1" x14ac:dyDescent="0.2"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</row>
    <row r="216" spans="3:36" hidden="1" x14ac:dyDescent="0.2"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</row>
    <row r="217" spans="3:36" hidden="1" x14ac:dyDescent="0.2"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</row>
    <row r="218" spans="3:36" hidden="1" x14ac:dyDescent="0.2"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</row>
    <row r="219" spans="3:36" hidden="1" x14ac:dyDescent="0.2"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</row>
    <row r="220" spans="3:36" hidden="1" x14ac:dyDescent="0.2"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</row>
    <row r="221" spans="3:36" hidden="1" x14ac:dyDescent="0.2"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</row>
    <row r="222" spans="3:36" hidden="1" x14ac:dyDescent="0.2"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</row>
    <row r="223" spans="3:36" hidden="1" x14ac:dyDescent="0.2"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</row>
    <row r="224" spans="3:36" hidden="1" x14ac:dyDescent="0.2"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</row>
    <row r="225" spans="4:36" hidden="1" x14ac:dyDescent="0.2"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</row>
    <row r="226" spans="4:36" hidden="1" x14ac:dyDescent="0.2"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</row>
    <row r="227" spans="4:36" hidden="1" x14ac:dyDescent="0.2"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</row>
    <row r="228" spans="4:36" hidden="1" x14ac:dyDescent="0.2"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</row>
    <row r="229" spans="4:36" hidden="1" x14ac:dyDescent="0.2"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</row>
    <row r="230" spans="4:36" hidden="1" x14ac:dyDescent="0.2"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</row>
    <row r="231" spans="4:36" hidden="1" x14ac:dyDescent="0.2"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</row>
    <row r="232" spans="4:36" hidden="1" x14ac:dyDescent="0.2"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</row>
    <row r="233" spans="4:36" hidden="1" x14ac:dyDescent="0.2"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</row>
    <row r="234" spans="4:36" hidden="1" x14ac:dyDescent="0.2"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</row>
    <row r="235" spans="4:36" hidden="1" x14ac:dyDescent="0.2"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</row>
    <row r="236" spans="4:36" hidden="1" x14ac:dyDescent="0.2"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</row>
    <row r="237" spans="4:36" hidden="1" x14ac:dyDescent="0.2"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</row>
    <row r="238" spans="4:36" hidden="1" x14ac:dyDescent="0.2"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</row>
    <row r="239" spans="4:36" hidden="1" x14ac:dyDescent="0.2"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</row>
    <row r="240" spans="4:36" hidden="1" x14ac:dyDescent="0.2"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</row>
    <row r="241" spans="4:36" hidden="1" x14ac:dyDescent="0.2"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</row>
    <row r="242" spans="4:36" hidden="1" x14ac:dyDescent="0.2"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</row>
    <row r="243" spans="4:36" hidden="1" x14ac:dyDescent="0.2"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</row>
    <row r="244" spans="4:36" hidden="1" x14ac:dyDescent="0.2"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</row>
    <row r="245" spans="4:36" hidden="1" x14ac:dyDescent="0.2"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</row>
    <row r="246" spans="4:36" hidden="1" x14ac:dyDescent="0.2"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</row>
    <row r="247" spans="4:36" hidden="1" x14ac:dyDescent="0.2"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</row>
    <row r="248" spans="4:36" hidden="1" x14ac:dyDescent="0.2"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</row>
    <row r="249" spans="4:36" hidden="1" x14ac:dyDescent="0.2"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</row>
    <row r="250" spans="4:36" hidden="1" x14ac:dyDescent="0.2"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</row>
    <row r="251" spans="4:36" hidden="1" x14ac:dyDescent="0.2"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</row>
    <row r="252" spans="4:36" hidden="1" x14ac:dyDescent="0.2"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</row>
    <row r="253" spans="4:36" hidden="1" x14ac:dyDescent="0.2"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</row>
    <row r="254" spans="4:36" hidden="1" x14ac:dyDescent="0.2"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</row>
    <row r="255" spans="4:36" hidden="1" x14ac:dyDescent="0.2"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</row>
    <row r="256" spans="4:36" hidden="1" x14ac:dyDescent="0.2"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</row>
    <row r="257" spans="4:36" hidden="1" x14ac:dyDescent="0.2"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</row>
    <row r="258" spans="4:36" hidden="1" x14ac:dyDescent="0.2"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</row>
    <row r="259" spans="4:36" hidden="1" x14ac:dyDescent="0.2"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</row>
    <row r="260" spans="4:36" hidden="1" x14ac:dyDescent="0.2"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</row>
    <row r="261" spans="4:36" hidden="1" x14ac:dyDescent="0.2"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</row>
    <row r="262" spans="4:36" hidden="1" x14ac:dyDescent="0.2"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</row>
    <row r="263" spans="4:36" hidden="1" x14ac:dyDescent="0.2"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</row>
    <row r="264" spans="4:36" hidden="1" x14ac:dyDescent="0.2"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</row>
    <row r="265" spans="4:36" hidden="1" x14ac:dyDescent="0.2"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</row>
    <row r="266" spans="4:36" hidden="1" x14ac:dyDescent="0.2"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</row>
    <row r="267" spans="4:36" hidden="1" x14ac:dyDescent="0.2"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</row>
    <row r="268" spans="4:36" hidden="1" x14ac:dyDescent="0.2">
      <c r="D268" s="281"/>
      <c r="E268" s="281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</row>
    <row r="269" spans="4:36" hidden="1" x14ac:dyDescent="0.2">
      <c r="D269" s="281"/>
      <c r="E269" s="281"/>
      <c r="F269" s="281"/>
      <c r="G269" s="281"/>
      <c r="H269" s="281"/>
      <c r="I269" s="281"/>
      <c r="J269" s="281"/>
      <c r="K269" s="281"/>
      <c r="L269" s="281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</row>
    <row r="270" spans="4:36" hidden="1" x14ac:dyDescent="0.2"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</row>
    <row r="271" spans="4:36" hidden="1" x14ac:dyDescent="0.2"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</row>
    <row r="272" spans="4:36" hidden="1" x14ac:dyDescent="0.2"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</row>
    <row r="273" spans="4:36" hidden="1" x14ac:dyDescent="0.2"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</row>
    <row r="274" spans="4:36" hidden="1" x14ac:dyDescent="0.2"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</row>
    <row r="275" spans="4:36" hidden="1" x14ac:dyDescent="0.2"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</row>
    <row r="276" spans="4:36" hidden="1" x14ac:dyDescent="0.2"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</row>
    <row r="277" spans="4:36" hidden="1" x14ac:dyDescent="0.2"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</row>
    <row r="278" spans="4:36" hidden="1" x14ac:dyDescent="0.2"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</row>
    <row r="279" spans="4:36" hidden="1" x14ac:dyDescent="0.2"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</row>
    <row r="280" spans="4:36" hidden="1" x14ac:dyDescent="0.2"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</row>
    <row r="281" spans="4:36" hidden="1" x14ac:dyDescent="0.2"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</row>
    <row r="282" spans="4:36" hidden="1" x14ac:dyDescent="0.2"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</row>
    <row r="283" spans="4:36" hidden="1" x14ac:dyDescent="0.2"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</row>
    <row r="284" spans="4:36" hidden="1" x14ac:dyDescent="0.2"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</row>
    <row r="285" spans="4:36" hidden="1" x14ac:dyDescent="0.2"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</row>
    <row r="286" spans="4:36" hidden="1" x14ac:dyDescent="0.2"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</row>
    <row r="287" spans="4:36" hidden="1" x14ac:dyDescent="0.2"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</row>
    <row r="288" spans="4:36" hidden="1" x14ac:dyDescent="0.2">
      <c r="D288" s="281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</row>
    <row r="289" spans="4:36" hidden="1" x14ac:dyDescent="0.2">
      <c r="D289" s="281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</row>
    <row r="290" spans="4:36" hidden="1" x14ac:dyDescent="0.2"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</row>
    <row r="291" spans="4:36" hidden="1" x14ac:dyDescent="0.2">
      <c r="D291" s="281"/>
      <c r="E291" s="281"/>
      <c r="F291" s="281"/>
      <c r="G291" s="281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</row>
    <row r="292" spans="4:36" hidden="1" x14ac:dyDescent="0.2"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</row>
    <row r="293" spans="4:36" hidden="1" x14ac:dyDescent="0.2"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</row>
    <row r="294" spans="4:36" hidden="1" x14ac:dyDescent="0.2"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</row>
    <row r="295" spans="4:36" hidden="1" x14ac:dyDescent="0.2">
      <c r="D295" s="281"/>
      <c r="E295" s="281"/>
      <c r="F295" s="281"/>
      <c r="G295" s="281"/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</row>
    <row r="296" spans="4:36" hidden="1" x14ac:dyDescent="0.2">
      <c r="D296" s="281"/>
      <c r="E296" s="281"/>
      <c r="F296" s="281"/>
      <c r="G296" s="281"/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</row>
    <row r="297" spans="4:36" hidden="1" x14ac:dyDescent="0.2"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</row>
    <row r="298" spans="4:36" hidden="1" x14ac:dyDescent="0.2"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</row>
    <row r="299" spans="4:36" hidden="1" x14ac:dyDescent="0.2"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</row>
    <row r="300" spans="4:36" hidden="1" x14ac:dyDescent="0.2"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</row>
    <row r="301" spans="4:36" hidden="1" x14ac:dyDescent="0.2">
      <c r="D301" s="281"/>
      <c r="E301" s="281"/>
      <c r="F301" s="281"/>
      <c r="G301" s="281"/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</row>
    <row r="302" spans="4:36" hidden="1" x14ac:dyDescent="0.2">
      <c r="D302" s="281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</row>
    <row r="303" spans="4:36" hidden="1" x14ac:dyDescent="0.2"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</row>
    <row r="304" spans="4:36" hidden="1" x14ac:dyDescent="0.2"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</row>
    <row r="305" spans="4:36" hidden="1" x14ac:dyDescent="0.2">
      <c r="D305" s="281"/>
      <c r="E305" s="281"/>
      <c r="F305" s="281"/>
      <c r="G305" s="281"/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1"/>
      <c r="S305" s="281"/>
      <c r="T305" s="281"/>
      <c r="U305" s="281"/>
      <c r="V305" s="281"/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</row>
    <row r="306" spans="4:36" hidden="1" x14ac:dyDescent="0.2"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1"/>
      <c r="S306" s="281"/>
      <c r="T306" s="281"/>
      <c r="U306" s="281"/>
      <c r="V306" s="281"/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</row>
    <row r="307" spans="4:36" hidden="1" x14ac:dyDescent="0.2"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1"/>
      <c r="S307" s="281"/>
      <c r="T307" s="281"/>
      <c r="U307" s="281"/>
      <c r="V307" s="281"/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</row>
    <row r="308" spans="4:36" hidden="1" x14ac:dyDescent="0.2">
      <c r="D308" s="281"/>
      <c r="E308" s="281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</row>
    <row r="309" spans="4:36" hidden="1" x14ac:dyDescent="0.2">
      <c r="D309" s="281"/>
      <c r="E309" s="281"/>
      <c r="F309" s="281"/>
      <c r="G309" s="281"/>
      <c r="H309" s="281"/>
      <c r="I309" s="281"/>
      <c r="J309" s="281"/>
      <c r="K309" s="281"/>
      <c r="L309" s="281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</row>
    <row r="310" spans="4:36" hidden="1" x14ac:dyDescent="0.2"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</row>
    <row r="311" spans="4:36" hidden="1" x14ac:dyDescent="0.2"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</row>
    <row r="312" spans="4:36" hidden="1" x14ac:dyDescent="0.2"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</row>
    <row r="313" spans="4:36" hidden="1" x14ac:dyDescent="0.2"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</row>
    <row r="314" spans="4:36" hidden="1" x14ac:dyDescent="0.2">
      <c r="D314" s="281"/>
      <c r="E314" s="281"/>
      <c r="F314" s="281"/>
      <c r="G314" s="281"/>
      <c r="H314" s="281"/>
      <c r="I314" s="281"/>
      <c r="J314" s="281"/>
      <c r="K314" s="281"/>
      <c r="L314" s="281"/>
      <c r="M314" s="281"/>
      <c r="N314" s="281"/>
      <c r="O314" s="281"/>
      <c r="P314" s="281"/>
      <c r="Q314" s="281"/>
      <c r="R314" s="281"/>
      <c r="S314" s="281"/>
      <c r="T314" s="281"/>
      <c r="U314" s="281"/>
      <c r="V314" s="281"/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</row>
    <row r="315" spans="4:36" hidden="1" x14ac:dyDescent="0.2"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</row>
    <row r="316" spans="4:36" hidden="1" x14ac:dyDescent="0.2"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</row>
    <row r="317" spans="4:36" hidden="1" x14ac:dyDescent="0.2"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</row>
    <row r="318" spans="4:36" hidden="1" x14ac:dyDescent="0.2"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1"/>
      <c r="S318" s="281"/>
      <c r="T318" s="281"/>
      <c r="U318" s="281"/>
      <c r="V318" s="281"/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</row>
    <row r="319" spans="4:36" hidden="1" x14ac:dyDescent="0.2"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</row>
    <row r="320" spans="4:36" hidden="1" x14ac:dyDescent="0.2"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</row>
    <row r="321" spans="4:36" hidden="1" x14ac:dyDescent="0.2"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</row>
    <row r="322" spans="4:36" hidden="1" x14ac:dyDescent="0.2"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</row>
    <row r="323" spans="4:36" hidden="1" x14ac:dyDescent="0.2"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</row>
    <row r="324" spans="4:36" hidden="1" x14ac:dyDescent="0.2"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</row>
    <row r="325" spans="4:36" hidden="1" x14ac:dyDescent="0.2"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1"/>
      <c r="S325" s="281"/>
      <c r="T325" s="281"/>
      <c r="U325" s="281"/>
      <c r="V325" s="281"/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</row>
    <row r="326" spans="4:36" hidden="1" x14ac:dyDescent="0.2"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</row>
    <row r="327" spans="4:36" hidden="1" x14ac:dyDescent="0.2"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</row>
    <row r="328" spans="4:36" hidden="1" x14ac:dyDescent="0.2"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</row>
    <row r="329" spans="4:36" hidden="1" x14ac:dyDescent="0.2">
      <c r="D329" s="281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1"/>
      <c r="S329" s="281"/>
      <c r="T329" s="281"/>
      <c r="U329" s="281"/>
      <c r="V329" s="281"/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</row>
    <row r="330" spans="4:36" hidden="1" x14ac:dyDescent="0.2"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1"/>
      <c r="S330" s="281"/>
      <c r="T330" s="281"/>
      <c r="U330" s="281"/>
      <c r="V330" s="281"/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</row>
    <row r="331" spans="4:36" hidden="1" x14ac:dyDescent="0.2"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281"/>
      <c r="T331" s="281"/>
      <c r="U331" s="281"/>
      <c r="V331" s="281"/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</row>
    <row r="332" spans="4:36" hidden="1" x14ac:dyDescent="0.2">
      <c r="D332" s="281"/>
      <c r="E332" s="281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</row>
    <row r="333" spans="4:36" hidden="1" x14ac:dyDescent="0.2">
      <c r="D333" s="281"/>
      <c r="E333" s="281"/>
      <c r="F333" s="281"/>
      <c r="G333" s="281"/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1"/>
      <c r="S333" s="281"/>
      <c r="T333" s="281"/>
      <c r="U333" s="281"/>
      <c r="V333" s="281"/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</row>
    <row r="334" spans="4:36" hidden="1" x14ac:dyDescent="0.2"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</row>
    <row r="335" spans="4:36" hidden="1" x14ac:dyDescent="0.2">
      <c r="D335" s="281"/>
      <c r="E335" s="281"/>
      <c r="F335" s="281"/>
      <c r="G335" s="281"/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</row>
    <row r="336" spans="4:36" hidden="1" x14ac:dyDescent="0.2"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</row>
    <row r="337" spans="4:36" hidden="1" x14ac:dyDescent="0.2"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1"/>
      <c r="S337" s="281"/>
      <c r="T337" s="281"/>
      <c r="U337" s="281"/>
      <c r="V337" s="281"/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</row>
    <row r="338" spans="4:36" hidden="1" x14ac:dyDescent="0.2">
      <c r="D338" s="281"/>
      <c r="E338" s="281"/>
      <c r="F338" s="281"/>
      <c r="G338" s="281"/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1"/>
      <c r="S338" s="281"/>
      <c r="T338" s="281"/>
      <c r="U338" s="281"/>
      <c r="V338" s="281"/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</row>
    <row r="339" spans="4:36" hidden="1" x14ac:dyDescent="0.2"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281"/>
      <c r="T339" s="281"/>
      <c r="U339" s="281"/>
      <c r="V339" s="281"/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</row>
    <row r="340" spans="4:36" hidden="1" x14ac:dyDescent="0.2"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</row>
    <row r="341" spans="4:36" hidden="1" x14ac:dyDescent="0.2">
      <c r="D341" s="281"/>
      <c r="E341" s="281"/>
      <c r="F341" s="281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</row>
    <row r="342" spans="4:36" hidden="1" x14ac:dyDescent="0.2">
      <c r="D342" s="281"/>
      <c r="E342" s="281"/>
      <c r="F342" s="281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</row>
    <row r="343" spans="4:36" hidden="1" x14ac:dyDescent="0.2"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281"/>
      <c r="T343" s="281"/>
      <c r="U343" s="281"/>
      <c r="V343" s="281"/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</row>
    <row r="344" spans="4:36" hidden="1" x14ac:dyDescent="0.2"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</row>
    <row r="345" spans="4:36" hidden="1" x14ac:dyDescent="0.2">
      <c r="D345" s="281"/>
      <c r="E345" s="281"/>
      <c r="F345" s="281"/>
      <c r="G345" s="281"/>
      <c r="H345" s="281"/>
      <c r="I345" s="281"/>
      <c r="J345" s="281"/>
      <c r="K345" s="281"/>
      <c r="L345" s="281"/>
      <c r="M345" s="281"/>
      <c r="N345" s="281"/>
      <c r="O345" s="281"/>
      <c r="P345" s="281"/>
      <c r="Q345" s="281"/>
      <c r="R345" s="281"/>
      <c r="S345" s="281"/>
      <c r="T345" s="281"/>
      <c r="U345" s="281"/>
      <c r="V345" s="281"/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</row>
    <row r="346" spans="4:36" hidden="1" x14ac:dyDescent="0.2"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</row>
    <row r="347" spans="4:36" hidden="1" x14ac:dyDescent="0.2"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  <c r="S347" s="281"/>
      <c r="T347" s="281"/>
      <c r="U347" s="281"/>
      <c r="V347" s="281"/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</row>
    <row r="348" spans="4:36" hidden="1" x14ac:dyDescent="0.2"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</row>
    <row r="349" spans="4:36" hidden="1" x14ac:dyDescent="0.2"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  <c r="S349" s="281"/>
      <c r="T349" s="281"/>
      <c r="U349" s="281"/>
      <c r="V349" s="281"/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</row>
    <row r="350" spans="4:36" hidden="1" x14ac:dyDescent="0.2"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</row>
    <row r="351" spans="4:36" hidden="1" x14ac:dyDescent="0.2"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</row>
    <row r="352" spans="4:36" hidden="1" x14ac:dyDescent="0.2"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</row>
    <row r="353" spans="4:36" hidden="1" x14ac:dyDescent="0.2"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</row>
    <row r="354" spans="4:36" hidden="1" x14ac:dyDescent="0.2"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</row>
    <row r="355" spans="4:36" hidden="1" x14ac:dyDescent="0.2"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</row>
    <row r="356" spans="4:36" hidden="1" x14ac:dyDescent="0.2"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</row>
    <row r="357" spans="4:36" hidden="1" x14ac:dyDescent="0.2"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</row>
    <row r="358" spans="4:36" hidden="1" x14ac:dyDescent="0.2"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</row>
    <row r="359" spans="4:36" hidden="1" x14ac:dyDescent="0.2"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</row>
    <row r="360" spans="4:36" hidden="1" x14ac:dyDescent="0.2"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</row>
    <row r="361" spans="4:36" hidden="1" x14ac:dyDescent="0.2"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</row>
    <row r="362" spans="4:36" hidden="1" x14ac:dyDescent="0.2"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</row>
    <row r="363" spans="4:36" hidden="1" x14ac:dyDescent="0.2"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</row>
    <row r="364" spans="4:36" hidden="1" x14ac:dyDescent="0.2"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</row>
    <row r="365" spans="4:36" hidden="1" x14ac:dyDescent="0.2">
      <c r="D365" s="281"/>
      <c r="E365" s="281"/>
      <c r="F365" s="281"/>
      <c r="G365" s="281"/>
      <c r="H365" s="281"/>
      <c r="I365" s="281"/>
      <c r="J365" s="281"/>
      <c r="K365" s="281"/>
      <c r="L365" s="281"/>
      <c r="M365" s="281"/>
      <c r="N365" s="281"/>
      <c r="O365" s="281"/>
      <c r="P365" s="281"/>
      <c r="Q365" s="281"/>
      <c r="R365" s="281"/>
      <c r="S365" s="281"/>
      <c r="T365" s="281"/>
      <c r="U365" s="281"/>
      <c r="V365" s="281"/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</row>
    <row r="366" spans="4:36" hidden="1" x14ac:dyDescent="0.2">
      <c r="D366" s="281"/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</row>
    <row r="367" spans="4:36" hidden="1" x14ac:dyDescent="0.2"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  <c r="O367" s="281"/>
      <c r="P367" s="281"/>
      <c r="Q367" s="281"/>
      <c r="R367" s="281"/>
      <c r="S367" s="281"/>
      <c r="T367" s="281"/>
      <c r="U367" s="281"/>
      <c r="V367" s="281"/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</row>
    <row r="368" spans="4:36" hidden="1" x14ac:dyDescent="0.2"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</row>
    <row r="369" spans="4:36" hidden="1" x14ac:dyDescent="0.2"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  <c r="O369" s="281"/>
      <c r="P369" s="281"/>
      <c r="Q369" s="281"/>
      <c r="R369" s="281"/>
      <c r="S369" s="281"/>
      <c r="T369" s="281"/>
      <c r="U369" s="281"/>
      <c r="V369" s="281"/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</row>
    <row r="370" spans="4:36" hidden="1" x14ac:dyDescent="0.2"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</row>
    <row r="371" spans="4:36" hidden="1" x14ac:dyDescent="0.2"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</row>
    <row r="372" spans="4:36" hidden="1" x14ac:dyDescent="0.2"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</row>
    <row r="373" spans="4:36" hidden="1" x14ac:dyDescent="0.2"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</row>
    <row r="374" spans="4:36" hidden="1" x14ac:dyDescent="0.2">
      <c r="D374" s="281"/>
      <c r="E374" s="281"/>
      <c r="F374" s="281"/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</row>
    <row r="375" spans="4:36" hidden="1" x14ac:dyDescent="0.2">
      <c r="D375" s="281"/>
      <c r="E375" s="281"/>
      <c r="F375" s="281"/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</row>
    <row r="376" spans="4:36" hidden="1" x14ac:dyDescent="0.2">
      <c r="D376" s="281"/>
      <c r="E376" s="281"/>
      <c r="F376" s="281"/>
      <c r="G376" s="281"/>
      <c r="H376" s="281"/>
      <c r="I376" s="281"/>
      <c r="J376" s="281"/>
      <c r="K376" s="281"/>
      <c r="L376" s="281"/>
      <c r="M376" s="281"/>
      <c r="N376" s="281"/>
      <c r="O376" s="281"/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</row>
    <row r="377" spans="4:36" hidden="1" x14ac:dyDescent="0.2">
      <c r="D377" s="281"/>
      <c r="E377" s="281"/>
      <c r="F377" s="281"/>
      <c r="G377" s="281"/>
      <c r="H377" s="281"/>
      <c r="I377" s="281"/>
      <c r="J377" s="281"/>
      <c r="K377" s="281"/>
      <c r="L377" s="281"/>
      <c r="M377" s="281"/>
      <c r="N377" s="281"/>
      <c r="O377" s="281"/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</row>
    <row r="378" spans="4:36" hidden="1" x14ac:dyDescent="0.2"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</row>
    <row r="379" spans="4:36" hidden="1" x14ac:dyDescent="0.2">
      <c r="D379" s="281"/>
      <c r="E379" s="281"/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</row>
    <row r="380" spans="4:36" hidden="1" x14ac:dyDescent="0.2"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</row>
    <row r="381" spans="4:36" hidden="1" x14ac:dyDescent="0.2"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</row>
    <row r="382" spans="4:36" hidden="1" x14ac:dyDescent="0.2"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</row>
    <row r="383" spans="4:36" hidden="1" x14ac:dyDescent="0.2"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</row>
    <row r="384" spans="4:36" hidden="1" x14ac:dyDescent="0.2"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</row>
    <row r="385" spans="4:36" hidden="1" x14ac:dyDescent="0.2"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</row>
    <row r="386" spans="4:36" hidden="1" x14ac:dyDescent="0.2"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</row>
    <row r="387" spans="4:36" hidden="1" x14ac:dyDescent="0.2"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</row>
    <row r="388" spans="4:36" hidden="1" x14ac:dyDescent="0.2"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</row>
    <row r="389" spans="4:36" hidden="1" x14ac:dyDescent="0.2"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</row>
    <row r="390" spans="4:36" hidden="1" x14ac:dyDescent="0.2"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</row>
    <row r="391" spans="4:36" hidden="1" x14ac:dyDescent="0.2"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</row>
    <row r="392" spans="4:36" hidden="1" x14ac:dyDescent="0.2"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</row>
    <row r="393" spans="4:36" hidden="1" x14ac:dyDescent="0.2"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</row>
    <row r="394" spans="4:36" hidden="1" x14ac:dyDescent="0.2"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</row>
    <row r="395" spans="4:36" hidden="1" x14ac:dyDescent="0.2"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</row>
    <row r="396" spans="4:36" hidden="1" x14ac:dyDescent="0.2"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</row>
    <row r="397" spans="4:36" hidden="1" x14ac:dyDescent="0.2"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</row>
    <row r="398" spans="4:36" hidden="1" x14ac:dyDescent="0.2"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</row>
    <row r="399" spans="4:36" hidden="1" x14ac:dyDescent="0.2"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</row>
    <row r="400" spans="4:36" hidden="1" x14ac:dyDescent="0.2"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</row>
    <row r="401" spans="4:36" hidden="1" x14ac:dyDescent="0.2"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</row>
    <row r="402" spans="4:36" hidden="1" x14ac:dyDescent="0.2"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</row>
    <row r="403" spans="4:36" hidden="1" x14ac:dyDescent="0.2"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</row>
    <row r="404" spans="4:36" hidden="1" x14ac:dyDescent="0.2"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</row>
    <row r="405" spans="4:36" hidden="1" x14ac:dyDescent="0.2"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</row>
    <row r="406" spans="4:36" hidden="1" x14ac:dyDescent="0.2"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</row>
    <row r="407" spans="4:36" hidden="1" x14ac:dyDescent="0.2"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</row>
    <row r="408" spans="4:36" hidden="1" x14ac:dyDescent="0.2"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</row>
    <row r="409" spans="4:36" hidden="1" x14ac:dyDescent="0.2"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</row>
    <row r="410" spans="4:36" hidden="1" x14ac:dyDescent="0.2"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</row>
    <row r="411" spans="4:36" hidden="1" x14ac:dyDescent="0.2"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</row>
    <row r="412" spans="4:36" hidden="1" x14ac:dyDescent="0.2"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</row>
    <row r="413" spans="4:36" hidden="1" x14ac:dyDescent="0.2"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</row>
    <row r="414" spans="4:36" hidden="1" x14ac:dyDescent="0.2"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</row>
    <row r="415" spans="4:36" hidden="1" x14ac:dyDescent="0.2"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</row>
    <row r="416" spans="4:36" hidden="1" x14ac:dyDescent="0.2"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</row>
    <row r="417" spans="4:36" hidden="1" x14ac:dyDescent="0.2"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</row>
    <row r="418" spans="4:36" hidden="1" x14ac:dyDescent="0.2"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</row>
    <row r="419" spans="4:36" hidden="1" x14ac:dyDescent="0.2"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</row>
    <row r="420" spans="4:36" hidden="1" x14ac:dyDescent="0.2"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</row>
    <row r="421" spans="4:36" hidden="1" x14ac:dyDescent="0.2"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</row>
    <row r="422" spans="4:36" hidden="1" x14ac:dyDescent="0.2"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</row>
    <row r="423" spans="4:36" hidden="1" x14ac:dyDescent="0.2"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</row>
    <row r="424" spans="4:36" hidden="1" x14ac:dyDescent="0.2"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</row>
    <row r="425" spans="4:36" hidden="1" x14ac:dyDescent="0.2"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</row>
    <row r="426" spans="4:36" hidden="1" x14ac:dyDescent="0.2"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</row>
    <row r="427" spans="4:36" hidden="1" x14ac:dyDescent="0.2"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</row>
    <row r="428" spans="4:36" hidden="1" x14ac:dyDescent="0.2"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</row>
    <row r="429" spans="4:36" hidden="1" x14ac:dyDescent="0.2"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</row>
    <row r="430" spans="4:36" hidden="1" x14ac:dyDescent="0.2"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</row>
    <row r="431" spans="4:36" hidden="1" x14ac:dyDescent="0.2"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</row>
    <row r="432" spans="4:36" hidden="1" x14ac:dyDescent="0.2"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</row>
    <row r="433" spans="4:36" hidden="1" x14ac:dyDescent="0.2"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</row>
    <row r="434" spans="4:36" hidden="1" x14ac:dyDescent="0.2"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</row>
    <row r="435" spans="4:36" hidden="1" x14ac:dyDescent="0.2"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</row>
    <row r="436" spans="4:36" hidden="1" x14ac:dyDescent="0.2"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</row>
    <row r="437" spans="4:36" hidden="1" x14ac:dyDescent="0.2"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</row>
    <row r="438" spans="4:36" hidden="1" x14ac:dyDescent="0.2"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</row>
    <row r="439" spans="4:36" hidden="1" x14ac:dyDescent="0.2"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</row>
    <row r="440" spans="4:36" hidden="1" x14ac:dyDescent="0.2"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</row>
    <row r="441" spans="4:36" hidden="1" x14ac:dyDescent="0.2"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</row>
    <row r="442" spans="4:36" hidden="1" x14ac:dyDescent="0.2"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</row>
    <row r="443" spans="4:36" hidden="1" x14ac:dyDescent="0.2"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</row>
    <row r="444" spans="4:36" hidden="1" x14ac:dyDescent="0.2"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</row>
    <row r="445" spans="4:36" hidden="1" x14ac:dyDescent="0.2"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</row>
    <row r="446" spans="4:36" hidden="1" x14ac:dyDescent="0.2"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</row>
    <row r="447" spans="4:36" hidden="1" x14ac:dyDescent="0.2"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</row>
    <row r="448" spans="4:36" hidden="1" x14ac:dyDescent="0.2"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</row>
    <row r="449" spans="4:36" hidden="1" x14ac:dyDescent="0.2"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</row>
    <row r="450" spans="4:36" hidden="1" x14ac:dyDescent="0.2"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</row>
    <row r="451" spans="4:36" hidden="1" x14ac:dyDescent="0.2"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</row>
    <row r="452" spans="4:36" hidden="1" x14ac:dyDescent="0.2"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</row>
    <row r="453" spans="4:36" hidden="1" x14ac:dyDescent="0.2"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</row>
    <row r="454" spans="4:36" hidden="1" x14ac:dyDescent="0.2"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</row>
    <row r="455" spans="4:36" hidden="1" x14ac:dyDescent="0.2"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</row>
    <row r="456" spans="4:36" hidden="1" x14ac:dyDescent="0.2"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</row>
    <row r="457" spans="4:36" hidden="1" x14ac:dyDescent="0.2"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</row>
    <row r="458" spans="4:36" hidden="1" x14ac:dyDescent="0.2"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</row>
    <row r="459" spans="4:36" hidden="1" x14ac:dyDescent="0.2"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</row>
    <row r="460" spans="4:36" hidden="1" x14ac:dyDescent="0.2"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</row>
    <row r="461" spans="4:36" hidden="1" x14ac:dyDescent="0.2"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</row>
    <row r="462" spans="4:36" hidden="1" x14ac:dyDescent="0.2"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</row>
    <row r="463" spans="4:36" hidden="1" x14ac:dyDescent="0.2"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</row>
    <row r="464" spans="4:36" hidden="1" x14ac:dyDescent="0.2"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</row>
    <row r="465" spans="4:36" hidden="1" x14ac:dyDescent="0.2"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</row>
    <row r="466" spans="4:36" hidden="1" x14ac:dyDescent="0.2"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</row>
    <row r="467" spans="4:36" hidden="1" x14ac:dyDescent="0.2"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</row>
    <row r="468" spans="4:36" hidden="1" x14ac:dyDescent="0.2"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</row>
    <row r="469" spans="4:36" hidden="1" x14ac:dyDescent="0.2"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</row>
    <row r="470" spans="4:36" hidden="1" x14ac:dyDescent="0.2"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</row>
    <row r="471" spans="4:36" hidden="1" x14ac:dyDescent="0.2"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</row>
    <row r="472" spans="4:36" hidden="1" x14ac:dyDescent="0.2"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</row>
    <row r="473" spans="4:36" hidden="1" x14ac:dyDescent="0.2"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</row>
    <row r="474" spans="4:36" hidden="1" x14ac:dyDescent="0.2"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</row>
    <row r="475" spans="4:36" hidden="1" x14ac:dyDescent="0.2"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</row>
    <row r="476" spans="4:36" hidden="1" x14ac:dyDescent="0.2">
      <c r="D476" s="281"/>
      <c r="E476" s="281"/>
      <c r="F476" s="281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</row>
    <row r="477" spans="4:36" hidden="1" x14ac:dyDescent="0.2">
      <c r="D477" s="281"/>
      <c r="E477" s="281"/>
      <c r="F477" s="281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</row>
    <row r="478" spans="4:36" hidden="1" x14ac:dyDescent="0.2">
      <c r="D478" s="281"/>
      <c r="E478" s="281"/>
      <c r="F478" s="281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</row>
    <row r="479" spans="4:36" hidden="1" x14ac:dyDescent="0.2">
      <c r="D479" s="281"/>
      <c r="E479" s="281"/>
      <c r="F479" s="281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</row>
    <row r="480" spans="4:36" hidden="1" x14ac:dyDescent="0.2"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</row>
    <row r="481" spans="4:36" hidden="1" x14ac:dyDescent="0.2">
      <c r="D481" s="281"/>
      <c r="E481" s="281"/>
      <c r="F481" s="281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</row>
    <row r="482" spans="4:36" hidden="1" x14ac:dyDescent="0.2"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</row>
    <row r="483" spans="4:36" hidden="1" x14ac:dyDescent="0.2">
      <c r="D483" s="281"/>
      <c r="E483" s="281"/>
      <c r="F483" s="281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</row>
    <row r="484" spans="4:36" hidden="1" x14ac:dyDescent="0.2"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</row>
    <row r="485" spans="4:36" hidden="1" x14ac:dyDescent="0.2">
      <c r="D485" s="281"/>
      <c r="E485" s="281"/>
      <c r="F485" s="281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</row>
    <row r="486" spans="4:36" hidden="1" x14ac:dyDescent="0.2"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</row>
    <row r="487" spans="4:36" hidden="1" x14ac:dyDescent="0.2">
      <c r="D487" s="281"/>
      <c r="E487" s="281"/>
      <c r="F487" s="281"/>
      <c r="G487" s="281"/>
      <c r="H487" s="281"/>
      <c r="I487" s="281"/>
      <c r="J487" s="281"/>
      <c r="K487" s="281"/>
      <c r="L487" s="281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</row>
    <row r="488" spans="4:36" hidden="1" x14ac:dyDescent="0.2">
      <c r="D488" s="281"/>
      <c r="E488" s="281"/>
      <c r="F488" s="281"/>
      <c r="G488" s="281"/>
      <c r="H488" s="281"/>
      <c r="I488" s="281"/>
      <c r="J488" s="281"/>
      <c r="K488" s="281"/>
      <c r="L488" s="281"/>
      <c r="M488" s="281"/>
      <c r="N488" s="281"/>
      <c r="O488" s="281"/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</row>
    <row r="489" spans="4:36" hidden="1" x14ac:dyDescent="0.2"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</row>
    <row r="490" spans="4:36" hidden="1" x14ac:dyDescent="0.2">
      <c r="D490" s="281"/>
      <c r="E490" s="281"/>
      <c r="F490" s="281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</row>
    <row r="491" spans="4:36" hidden="1" x14ac:dyDescent="0.2"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</row>
    <row r="492" spans="4:36" hidden="1" x14ac:dyDescent="0.2">
      <c r="D492" s="281"/>
      <c r="E492" s="281"/>
      <c r="F492" s="281"/>
      <c r="G492" s="281"/>
      <c r="H492" s="281"/>
      <c r="I492" s="281"/>
      <c r="J492" s="281"/>
      <c r="K492" s="281"/>
      <c r="L492" s="281"/>
      <c r="M492" s="281"/>
      <c r="N492" s="281"/>
      <c r="O492" s="281"/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</row>
    <row r="493" spans="4:36" hidden="1" x14ac:dyDescent="0.2">
      <c r="D493" s="281"/>
      <c r="E493" s="281"/>
      <c r="F493" s="281"/>
      <c r="G493" s="281"/>
      <c r="H493" s="281"/>
      <c r="I493" s="281"/>
      <c r="J493" s="281"/>
      <c r="K493" s="281"/>
      <c r="L493" s="281"/>
      <c r="M493" s="281"/>
      <c r="N493" s="281"/>
      <c r="O493" s="281"/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</row>
    <row r="494" spans="4:36" hidden="1" x14ac:dyDescent="0.2"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</row>
    <row r="495" spans="4:36" hidden="1" x14ac:dyDescent="0.2"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</row>
    <row r="496" spans="4:36" hidden="1" x14ac:dyDescent="0.2"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</row>
    <row r="497" spans="4:36" hidden="1" x14ac:dyDescent="0.2">
      <c r="D497" s="281"/>
      <c r="E497" s="281"/>
      <c r="F497" s="281"/>
      <c r="G497" s="281"/>
      <c r="H497" s="281"/>
      <c r="I497" s="281"/>
      <c r="J497" s="281"/>
      <c r="K497" s="281"/>
      <c r="L497" s="281"/>
      <c r="M497" s="281"/>
      <c r="N497" s="281"/>
      <c r="O497" s="281"/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</row>
    <row r="498" spans="4:36" hidden="1" x14ac:dyDescent="0.2">
      <c r="D498" s="281"/>
      <c r="E498" s="281"/>
      <c r="F498" s="281"/>
      <c r="G498" s="281"/>
      <c r="H498" s="281"/>
      <c r="I498" s="281"/>
      <c r="J498" s="281"/>
      <c r="K498" s="281"/>
      <c r="L498" s="281"/>
      <c r="M498" s="281"/>
      <c r="N498" s="281"/>
      <c r="O498" s="281"/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</row>
    <row r="499" spans="4:36" hidden="1" x14ac:dyDescent="0.2"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</row>
    <row r="500" spans="4:36" hidden="1" x14ac:dyDescent="0.2"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</row>
    <row r="501" spans="4:36" hidden="1" x14ac:dyDescent="0.2">
      <c r="D501" s="281"/>
      <c r="E501" s="281"/>
      <c r="F501" s="281"/>
      <c r="G501" s="281"/>
      <c r="H501" s="281"/>
      <c r="I501" s="281"/>
      <c r="J501" s="281"/>
      <c r="K501" s="281"/>
      <c r="L501" s="281"/>
      <c r="M501" s="281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</row>
    <row r="502" spans="4:36" hidden="1" x14ac:dyDescent="0.2">
      <c r="D502" s="281"/>
      <c r="E502" s="281"/>
      <c r="F502" s="281"/>
      <c r="G502" s="281"/>
      <c r="H502" s="281"/>
      <c r="I502" s="281"/>
      <c r="J502" s="281"/>
      <c r="K502" s="281"/>
      <c r="L502" s="281"/>
      <c r="M502" s="281"/>
      <c r="N502" s="281"/>
      <c r="O502" s="281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</row>
    <row r="503" spans="4:36" hidden="1" x14ac:dyDescent="0.2">
      <c r="D503" s="281"/>
      <c r="E503" s="281"/>
      <c r="F503" s="281"/>
      <c r="G503" s="281"/>
      <c r="H503" s="281"/>
      <c r="I503" s="281"/>
      <c r="J503" s="281"/>
      <c r="K503" s="281"/>
      <c r="L503" s="281"/>
      <c r="M503" s="281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</row>
    <row r="504" spans="4:36" hidden="1" x14ac:dyDescent="0.2">
      <c r="D504" s="281"/>
      <c r="E504" s="281"/>
      <c r="F504" s="281"/>
      <c r="G504" s="281"/>
      <c r="H504" s="281"/>
      <c r="I504" s="281"/>
      <c r="J504" s="281"/>
      <c r="K504" s="281"/>
      <c r="L504" s="281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</row>
    <row r="505" spans="4:36" hidden="1" x14ac:dyDescent="0.2">
      <c r="D505" s="281"/>
      <c r="E505" s="281"/>
      <c r="F505" s="281"/>
      <c r="G505" s="281"/>
      <c r="H505" s="281"/>
      <c r="I505" s="281"/>
      <c r="J505" s="281"/>
      <c r="K505" s="281"/>
      <c r="L505" s="281"/>
      <c r="M505" s="281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</row>
    <row r="506" spans="4:36" hidden="1" x14ac:dyDescent="0.2"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</row>
    <row r="507" spans="4:36" hidden="1" x14ac:dyDescent="0.2"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</row>
    <row r="508" spans="4:36" hidden="1" x14ac:dyDescent="0.2"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</row>
    <row r="509" spans="4:36" hidden="1" x14ac:dyDescent="0.2"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</row>
    <row r="510" spans="4:36" hidden="1" x14ac:dyDescent="0.2"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</row>
    <row r="511" spans="4:36" hidden="1" x14ac:dyDescent="0.2"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</row>
    <row r="512" spans="4:36" hidden="1" x14ac:dyDescent="0.2"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</row>
    <row r="513" spans="4:36" hidden="1" x14ac:dyDescent="0.2"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</row>
    <row r="514" spans="4:36" hidden="1" x14ac:dyDescent="0.2"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</row>
    <row r="515" spans="4:36" hidden="1" x14ac:dyDescent="0.2"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281"/>
      <c r="T515" s="281"/>
    </row>
    <row r="516" spans="4:36" hidden="1" x14ac:dyDescent="0.2"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281"/>
      <c r="T516" s="281"/>
    </row>
    <row r="517" spans="4:36" hidden="1" x14ac:dyDescent="0.2"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</row>
    <row r="518" spans="4:36" hidden="1" x14ac:dyDescent="0.2"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281"/>
      <c r="T518" s="281"/>
    </row>
    <row r="519" spans="4:36" hidden="1" x14ac:dyDescent="0.2"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281"/>
      <c r="T519" s="281"/>
    </row>
    <row r="520" spans="4:36" hidden="1" x14ac:dyDescent="0.2"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281"/>
      <c r="T520" s="281"/>
    </row>
    <row r="521" spans="4:36" hidden="1" x14ac:dyDescent="0.2"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281"/>
      <c r="T521" s="281"/>
    </row>
  </sheetData>
  <sheetProtection password="EC65" sheet="1" selectLockedCells="1"/>
  <mergeCells count="12">
    <mergeCell ref="J50:L51"/>
    <mergeCell ref="C16:F16"/>
    <mergeCell ref="C18:F18"/>
    <mergeCell ref="C21:E21"/>
    <mergeCell ref="J16:K16"/>
    <mergeCell ref="J21:K21"/>
    <mergeCell ref="C27:E27"/>
    <mergeCell ref="E8:F8"/>
    <mergeCell ref="K3:N4"/>
    <mergeCell ref="K5:N6"/>
    <mergeCell ref="E4:H4"/>
    <mergeCell ref="E5:I5"/>
  </mergeCells>
  <phoneticPr fontId="20" type="noConversion"/>
  <conditionalFormatting sqref="H19">
    <cfRule type="expression" dxfId="24" priority="2" stopIfTrue="1">
      <formula>ISERROR(H18)</formula>
    </cfRule>
  </conditionalFormatting>
  <conditionalFormatting sqref="H49">
    <cfRule type="expression" dxfId="23" priority="3" stopIfTrue="1">
      <formula>ISERROR(W1048569)</formula>
    </cfRule>
  </conditionalFormatting>
  <conditionalFormatting sqref="N54">
    <cfRule type="expression" dxfId="22" priority="4" stopIfTrue="1">
      <formula>ISERROR(AE4)</formula>
    </cfRule>
  </conditionalFormatting>
  <conditionalFormatting sqref="H51">
    <cfRule type="expression" dxfId="21" priority="5" stopIfTrue="1">
      <formula>ISERROR(W1048576)</formula>
    </cfRule>
  </conditionalFormatting>
  <conditionalFormatting sqref="H18 AE4">
    <cfRule type="expression" dxfId="20" priority="6" stopIfTrue="1">
      <formula>ISERROR(H4)</formula>
    </cfRule>
  </conditionalFormatting>
  <conditionalFormatting sqref="L48">
    <cfRule type="expression" dxfId="19" priority="1" stopIfTrue="1">
      <formula>ISERROR(AA1048568)</formula>
    </cfRule>
  </conditionalFormatting>
  <hyperlinks>
    <hyperlink ref="C16:F16" location="'Traffic &amp; Accidents'!A1" display="TRAFFIC VOLUME"/>
    <hyperlink ref="C18:F18" location="'Traffic &amp; Accidents'!A1" display="TRAFFIC ACCIDENTS"/>
    <hyperlink ref="C21:E21" location="Structure!A1" display="STRUCTURAL:"/>
    <hyperlink ref="J16:K16" location="'Traffic &amp; Accidents'!A1" display="SPECIAL:"/>
    <hyperlink ref="J21:K21" location="Geometry!A1" display="GEOMETRY:"/>
    <hyperlink ref="C27:E27" location="'3R Checklist'!A1" display="3R CHECKLIST:"/>
  </hyperlinks>
  <pageMargins left="0.35" right="0.31" top="0.57999999999999996" bottom="0.52" header="0.27" footer="0.3"/>
  <pageSetup orientation="portrait" r:id="rId1"/>
  <headerFooter alignWithMargins="0">
    <oddFooter>&amp;Lhttp://www.crab.wa.gov/grants/NWRWKSHT - 3R.xls&amp;R7/14/04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79"/>
  <sheetViews>
    <sheetView showGridLines="0" workbookViewId="0">
      <selection activeCell="C8" sqref="C8"/>
    </sheetView>
  </sheetViews>
  <sheetFormatPr defaultColWidth="0" defaultRowHeight="12.75" zeroHeight="1" x14ac:dyDescent="0.2"/>
  <cols>
    <col min="1" max="1" width="9.140625" style="203" customWidth="1"/>
    <col min="2" max="15" width="7.7109375" style="203" customWidth="1"/>
    <col min="16" max="16384" width="0" style="203" hidden="1"/>
  </cols>
  <sheetData>
    <row r="1" spans="2:13" x14ac:dyDescent="0.2"/>
    <row r="2" spans="2:13" x14ac:dyDescent="0.2"/>
    <row r="3" spans="2:13" ht="13.5" thickBot="1" x14ac:dyDescent="0.25">
      <c r="B3" s="204"/>
      <c r="C3" s="205"/>
      <c r="D3" s="205"/>
      <c r="E3" s="205"/>
      <c r="F3" s="205"/>
      <c r="G3" s="205"/>
      <c r="H3" s="205"/>
      <c r="L3" s="206"/>
    </row>
    <row r="4" spans="2:13" x14ac:dyDescent="0.2">
      <c r="B4" s="125" t="s">
        <v>247</v>
      </c>
      <c r="C4" s="141"/>
      <c r="D4" s="313"/>
      <c r="E4" s="313"/>
      <c r="F4" s="124"/>
      <c r="G4" s="124"/>
      <c r="H4" s="124"/>
      <c r="I4" s="500" t="s">
        <v>523</v>
      </c>
      <c r="J4" s="124"/>
      <c r="K4" s="124"/>
      <c r="L4" s="126"/>
      <c r="M4" s="258"/>
    </row>
    <row r="5" spans="2:13" x14ac:dyDescent="0.2">
      <c r="B5" s="131"/>
      <c r="C5" s="501"/>
      <c r="D5" s="502"/>
      <c r="E5" s="502"/>
      <c r="F5" s="34"/>
      <c r="G5" s="34"/>
      <c r="H5" s="516" t="s">
        <v>527</v>
      </c>
      <c r="I5" s="516"/>
      <c r="J5" s="516"/>
      <c r="K5" s="34"/>
      <c r="L5" s="128"/>
      <c r="M5" s="258"/>
    </row>
    <row r="6" spans="2:13" x14ac:dyDescent="0.2">
      <c r="B6" s="127"/>
      <c r="C6" s="34"/>
      <c r="D6" s="34"/>
      <c r="E6" s="34"/>
      <c r="F6" s="34"/>
      <c r="G6" s="35"/>
      <c r="H6" s="516"/>
      <c r="I6" s="516"/>
      <c r="J6" s="516"/>
      <c r="K6" s="142"/>
      <c r="L6" s="257"/>
      <c r="M6" s="259"/>
    </row>
    <row r="7" spans="2:13" x14ac:dyDescent="0.2">
      <c r="B7" s="127"/>
      <c r="C7" s="29"/>
      <c r="D7" s="129" t="s">
        <v>47</v>
      </c>
      <c r="E7" s="34"/>
      <c r="F7" s="34"/>
      <c r="G7" s="188"/>
      <c r="H7" s="34"/>
      <c r="I7" s="29"/>
      <c r="J7" s="129" t="s">
        <v>239</v>
      </c>
      <c r="K7" s="34"/>
      <c r="L7" s="128"/>
      <c r="M7" s="259"/>
    </row>
    <row r="8" spans="2:13" x14ac:dyDescent="0.2">
      <c r="B8" s="127"/>
      <c r="C8" s="29"/>
      <c r="D8" s="129" t="s">
        <v>170</v>
      </c>
      <c r="E8" s="34"/>
      <c r="F8" s="34"/>
      <c r="G8" s="130"/>
      <c r="H8" s="48"/>
      <c r="I8" s="29"/>
      <c r="J8" s="129" t="s">
        <v>240</v>
      </c>
      <c r="K8" s="34"/>
      <c r="L8" s="128"/>
      <c r="M8" s="259"/>
    </row>
    <row r="9" spans="2:13" x14ac:dyDescent="0.2">
      <c r="B9" s="127"/>
      <c r="C9" s="31"/>
      <c r="D9" s="41" t="s">
        <v>219</v>
      </c>
      <c r="E9" s="34"/>
      <c r="F9" s="129"/>
      <c r="G9" s="188"/>
      <c r="H9" s="34"/>
      <c r="I9" s="29"/>
      <c r="J9" s="129" t="s">
        <v>166</v>
      </c>
      <c r="K9" s="34"/>
      <c r="L9" s="128"/>
      <c r="M9" s="259"/>
    </row>
    <row r="10" spans="2:13" x14ac:dyDescent="0.2">
      <c r="B10" s="127"/>
      <c r="C10" s="251"/>
      <c r="D10" s="251"/>
      <c r="E10" s="34"/>
      <c r="F10" s="34"/>
      <c r="G10" s="34"/>
      <c r="H10" s="34"/>
      <c r="I10" s="499"/>
      <c r="J10" s="499"/>
      <c r="K10" s="34"/>
      <c r="L10" s="128"/>
      <c r="M10" s="231"/>
    </row>
    <row r="11" spans="2:13" x14ac:dyDescent="0.2">
      <c r="B11" s="127"/>
      <c r="C11" s="34"/>
      <c r="D11" s="34"/>
      <c r="E11" s="34"/>
      <c r="F11" s="34"/>
      <c r="G11" s="34"/>
      <c r="H11" s="34"/>
      <c r="I11" s="34"/>
      <c r="J11" s="34"/>
      <c r="K11" s="67"/>
      <c r="L11" s="128"/>
      <c r="M11" s="231"/>
    </row>
    <row r="12" spans="2:13" x14ac:dyDescent="0.2">
      <c r="B12" s="127"/>
      <c r="C12" s="34"/>
      <c r="D12" s="34"/>
      <c r="E12" s="34"/>
      <c r="F12" s="34"/>
      <c r="G12" s="34"/>
      <c r="H12" s="34"/>
      <c r="I12" s="34"/>
      <c r="J12" s="34"/>
      <c r="K12" s="34"/>
      <c r="L12" s="128"/>
      <c r="M12" s="231"/>
    </row>
    <row r="13" spans="2:13" x14ac:dyDescent="0.2">
      <c r="B13" s="131" t="s">
        <v>287</v>
      </c>
      <c r="C13" s="34"/>
      <c r="D13" s="34"/>
      <c r="E13" s="34"/>
      <c r="F13" s="34"/>
      <c r="G13" s="190"/>
      <c r="H13" s="189" t="s">
        <v>451</v>
      </c>
      <c r="I13" s="34"/>
      <c r="J13" s="34"/>
      <c r="K13" s="34"/>
      <c r="L13" s="128"/>
      <c r="M13" s="231"/>
    </row>
    <row r="14" spans="2:13" x14ac:dyDescent="0.2">
      <c r="B14" s="127"/>
      <c r="C14" s="34"/>
      <c r="D14" s="5"/>
      <c r="E14" s="5"/>
      <c r="F14" s="514" t="s">
        <v>522</v>
      </c>
      <c r="G14" s="514"/>
      <c r="H14" s="514"/>
      <c r="I14" s="34"/>
      <c r="J14" s="143"/>
      <c r="K14" s="34"/>
      <c r="L14" s="128"/>
      <c r="M14" s="231"/>
    </row>
    <row r="15" spans="2:13" x14ac:dyDescent="0.2">
      <c r="B15" s="127"/>
      <c r="C15" s="34"/>
      <c r="D15" s="5"/>
      <c r="E15" s="5"/>
      <c r="F15" s="514"/>
      <c r="G15" s="514"/>
      <c r="H15" s="514"/>
      <c r="I15" s="34"/>
      <c r="J15" s="143"/>
      <c r="K15" s="34"/>
      <c r="L15" s="128"/>
      <c r="M15" s="231"/>
    </row>
    <row r="16" spans="2:13" ht="13.5" thickBot="1" x14ac:dyDescent="0.25">
      <c r="B16" s="132"/>
      <c r="C16" s="133"/>
      <c r="D16" s="134"/>
      <c r="E16" s="134"/>
      <c r="F16" s="515"/>
      <c r="G16" s="515"/>
      <c r="H16" s="515"/>
      <c r="I16" s="133"/>
      <c r="J16" s="144"/>
      <c r="K16" s="133"/>
      <c r="L16" s="135"/>
      <c r="M16" s="231"/>
    </row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x14ac:dyDescent="0.2"/>
    <row r="26" spans="1:14" x14ac:dyDescent="0.2"/>
    <row r="27" spans="1:14" x14ac:dyDescent="0.2"/>
    <row r="28" spans="1:14" s="315" customFormat="1" x14ac:dyDescent="0.2">
      <c r="A28" s="513"/>
      <c r="B28" s="314" t="s">
        <v>406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204" t="s">
        <v>40</v>
      </c>
      <c r="N28" s="204"/>
    </row>
    <row r="29" spans="1:14" s="315" customFormat="1" x14ac:dyDescent="0.2">
      <c r="A29" s="513"/>
      <c r="B29" s="314"/>
      <c r="C29" s="314"/>
      <c r="D29" s="314"/>
      <c r="E29" s="314"/>
      <c r="F29" s="314"/>
      <c r="G29" s="314"/>
      <c r="H29" s="314"/>
      <c r="I29" s="314"/>
      <c r="J29" s="316"/>
      <c r="K29" s="314"/>
      <c r="L29" s="314"/>
      <c r="M29" s="317" t="s">
        <v>42</v>
      </c>
      <c r="N29" s="317"/>
    </row>
    <row r="30" spans="1:14" s="315" customFormat="1" x14ac:dyDescent="0.2">
      <c r="A30" s="513"/>
      <c r="B30" s="314"/>
      <c r="C30" s="314"/>
      <c r="D30" s="314"/>
      <c r="E30" s="314"/>
      <c r="F30" s="314"/>
      <c r="G30" s="314"/>
      <c r="H30" s="314"/>
      <c r="I30" s="314"/>
      <c r="J30" s="316"/>
      <c r="K30" s="314"/>
      <c r="L30" s="318"/>
      <c r="M30" s="204"/>
      <c r="N30" s="204"/>
    </row>
    <row r="31" spans="1:14" s="315" customFormat="1" x14ac:dyDescent="0.2">
      <c r="A31" s="513"/>
      <c r="B31" s="314"/>
      <c r="C31" s="314"/>
      <c r="D31" s="314"/>
      <c r="E31" s="314"/>
      <c r="F31" s="314"/>
      <c r="G31" s="314"/>
      <c r="H31" s="316"/>
      <c r="I31" s="314"/>
      <c r="J31" s="316"/>
      <c r="K31" s="314"/>
      <c r="L31" s="314"/>
      <c r="M31" s="319" t="s">
        <v>44</v>
      </c>
      <c r="N31" s="319" t="s">
        <v>44</v>
      </c>
    </row>
    <row r="32" spans="1:14" s="315" customFormat="1" x14ac:dyDescent="0.2">
      <c r="A32" s="513"/>
      <c r="B32" s="314"/>
      <c r="C32" s="314"/>
      <c r="D32" s="314"/>
      <c r="E32" s="314"/>
      <c r="F32" s="314"/>
      <c r="G32" s="314"/>
      <c r="H32" s="316"/>
      <c r="I32" s="314"/>
      <c r="J32" s="316"/>
      <c r="K32" s="314"/>
      <c r="L32" s="314"/>
      <c r="M32" s="319" t="s">
        <v>47</v>
      </c>
      <c r="N32" s="319" t="s">
        <v>48</v>
      </c>
    </row>
    <row r="33" spans="1:14" s="315" customFormat="1" x14ac:dyDescent="0.2">
      <c r="A33" s="513"/>
      <c r="B33" s="314"/>
      <c r="C33" s="314"/>
      <c r="D33" s="320" t="s">
        <v>16</v>
      </c>
      <c r="E33" s="321">
        <f>'Traffic &amp; Accidents'!C7</f>
        <v>0</v>
      </c>
      <c r="F33" s="314"/>
      <c r="G33" s="314"/>
      <c r="H33" s="314"/>
      <c r="I33" s="320" t="s">
        <v>352</v>
      </c>
      <c r="J33" s="321">
        <f>'Traffic &amp; Accidents'!C8</f>
        <v>0</v>
      </c>
      <c r="K33" s="314"/>
      <c r="L33" s="314"/>
      <c r="M33" s="322" t="s">
        <v>53</v>
      </c>
      <c r="N33" s="322" t="s">
        <v>53</v>
      </c>
    </row>
    <row r="34" spans="1:14" s="315" customFormat="1" x14ac:dyDescent="0.2">
      <c r="A34" s="513"/>
      <c r="B34" s="314"/>
      <c r="C34" s="314"/>
      <c r="D34" s="314"/>
      <c r="E34" s="314"/>
      <c r="F34" s="314"/>
      <c r="G34" s="314"/>
      <c r="H34" s="316"/>
      <c r="I34" s="314"/>
      <c r="J34" s="316"/>
      <c r="K34" s="314"/>
      <c r="L34" s="314"/>
      <c r="M34" s="319"/>
      <c r="N34" s="319"/>
    </row>
    <row r="35" spans="1:14" s="315" customFormat="1" x14ac:dyDescent="0.2">
      <c r="A35" s="513"/>
      <c r="B35" s="314"/>
      <c r="C35" s="314" t="s">
        <v>17</v>
      </c>
      <c r="D35" s="314"/>
      <c r="E35" s="314"/>
      <c r="F35" s="314"/>
      <c r="G35" s="314"/>
      <c r="H35" s="316"/>
      <c r="I35" s="314"/>
      <c r="J35" s="316"/>
      <c r="K35" s="314"/>
      <c r="L35" s="314"/>
      <c r="M35" s="319" t="str">
        <f>IF(AND(E33&lt;50,E33&gt;0),I65,M36)</f>
        <v/>
      </c>
      <c r="N35" s="319" t="str">
        <f>IF(AND(J33&lt;5,J33&gt;0),I65,N36)</f>
        <v/>
      </c>
    </row>
    <row r="36" spans="1:14" s="315" customFormat="1" ht="13.5" thickBot="1" x14ac:dyDescent="0.25">
      <c r="A36" s="513"/>
      <c r="B36" s="314"/>
      <c r="C36" s="314" t="s">
        <v>18</v>
      </c>
      <c r="D36" s="314"/>
      <c r="E36" s="314"/>
      <c r="F36" s="314"/>
      <c r="G36" s="314"/>
      <c r="H36" s="316"/>
      <c r="I36" s="314"/>
      <c r="J36" s="316"/>
      <c r="K36" s="314"/>
      <c r="L36" s="314"/>
      <c r="M36" s="319" t="str">
        <f>IF(AND(E33&lt;100,E33&gt;49),I66,M37)</f>
        <v/>
      </c>
      <c r="N36" s="319" t="str">
        <f>IF(AND(J33&lt;10,J33&gt;4),I66,N37)</f>
        <v/>
      </c>
    </row>
    <row r="37" spans="1:14" s="315" customFormat="1" ht="13.5" thickBot="1" x14ac:dyDescent="0.25">
      <c r="A37" s="513"/>
      <c r="B37" s="314"/>
      <c r="C37" s="323"/>
      <c r="D37" s="314"/>
      <c r="E37" s="314"/>
      <c r="F37" s="314"/>
      <c r="G37" s="314"/>
      <c r="H37" s="314"/>
      <c r="I37" s="320" t="s">
        <v>19</v>
      </c>
      <c r="J37" s="324" t="str">
        <f>IF(E33&gt;J33*10,M35,N35)</f>
        <v/>
      </c>
      <c r="K37" s="314"/>
      <c r="L37" s="314"/>
      <c r="M37" s="319" t="str">
        <f>IF(AND(E33&lt;250,E33&gt;99),I67,M38)</f>
        <v/>
      </c>
      <c r="N37" s="319" t="str">
        <f>IF(AND(J33&lt;25,J33&gt;9),I67,N38)</f>
        <v/>
      </c>
    </row>
    <row r="38" spans="1:14" s="315" customFormat="1" x14ac:dyDescent="0.2">
      <c r="A38" s="513"/>
      <c r="B38" s="314"/>
      <c r="C38" s="314"/>
      <c r="D38" s="314"/>
      <c r="E38" s="314"/>
      <c r="F38" s="314"/>
      <c r="G38" s="314"/>
      <c r="H38" s="316"/>
      <c r="I38" s="314"/>
      <c r="J38" s="316"/>
      <c r="K38" s="314"/>
      <c r="L38" s="314"/>
      <c r="M38" s="319" t="str">
        <f>IF(AND(E33&lt;500,E33&gt;249),I68,M39)</f>
        <v/>
      </c>
      <c r="N38" s="319" t="str">
        <f>IF(AND(J33&lt;50,J33&gt;24),I68,N39)</f>
        <v/>
      </c>
    </row>
    <row r="39" spans="1:14" s="315" customFormat="1" x14ac:dyDescent="0.2">
      <c r="A39" s="513"/>
      <c r="B39" s="314"/>
      <c r="C39" s="314"/>
      <c r="D39" s="314"/>
      <c r="E39" s="314"/>
      <c r="F39" s="314"/>
      <c r="G39" s="314"/>
      <c r="H39" s="316"/>
      <c r="I39" s="314"/>
      <c r="J39" s="316"/>
      <c r="K39" s="314"/>
      <c r="L39" s="314"/>
      <c r="M39" s="319" t="str">
        <f>IF(AND(E33&lt;750,E33&gt;499),I69,M40)</f>
        <v/>
      </c>
      <c r="N39" s="319" t="str">
        <f>IF(AND(J33&lt;75,J33&gt;49),I69,N40)</f>
        <v/>
      </c>
    </row>
    <row r="40" spans="1:14" s="315" customFormat="1" x14ac:dyDescent="0.2">
      <c r="A40" s="513"/>
      <c r="B40" s="325" t="s">
        <v>407</v>
      </c>
      <c r="C40" s="325"/>
      <c r="D40" s="325"/>
      <c r="E40" s="325"/>
      <c r="F40" s="325"/>
      <c r="G40" s="314"/>
      <c r="H40" s="316"/>
      <c r="I40" s="314"/>
      <c r="J40" s="316"/>
      <c r="K40" s="314"/>
      <c r="L40" s="314"/>
      <c r="M40" s="319" t="str">
        <f>IF(AND(E33&lt;1000,E33&gt;749),I70,M41)</f>
        <v/>
      </c>
      <c r="N40" s="319" t="str">
        <f>IF(AND(J33&lt;100,J33&gt;74),I70,N41)</f>
        <v/>
      </c>
    </row>
    <row r="41" spans="1:14" s="315" customFormat="1" x14ac:dyDescent="0.2">
      <c r="A41" s="513"/>
      <c r="B41" s="314"/>
      <c r="C41" s="314"/>
      <c r="D41" s="314"/>
      <c r="E41" s="314"/>
      <c r="F41" s="314"/>
      <c r="G41" s="314"/>
      <c r="H41" s="316"/>
      <c r="I41" s="314"/>
      <c r="J41" s="316"/>
      <c r="K41" s="314"/>
      <c r="L41" s="314"/>
      <c r="M41" s="319" t="str">
        <f>IF(AND(E33&lt;1250,E33&gt;999),I71,M42)</f>
        <v/>
      </c>
      <c r="N41" s="319" t="str">
        <f>IF(AND(J33&lt;125,J33&gt;99),I71,N42)</f>
        <v/>
      </c>
    </row>
    <row r="42" spans="1:14" s="315" customFormat="1" x14ac:dyDescent="0.2">
      <c r="A42" s="513"/>
      <c r="B42" s="323"/>
      <c r="C42" s="318" t="s">
        <v>478</v>
      </c>
      <c r="D42" s="314"/>
      <c r="E42" s="314"/>
      <c r="F42" s="314"/>
      <c r="G42" s="314"/>
      <c r="H42" s="314"/>
      <c r="I42" s="314"/>
      <c r="J42" s="314"/>
      <c r="K42" s="316"/>
      <c r="L42" s="314"/>
      <c r="M42" s="319" t="str">
        <f>IF(AND(E33&lt;1500,E33&gt;1249),I72,M43)</f>
        <v/>
      </c>
      <c r="N42" s="319" t="str">
        <f>IF(AND(J33&lt;150,J33&gt;124),I72,N43)</f>
        <v/>
      </c>
    </row>
    <row r="43" spans="1:14" s="315" customFormat="1" x14ac:dyDescent="0.2">
      <c r="A43" s="513"/>
      <c r="B43" s="323"/>
      <c r="C43" s="314" t="s">
        <v>20</v>
      </c>
      <c r="D43" s="314"/>
      <c r="E43" s="314"/>
      <c r="F43" s="314"/>
      <c r="G43" s="314"/>
      <c r="H43" s="314"/>
      <c r="I43" s="314"/>
      <c r="J43" s="314"/>
      <c r="K43" s="316"/>
      <c r="L43" s="314"/>
      <c r="M43" s="319" t="str">
        <f>IF(AND(E33&lt;2000,E33&gt;1499),I73,M44)</f>
        <v/>
      </c>
      <c r="N43" s="319" t="str">
        <f>IF(AND(J33&lt;200,J33&gt;149),I73,N44)</f>
        <v/>
      </c>
    </row>
    <row r="44" spans="1:14" s="315" customFormat="1" x14ac:dyDescent="0.2">
      <c r="A44" s="513"/>
      <c r="B44" s="323"/>
      <c r="C44" s="326"/>
      <c r="D44" s="327"/>
      <c r="E44" s="327"/>
      <c r="F44" s="327"/>
      <c r="G44" s="327"/>
      <c r="H44" s="327"/>
      <c r="I44" s="327"/>
      <c r="J44" s="328"/>
      <c r="K44" s="314"/>
      <c r="L44" s="314"/>
      <c r="M44" s="319" t="str">
        <f>IF(AND(E33&lt;=2500,E33&gt;1999),I74,M45)</f>
        <v/>
      </c>
      <c r="N44" s="319" t="str">
        <f>IF(AND(J33&lt;250,J33&gt;199),I74,N45)</f>
        <v/>
      </c>
    </row>
    <row r="45" spans="1:14" s="315" customFormat="1" x14ac:dyDescent="0.2">
      <c r="A45" s="513"/>
      <c r="B45" s="323"/>
      <c r="C45" s="329"/>
      <c r="D45" s="325" t="s">
        <v>21</v>
      </c>
      <c r="E45" s="325" t="s">
        <v>22</v>
      </c>
      <c r="F45" s="325"/>
      <c r="G45" s="325" t="s">
        <v>23</v>
      </c>
      <c r="H45" s="330"/>
      <c r="I45" s="325" t="s">
        <v>24</v>
      </c>
      <c r="J45" s="331"/>
      <c r="K45" s="314"/>
      <c r="L45" s="314"/>
      <c r="M45" s="319" t="str">
        <f>IF(E33&gt;2500,I75,"")</f>
        <v/>
      </c>
      <c r="N45" s="319" t="str">
        <f>IF(J33&gt;=250,I75,"")</f>
        <v/>
      </c>
    </row>
    <row r="46" spans="1:14" s="315" customFormat="1" x14ac:dyDescent="0.2">
      <c r="A46" s="513"/>
      <c r="B46" s="323"/>
      <c r="C46" s="329" t="s">
        <v>25</v>
      </c>
      <c r="D46" s="314"/>
      <c r="E46" s="316" t="s">
        <v>26</v>
      </c>
      <c r="F46" s="314"/>
      <c r="G46" s="316" t="s">
        <v>26</v>
      </c>
      <c r="H46" s="314"/>
      <c r="I46" s="316" t="s">
        <v>26</v>
      </c>
      <c r="J46" s="331"/>
      <c r="K46" s="314"/>
      <c r="L46" s="314"/>
      <c r="M46" s="204"/>
    </row>
    <row r="47" spans="1:14" s="315" customFormat="1" ht="13.5" thickBot="1" x14ac:dyDescent="0.25">
      <c r="A47" s="513"/>
      <c r="B47" s="323"/>
      <c r="C47" s="329" t="s">
        <v>25</v>
      </c>
      <c r="D47" s="314"/>
      <c r="E47" s="314"/>
      <c r="F47" s="314"/>
      <c r="G47" s="314"/>
      <c r="H47" s="314"/>
      <c r="I47" s="314"/>
      <c r="J47" s="331"/>
      <c r="K47" s="314"/>
      <c r="L47" s="314"/>
      <c r="M47" s="204"/>
    </row>
    <row r="48" spans="1:14" s="315" customFormat="1" ht="13.5" thickBot="1" x14ac:dyDescent="0.25">
      <c r="A48" s="513"/>
      <c r="B48" s="323"/>
      <c r="C48" s="332"/>
      <c r="D48" s="314" t="s">
        <v>27</v>
      </c>
      <c r="E48" s="324">
        <f>'Traffic &amp; Accidents'!I7</f>
        <v>0</v>
      </c>
      <c r="F48" s="316"/>
      <c r="G48" s="324">
        <f>'Traffic &amp; Accidents'!I8</f>
        <v>0</v>
      </c>
      <c r="H48" s="316"/>
      <c r="I48" s="324">
        <f>'Traffic &amp; Accidents'!I9</f>
        <v>0</v>
      </c>
      <c r="J48" s="331"/>
      <c r="K48" s="314"/>
      <c r="L48" s="314"/>
      <c r="M48" s="204"/>
    </row>
    <row r="49" spans="1:15" s="315" customFormat="1" x14ac:dyDescent="0.2">
      <c r="A49" s="513"/>
      <c r="B49" s="323"/>
      <c r="C49" s="329"/>
      <c r="D49" s="314"/>
      <c r="E49" s="314"/>
      <c r="F49" s="314"/>
      <c r="G49" s="314"/>
      <c r="H49" s="314"/>
      <c r="I49" s="314"/>
      <c r="J49" s="331"/>
      <c r="K49" s="314"/>
      <c r="L49" s="314"/>
      <c r="M49" s="204"/>
    </row>
    <row r="50" spans="1:15" s="315" customFormat="1" x14ac:dyDescent="0.2">
      <c r="A50" s="513"/>
      <c r="B50" s="323"/>
      <c r="C50" s="333"/>
      <c r="D50" s="334" t="s">
        <v>28</v>
      </c>
      <c r="E50" s="335" t="s">
        <v>414</v>
      </c>
      <c r="F50" s="335"/>
      <c r="G50" s="335" t="s">
        <v>415</v>
      </c>
      <c r="H50" s="335"/>
      <c r="I50" s="335" t="s">
        <v>29</v>
      </c>
      <c r="J50" s="336"/>
      <c r="K50" s="314"/>
      <c r="L50" s="314"/>
      <c r="M50" s="204"/>
    </row>
    <row r="51" spans="1:15" s="315" customFormat="1" x14ac:dyDescent="0.2">
      <c r="A51" s="513"/>
      <c r="B51" s="323"/>
      <c r="C51" s="314" t="s">
        <v>30</v>
      </c>
      <c r="D51" s="314"/>
      <c r="E51" s="314"/>
      <c r="F51" s="314"/>
      <c r="G51" s="314"/>
      <c r="H51" s="314"/>
      <c r="I51" s="314"/>
      <c r="J51" s="314"/>
      <c r="K51" s="314"/>
      <c r="L51" s="314"/>
      <c r="M51" s="204"/>
    </row>
    <row r="52" spans="1:15" s="315" customFormat="1" x14ac:dyDescent="0.2">
      <c r="A52" s="513"/>
      <c r="B52" s="323"/>
      <c r="C52" s="314"/>
      <c r="D52" s="316" t="s">
        <v>31</v>
      </c>
      <c r="E52" s="335">
        <f>E48*3</f>
        <v>0</v>
      </c>
      <c r="F52" s="316" t="s">
        <v>32</v>
      </c>
      <c r="G52" s="335">
        <f>G48*10</f>
        <v>0</v>
      </c>
      <c r="H52" s="316" t="s">
        <v>32</v>
      </c>
      <c r="I52" s="335">
        <f>I48*25</f>
        <v>0</v>
      </c>
      <c r="J52" s="316" t="s">
        <v>31</v>
      </c>
      <c r="K52" s="337">
        <f>SUM(E52,G52,I52)</f>
        <v>0</v>
      </c>
      <c r="L52" s="314"/>
      <c r="M52" s="204"/>
    </row>
    <row r="53" spans="1:15" s="315" customFormat="1" ht="13.5" thickBot="1" x14ac:dyDescent="0.25">
      <c r="A53" s="513"/>
      <c r="B53" s="323"/>
      <c r="C53" s="314"/>
      <c r="D53" s="314"/>
      <c r="E53" s="314"/>
      <c r="F53" s="314"/>
      <c r="G53" s="314"/>
      <c r="H53" s="314"/>
      <c r="I53" s="314"/>
      <c r="J53" s="314"/>
      <c r="K53" s="316" t="s">
        <v>33</v>
      </c>
      <c r="L53" s="314"/>
      <c r="M53" s="204"/>
    </row>
    <row r="54" spans="1:15" s="315" customFormat="1" ht="13.5" thickBot="1" x14ac:dyDescent="0.25">
      <c r="A54" s="513"/>
      <c r="B54" s="323"/>
      <c r="C54" s="335">
        <f>K52</f>
        <v>0</v>
      </c>
      <c r="D54" s="316">
        <v>3</v>
      </c>
      <c r="E54" s="338">
        <f>'3R RATING SUMMARY'!E6</f>
        <v>0</v>
      </c>
      <c r="F54" s="339" t="s">
        <v>31</v>
      </c>
      <c r="G54" s="340" t="e">
        <f>C54/3/E54</f>
        <v>#DIV/0!</v>
      </c>
      <c r="H54" s="323"/>
      <c r="I54" s="314" t="s">
        <v>34</v>
      </c>
      <c r="J54" s="314"/>
      <c r="K54" s="314"/>
      <c r="L54" s="314"/>
      <c r="M54" s="204"/>
    </row>
    <row r="55" spans="1:15" s="315" customFormat="1" x14ac:dyDescent="0.2">
      <c r="A55" s="513"/>
      <c r="B55" s="323"/>
      <c r="C55" s="316" t="s">
        <v>33</v>
      </c>
      <c r="D55" s="314"/>
      <c r="E55" s="314" t="s">
        <v>35</v>
      </c>
      <c r="F55" s="314"/>
      <c r="G55" s="341" t="s">
        <v>479</v>
      </c>
      <c r="H55" s="323"/>
      <c r="I55" s="314"/>
      <c r="J55" s="316" t="s">
        <v>36</v>
      </c>
      <c r="K55" s="316"/>
      <c r="L55" s="314"/>
      <c r="M55" s="204"/>
    </row>
    <row r="56" spans="1:15" s="315" customFormat="1" x14ac:dyDescent="0.2">
      <c r="A56" s="513"/>
      <c r="B56" s="323"/>
      <c r="C56" s="314"/>
      <c r="D56" s="314"/>
      <c r="E56" s="316" t="s">
        <v>37</v>
      </c>
      <c r="F56" s="314"/>
      <c r="G56" s="314" t="s">
        <v>38</v>
      </c>
      <c r="H56" s="314"/>
      <c r="I56" s="314"/>
      <c r="J56" s="314"/>
      <c r="K56" s="316"/>
      <c r="L56" s="314"/>
      <c r="M56" s="204"/>
    </row>
    <row r="57" spans="1:15" s="204" customFormat="1" x14ac:dyDescent="0.2">
      <c r="A57" s="513"/>
      <c r="B57" s="323"/>
      <c r="C57" s="314"/>
      <c r="D57" s="314"/>
      <c r="E57" s="314"/>
      <c r="F57" s="314"/>
      <c r="G57" s="314"/>
      <c r="H57" s="314"/>
      <c r="I57" s="316"/>
      <c r="J57" s="314"/>
      <c r="K57" s="316"/>
      <c r="L57" s="314"/>
    </row>
    <row r="58" spans="1:15" s="204" customFormat="1" x14ac:dyDescent="0.2">
      <c r="A58" s="513"/>
      <c r="B58" s="323"/>
      <c r="C58" s="314"/>
      <c r="D58" s="323"/>
      <c r="E58" s="314"/>
      <c r="F58" s="314"/>
      <c r="G58" s="314"/>
      <c r="H58" s="314"/>
      <c r="I58" s="314"/>
      <c r="J58" s="320" t="s">
        <v>39</v>
      </c>
      <c r="K58" s="342">
        <f>IF(K52=0,0,M65)</f>
        <v>0</v>
      </c>
      <c r="L58" s="314"/>
      <c r="M58" s="204" t="s">
        <v>41</v>
      </c>
    </row>
    <row r="59" spans="1:15" s="204" customFormat="1" x14ac:dyDescent="0.2">
      <c r="A59" s="513"/>
      <c r="B59" s="314"/>
      <c r="C59" s="314"/>
      <c r="D59" s="314"/>
      <c r="E59" s="314"/>
      <c r="F59" s="314"/>
      <c r="G59" s="314"/>
      <c r="H59" s="316"/>
      <c r="I59" s="314"/>
      <c r="J59" s="316"/>
      <c r="K59" s="314"/>
      <c r="L59" s="314"/>
      <c r="M59" s="317" t="s">
        <v>42</v>
      </c>
    </row>
    <row r="60" spans="1:15" s="204" customFormat="1" x14ac:dyDescent="0.2">
      <c r="A60" s="513"/>
      <c r="B60" s="314"/>
      <c r="C60" s="323"/>
      <c r="D60" s="323"/>
      <c r="E60" s="314"/>
      <c r="F60" s="343" t="s">
        <v>43</v>
      </c>
      <c r="G60" s="314"/>
      <c r="H60" s="316"/>
      <c r="I60" s="314"/>
      <c r="J60" s="316"/>
      <c r="K60" s="314"/>
      <c r="L60" s="314"/>
    </row>
    <row r="61" spans="1:15" s="204" customFormat="1" x14ac:dyDescent="0.2">
      <c r="A61" s="513"/>
      <c r="B61" s="314"/>
      <c r="C61" s="314"/>
      <c r="D61" s="314"/>
      <c r="E61" s="314"/>
      <c r="F61" s="314"/>
      <c r="G61" s="314"/>
      <c r="H61" s="316"/>
      <c r="I61" s="314"/>
      <c r="J61" s="316"/>
      <c r="K61" s="314"/>
      <c r="L61" s="314"/>
      <c r="M61" s="319" t="s">
        <v>44</v>
      </c>
    </row>
    <row r="62" spans="1:15" s="315" customFormat="1" x14ac:dyDescent="0.2">
      <c r="A62" s="513"/>
      <c r="B62" s="314"/>
      <c r="C62" s="316" t="s">
        <v>45</v>
      </c>
      <c r="D62" s="323"/>
      <c r="E62" s="314" t="s">
        <v>45</v>
      </c>
      <c r="F62" s="323"/>
      <c r="G62" s="341" t="s">
        <v>480</v>
      </c>
      <c r="H62" s="316"/>
      <c r="I62" s="316" t="s">
        <v>46</v>
      </c>
      <c r="J62" s="316"/>
      <c r="K62" s="314"/>
      <c r="L62" s="314"/>
      <c r="M62" s="319" t="s">
        <v>49</v>
      </c>
      <c r="O62" s="204"/>
    </row>
    <row r="63" spans="1:15" s="315" customFormat="1" x14ac:dyDescent="0.2">
      <c r="A63" s="513"/>
      <c r="B63" s="314" t="s">
        <v>15</v>
      </c>
      <c r="C63" s="344" t="s">
        <v>50</v>
      </c>
      <c r="D63" s="323"/>
      <c r="E63" s="344" t="s">
        <v>51</v>
      </c>
      <c r="F63" s="323"/>
      <c r="G63" s="325" t="s">
        <v>52</v>
      </c>
      <c r="H63" s="316"/>
      <c r="I63" s="344" t="s">
        <v>5</v>
      </c>
      <c r="J63" s="316"/>
      <c r="K63" s="314"/>
      <c r="L63" s="314"/>
      <c r="M63" s="322" t="s">
        <v>53</v>
      </c>
      <c r="O63" s="204"/>
    </row>
    <row r="64" spans="1:15" s="315" customFormat="1" x14ac:dyDescent="0.2">
      <c r="A64" s="513"/>
      <c r="B64" s="314"/>
      <c r="C64" s="314"/>
      <c r="D64" s="323"/>
      <c r="E64" s="314"/>
      <c r="F64" s="323"/>
      <c r="G64" s="323"/>
      <c r="H64" s="316"/>
      <c r="I64" s="314"/>
      <c r="J64" s="316"/>
      <c r="K64" s="314"/>
      <c r="L64" s="314"/>
      <c r="M64" s="319"/>
      <c r="O64" s="204"/>
    </row>
    <row r="65" spans="1:15" s="315" customFormat="1" ht="12.75" customHeight="1" x14ac:dyDescent="0.2">
      <c r="A65" s="513"/>
      <c r="B65" s="314"/>
      <c r="C65" s="316" t="s">
        <v>54</v>
      </c>
      <c r="D65" s="345" t="str">
        <f>IF(AND(E33&lt;50,E33&gt;0),"*","")</f>
        <v/>
      </c>
      <c r="E65" s="346" t="s">
        <v>55</v>
      </c>
      <c r="F65" s="345" t="str">
        <f>IF(AND(J33&lt;5,J33&gt;0),"*","")</f>
        <v/>
      </c>
      <c r="G65" s="316" t="s">
        <v>56</v>
      </c>
      <c r="H65" s="347" t="e">
        <f>IF(AND(G54&lt;2.5,G54&gt;0),"*","")</f>
        <v>#DIV/0!</v>
      </c>
      <c r="I65" s="316">
        <v>0</v>
      </c>
      <c r="J65" s="316"/>
      <c r="K65" s="314"/>
      <c r="L65" s="314"/>
      <c r="M65" s="319" t="e">
        <f>IF(AND(G54&lt;2.5,G54&gt;0),I65,M66)</f>
        <v>#DIV/0!</v>
      </c>
      <c r="O65" s="204"/>
    </row>
    <row r="66" spans="1:15" s="315" customFormat="1" ht="12.75" customHeight="1" x14ac:dyDescent="0.2">
      <c r="A66" s="513"/>
      <c r="B66" s="314"/>
      <c r="C66" s="316" t="s">
        <v>353</v>
      </c>
      <c r="D66" s="345" t="str">
        <f>IF(AND(E33&lt;100,E33&gt;49),"*","")</f>
        <v/>
      </c>
      <c r="E66" s="339" t="s">
        <v>354</v>
      </c>
      <c r="F66" s="345" t="str">
        <f>IF(AND(J33&lt;10,J33&gt;4),"*","")</f>
        <v/>
      </c>
      <c r="G66" s="348" t="s">
        <v>57</v>
      </c>
      <c r="H66" s="347" t="e">
        <f>IF(AND(G54&lt;4.5,G54&gt;=2.5),"*","")</f>
        <v>#DIV/0!</v>
      </c>
      <c r="I66" s="316">
        <v>1</v>
      </c>
      <c r="J66" s="316"/>
      <c r="K66" s="314"/>
      <c r="L66" s="314"/>
      <c r="M66" s="319" t="e">
        <f>IF(AND(G54&lt;4.5,G54&gt;=2.5),I66,M67)</f>
        <v>#DIV/0!</v>
      </c>
      <c r="O66" s="204"/>
    </row>
    <row r="67" spans="1:15" s="315" customFormat="1" ht="12.75" customHeight="1" x14ac:dyDescent="0.2">
      <c r="A67" s="513"/>
      <c r="B67" s="314"/>
      <c r="C67" s="316" t="s">
        <v>355</v>
      </c>
      <c r="D67" s="345" t="str">
        <f>IF(AND(E33&lt;250,E33&gt;99),"*","")</f>
        <v/>
      </c>
      <c r="E67" s="339" t="s">
        <v>356</v>
      </c>
      <c r="F67" s="345" t="str">
        <f>IF(AND(J33&lt;25,J33&gt;9),"*","")</f>
        <v/>
      </c>
      <c r="G67" s="339" t="s">
        <v>58</v>
      </c>
      <c r="H67" s="347" t="e">
        <f>IF(AND(G54&lt;6.5,G54&gt;=4.5),"*","")</f>
        <v>#DIV/0!</v>
      </c>
      <c r="I67" s="316">
        <v>2</v>
      </c>
      <c r="J67" s="316"/>
      <c r="K67" s="314"/>
      <c r="L67" s="314"/>
      <c r="M67" s="319" t="e">
        <f>IF(AND(G54&lt;6.5,G54&gt;=4.5),I67,M68)</f>
        <v>#DIV/0!</v>
      </c>
      <c r="O67" s="204"/>
    </row>
    <row r="68" spans="1:15" s="315" customFormat="1" ht="12.75" customHeight="1" x14ac:dyDescent="0.2">
      <c r="A68" s="513"/>
      <c r="B68" s="314"/>
      <c r="C68" s="316" t="s">
        <v>357</v>
      </c>
      <c r="D68" s="345" t="str">
        <f>IF(AND(E33&lt;500,E33&gt;249),"*","")</f>
        <v/>
      </c>
      <c r="E68" s="316" t="s">
        <v>358</v>
      </c>
      <c r="F68" s="345" t="str">
        <f>IF(AND(J33&lt;50,J33&gt;24),"*","")</f>
        <v/>
      </c>
      <c r="G68" s="339" t="s">
        <v>59</v>
      </c>
      <c r="H68" s="347" t="e">
        <f>IF(AND(G54&lt;8.4,G54&gt;=6.5),"*","")</f>
        <v>#DIV/0!</v>
      </c>
      <c r="I68" s="316">
        <v>3</v>
      </c>
      <c r="J68" s="316"/>
      <c r="K68" s="314"/>
      <c r="L68" s="314"/>
      <c r="M68" s="319" t="e">
        <f>IF(AND(G54&lt;8.4,G54&gt;=6.5),I68,M69)</f>
        <v>#DIV/0!</v>
      </c>
      <c r="O68" s="204"/>
    </row>
    <row r="69" spans="1:15" s="315" customFormat="1" ht="12.75" customHeight="1" x14ac:dyDescent="0.2">
      <c r="A69" s="513"/>
      <c r="B69" s="314"/>
      <c r="C69" s="316" t="s">
        <v>359</v>
      </c>
      <c r="D69" s="345" t="str">
        <f>IF(AND(E33&lt;750,E33&gt;499),"*","")</f>
        <v/>
      </c>
      <c r="E69" s="316" t="s">
        <v>360</v>
      </c>
      <c r="F69" s="345" t="str">
        <f>IF(AND(J33&lt;75,J33&gt;49),"*","")</f>
        <v/>
      </c>
      <c r="G69" s="339" t="s">
        <v>60</v>
      </c>
      <c r="H69" s="347" t="e">
        <f>IF(AND(G54&lt;10.5,G54&gt;=8.5),"*","")</f>
        <v>#DIV/0!</v>
      </c>
      <c r="I69" s="316">
        <v>4</v>
      </c>
      <c r="J69" s="316"/>
      <c r="K69" s="314"/>
      <c r="L69" s="314"/>
      <c r="M69" s="319" t="e">
        <f>IF(AND(G54&lt;10.5,G54&gt;=8.5),I69,M70)</f>
        <v>#DIV/0!</v>
      </c>
      <c r="O69" s="204"/>
    </row>
    <row r="70" spans="1:15" s="315" customFormat="1" ht="12.75" customHeight="1" x14ac:dyDescent="0.2">
      <c r="A70" s="513"/>
      <c r="B70" s="314"/>
      <c r="C70" s="316" t="s">
        <v>361</v>
      </c>
      <c r="D70" s="345" t="str">
        <f>IF(AND(E33&lt;1000,E33&gt;749),"*","")</f>
        <v/>
      </c>
      <c r="E70" s="316" t="s">
        <v>362</v>
      </c>
      <c r="F70" s="345" t="str">
        <f>IF(AND(J33&lt;100,J33&gt;74),"*","")</f>
        <v/>
      </c>
      <c r="G70" s="339" t="s">
        <v>61</v>
      </c>
      <c r="H70" s="347" t="e">
        <f>IF(AND(G54&lt;12.5,G54&gt;=10.5),"*","")</f>
        <v>#DIV/0!</v>
      </c>
      <c r="I70" s="316">
        <v>5</v>
      </c>
      <c r="J70" s="316"/>
      <c r="K70" s="314"/>
      <c r="L70" s="314"/>
      <c r="M70" s="319" t="e">
        <f>IF(AND(G54&lt;12.5,G54&gt;=10.5),I70,M71)</f>
        <v>#DIV/0!</v>
      </c>
      <c r="O70" s="204"/>
    </row>
    <row r="71" spans="1:15" s="315" customFormat="1" ht="12.75" customHeight="1" x14ac:dyDescent="0.2">
      <c r="A71" s="513"/>
      <c r="B71" s="314"/>
      <c r="C71" s="316" t="s">
        <v>363</v>
      </c>
      <c r="D71" s="345" t="str">
        <f>IF(AND(E33&lt;1250,E33&gt;999),"*","")</f>
        <v/>
      </c>
      <c r="E71" s="316" t="s">
        <v>364</v>
      </c>
      <c r="F71" s="345" t="str">
        <f>IF(AND(J33&lt;125,J33&gt;99),"*","")</f>
        <v/>
      </c>
      <c r="G71" s="339" t="s">
        <v>62</v>
      </c>
      <c r="H71" s="347" t="e">
        <f>IF(AND(G54&lt;14.5,G54&gt;=12.5),"*","")</f>
        <v>#DIV/0!</v>
      </c>
      <c r="I71" s="316">
        <v>6</v>
      </c>
      <c r="J71" s="316"/>
      <c r="K71" s="314"/>
      <c r="L71" s="314"/>
      <c r="M71" s="319" t="e">
        <f>IF(AND(G54&lt;14.5,G54&gt;=12.5),I71,M72)</f>
        <v>#DIV/0!</v>
      </c>
      <c r="O71" s="204"/>
    </row>
    <row r="72" spans="1:15" s="315" customFormat="1" ht="12.75" customHeight="1" x14ac:dyDescent="0.2">
      <c r="A72" s="513"/>
      <c r="B72" s="314"/>
      <c r="C72" s="316" t="s">
        <v>365</v>
      </c>
      <c r="D72" s="345" t="str">
        <f>IF(AND(E33&lt;1500,E33&gt;1249),"*","")</f>
        <v/>
      </c>
      <c r="E72" s="316" t="s">
        <v>366</v>
      </c>
      <c r="F72" s="345" t="str">
        <f>IF(AND(J33&lt;150,J33&gt;124),"*","")</f>
        <v/>
      </c>
      <c r="G72" s="316" t="s">
        <v>63</v>
      </c>
      <c r="H72" s="347" t="e">
        <f>IF(AND(G54&lt;16.5,G54&gt;=14.5),"*","")</f>
        <v>#DIV/0!</v>
      </c>
      <c r="I72" s="316">
        <v>7</v>
      </c>
      <c r="J72" s="316"/>
      <c r="K72" s="314"/>
      <c r="L72" s="314"/>
      <c r="M72" s="319" t="e">
        <f>IF(AND(G54&lt;16.5,G54&gt;=14.5),I72,M73)</f>
        <v>#DIV/0!</v>
      </c>
      <c r="O72" s="204"/>
    </row>
    <row r="73" spans="1:15" s="315" customFormat="1" ht="12.75" customHeight="1" x14ac:dyDescent="0.2">
      <c r="A73" s="513"/>
      <c r="B73" s="314"/>
      <c r="C73" s="316" t="s">
        <v>367</v>
      </c>
      <c r="D73" s="345" t="str">
        <f>IF(AND(E33&lt;2000,E33&gt;1499),E33,"")</f>
        <v/>
      </c>
      <c r="E73" s="316" t="s">
        <v>368</v>
      </c>
      <c r="F73" s="345" t="str">
        <f>IF(AND(J33&lt;200,J33&gt;149),"*","")</f>
        <v/>
      </c>
      <c r="G73" s="316" t="s">
        <v>64</v>
      </c>
      <c r="H73" s="347" t="e">
        <f>IF(AND(G54&lt;18.5,G54&gt;=16.5),"*","")</f>
        <v>#DIV/0!</v>
      </c>
      <c r="I73" s="316">
        <v>8</v>
      </c>
      <c r="J73" s="316"/>
      <c r="K73" s="314"/>
      <c r="L73" s="314"/>
      <c r="M73" s="319" t="e">
        <f>IF(AND(G54&lt;18.5,G54&gt;=16.5),I73,M74)</f>
        <v>#DIV/0!</v>
      </c>
      <c r="O73" s="204"/>
    </row>
    <row r="74" spans="1:15" s="315" customFormat="1" ht="12.75" customHeight="1" x14ac:dyDescent="0.2">
      <c r="A74" s="513"/>
      <c r="B74" s="314"/>
      <c r="C74" s="316" t="s">
        <v>369</v>
      </c>
      <c r="D74" s="345" t="str">
        <f>IF(AND(E33&lt;=2500,E33&gt;1999),"*","")</f>
        <v/>
      </c>
      <c r="E74" s="316" t="s">
        <v>370</v>
      </c>
      <c r="F74" s="345" t="str">
        <f>IF(AND(J33&lt;250,J33&gt;199),"*","")</f>
        <v/>
      </c>
      <c r="G74" s="316" t="s">
        <v>65</v>
      </c>
      <c r="H74" s="347" t="e">
        <f>IF(AND(G54&lt;20.5,G54&gt;=18.5),"*","")</f>
        <v>#DIV/0!</v>
      </c>
      <c r="I74" s="316">
        <v>9</v>
      </c>
      <c r="J74" s="316"/>
      <c r="K74" s="314"/>
      <c r="L74" s="314"/>
      <c r="M74" s="319" t="e">
        <f>IF(AND(G54&lt;20.5,G54&gt;=18.5),I74,M75)</f>
        <v>#DIV/0!</v>
      </c>
      <c r="O74" s="204"/>
    </row>
    <row r="75" spans="1:15" s="315" customFormat="1" ht="12.75" customHeight="1" x14ac:dyDescent="0.2">
      <c r="A75" s="513"/>
      <c r="B75" s="314"/>
      <c r="C75" s="316" t="s">
        <v>66</v>
      </c>
      <c r="D75" s="345" t="str">
        <f>IF(E33&gt;2500,"*","")</f>
        <v/>
      </c>
      <c r="E75" s="316" t="s">
        <v>67</v>
      </c>
      <c r="F75" s="345" t="str">
        <f>IF(J33&gt;=250,"*","")</f>
        <v/>
      </c>
      <c r="G75" s="316" t="s">
        <v>68</v>
      </c>
      <c r="H75" s="347" t="e">
        <f>IF(G54&gt;=20.5,"*","")</f>
        <v>#DIV/0!</v>
      </c>
      <c r="I75" s="316">
        <v>10</v>
      </c>
      <c r="J75" s="316"/>
      <c r="K75" s="314"/>
      <c r="L75" s="314"/>
      <c r="M75" s="319" t="e">
        <f>IF(G54&gt;=20.5,I75,"")</f>
        <v>#DIV/0!</v>
      </c>
      <c r="O75" s="204"/>
    </row>
    <row r="76" spans="1:15" s="315" customFormat="1" x14ac:dyDescent="0.2">
      <c r="A76" s="513"/>
      <c r="B76" s="314"/>
      <c r="C76" s="314"/>
      <c r="D76" s="314"/>
      <c r="E76" s="314" t="s">
        <v>69</v>
      </c>
      <c r="F76" s="314"/>
      <c r="G76" s="314"/>
      <c r="H76" s="316"/>
      <c r="I76" s="314"/>
      <c r="J76" s="316"/>
      <c r="K76" s="314"/>
      <c r="L76" s="314"/>
    </row>
    <row r="77" spans="1:15" s="315" customFormat="1" x14ac:dyDescent="0.2">
      <c r="A77" s="513"/>
      <c r="B77" s="314"/>
      <c r="C77" s="314"/>
      <c r="D77" s="314"/>
      <c r="E77" s="314" t="s">
        <v>70</v>
      </c>
      <c r="F77" s="314"/>
      <c r="G77" s="314"/>
      <c r="H77" s="314"/>
      <c r="I77" s="314"/>
      <c r="J77" s="316"/>
      <c r="K77" s="314"/>
      <c r="L77" s="314"/>
      <c r="M77" s="204"/>
    </row>
    <row r="78" spans="1:15" s="315" customFormat="1" x14ac:dyDescent="0.2">
      <c r="A78" s="204"/>
      <c r="B78" s="314" t="s">
        <v>15</v>
      </c>
      <c r="C78" s="314"/>
      <c r="D78" s="314"/>
      <c r="E78" s="314"/>
      <c r="F78" s="314"/>
      <c r="G78" s="314"/>
      <c r="H78" s="316"/>
      <c r="I78" s="314"/>
      <c r="J78" s="316"/>
      <c r="K78" s="314"/>
      <c r="L78" s="314"/>
      <c r="M78" s="204"/>
    </row>
    <row r="79" spans="1:15" s="315" customFormat="1" x14ac:dyDescent="0.2">
      <c r="A79" s="204"/>
      <c r="B79" s="204"/>
      <c r="C79" s="204"/>
      <c r="D79" s="204"/>
      <c r="E79" s="204"/>
      <c r="F79" s="204"/>
      <c r="G79" s="204"/>
      <c r="H79" s="349"/>
      <c r="I79" s="204"/>
      <c r="J79" s="349"/>
      <c r="K79" s="204"/>
      <c r="L79" s="204"/>
      <c r="M79" s="204"/>
    </row>
  </sheetData>
  <sheetProtection password="EC65" sheet="1" selectLockedCells="1"/>
  <mergeCells count="3">
    <mergeCell ref="A28:A77"/>
    <mergeCell ref="F14:H16"/>
    <mergeCell ref="H5:J6"/>
  </mergeCells>
  <conditionalFormatting sqref="L3">
    <cfRule type="expression" dxfId="18" priority="12" stopIfTrue="1">
      <formula>ISERROR(L3)</formula>
    </cfRule>
  </conditionalFormatting>
  <conditionalFormatting sqref="H67">
    <cfRule type="expression" dxfId="17" priority="1" stopIfTrue="1">
      <formula>ISERROR(H65)</formula>
    </cfRule>
  </conditionalFormatting>
  <conditionalFormatting sqref="H66">
    <cfRule type="expression" dxfId="16" priority="2" stopIfTrue="1">
      <formula>ISERROR(H65)</formula>
    </cfRule>
  </conditionalFormatting>
  <conditionalFormatting sqref="H68">
    <cfRule type="expression" dxfId="15" priority="3" stopIfTrue="1">
      <formula>ISERROR(H65)</formula>
    </cfRule>
  </conditionalFormatting>
  <conditionalFormatting sqref="H69">
    <cfRule type="expression" dxfId="14" priority="4" stopIfTrue="1">
      <formula>ISERROR(H65)</formula>
    </cfRule>
  </conditionalFormatting>
  <conditionalFormatting sqref="H70">
    <cfRule type="expression" dxfId="13" priority="5" stopIfTrue="1">
      <formula>ISERROR(H65)</formula>
    </cfRule>
  </conditionalFormatting>
  <conditionalFormatting sqref="H71">
    <cfRule type="expression" dxfId="12" priority="6" stopIfTrue="1">
      <formula>ISERROR(H65)</formula>
    </cfRule>
  </conditionalFormatting>
  <conditionalFormatting sqref="H72">
    <cfRule type="expression" dxfId="11" priority="7" stopIfTrue="1">
      <formula>ISERROR(H65)</formula>
    </cfRule>
  </conditionalFormatting>
  <conditionalFormatting sqref="H73">
    <cfRule type="expression" dxfId="10" priority="8" stopIfTrue="1">
      <formula>ISERROR(H65)</formula>
    </cfRule>
  </conditionalFormatting>
  <conditionalFormatting sqref="H74">
    <cfRule type="expression" dxfId="9" priority="9" stopIfTrue="1">
      <formula>ISERROR(H65)</formula>
    </cfRule>
  </conditionalFormatting>
  <conditionalFormatting sqref="H75">
    <cfRule type="expression" dxfId="8" priority="10" stopIfTrue="1">
      <formula>ISERROR(H65)</formula>
    </cfRule>
  </conditionalFormatting>
  <conditionalFormatting sqref="H65">
    <cfRule type="expression" dxfId="7" priority="11" stopIfTrue="1">
      <formula>ISERROR(H65)</formula>
    </cfRule>
  </conditionalFormatting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8199" r:id="rId4">
          <objectPr defaultSize="0" autoLine="0" autoPict="0" dde="1" r:id="rId5">
            <anchor moveWithCells="1">
              <from>
                <xdr:col>3</xdr:col>
                <xdr:colOff>19050</xdr:colOff>
                <xdr:row>53</xdr:row>
                <xdr:rowOff>28575</xdr:rowOff>
              </from>
              <to>
                <xdr:col>3</xdr:col>
                <xdr:colOff>142875</xdr:colOff>
                <xdr:row>53</xdr:row>
                <xdr:rowOff>142875</xdr:rowOff>
              </to>
            </anchor>
          </objectPr>
        </oleObject>
      </mc:Choice>
      <mc:Fallback>
        <oleObject progId="Equation.3" shapeId="8199" r:id="rId4"/>
      </mc:Fallback>
    </mc:AlternateContent>
    <mc:AlternateContent xmlns:mc="http://schemas.openxmlformats.org/markup-compatibility/2006">
      <mc:Choice Requires="x14">
        <oleObject progId="Equation.3" shapeId="8200" r:id="rId6">
          <objectPr defaultSize="0" autoLine="0" autoPict="0" dde="1" r:id="rId7">
            <anchor moveWithCells="1">
              <from>
                <xdr:col>3</xdr:col>
                <xdr:colOff>457200</xdr:colOff>
                <xdr:row>53</xdr:row>
                <xdr:rowOff>28575</xdr:rowOff>
              </from>
              <to>
                <xdr:col>4</xdr:col>
                <xdr:colOff>66675</xdr:colOff>
                <xdr:row>53</xdr:row>
                <xdr:rowOff>142875</xdr:rowOff>
              </to>
            </anchor>
          </objectPr>
        </oleObject>
      </mc:Choice>
      <mc:Fallback>
        <oleObject progId="Equation.3" shapeId="820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3:AF119"/>
  <sheetViews>
    <sheetView showGridLines="0" tabSelected="1" topLeftCell="A55" workbookViewId="0">
      <selection activeCell="L63" sqref="L63"/>
    </sheetView>
  </sheetViews>
  <sheetFormatPr defaultRowHeight="12.75" x14ac:dyDescent="0.2"/>
  <cols>
    <col min="1" max="1" width="9.140625" style="203"/>
    <col min="2" max="17" width="7.7109375" style="203" customWidth="1"/>
    <col min="18" max="16384" width="9.140625" style="203"/>
  </cols>
  <sheetData>
    <row r="3" spans="2:15" ht="13.5" thickBot="1" x14ac:dyDescent="0.25">
      <c r="D3" s="207"/>
      <c r="E3" s="207"/>
      <c r="F3" s="208"/>
      <c r="J3" s="209"/>
      <c r="L3" s="210"/>
    </row>
    <row r="4" spans="2:15" x14ac:dyDescent="0.2">
      <c r="B4" s="260"/>
      <c r="C4" s="263"/>
      <c r="D4" s="124"/>
      <c r="E4" s="124"/>
      <c r="F4" s="145"/>
      <c r="G4" s="138"/>
      <c r="H4" s="138"/>
      <c r="I4" s="145"/>
      <c r="J4" s="146"/>
      <c r="K4" s="124"/>
      <c r="L4" s="126"/>
      <c r="M4" s="265"/>
    </row>
    <row r="5" spans="2:15" x14ac:dyDescent="0.2">
      <c r="B5" s="131" t="s">
        <v>248</v>
      </c>
      <c r="C5" s="4"/>
      <c r="D5" s="34" t="s">
        <v>503</v>
      </c>
      <c r="E5" s="34"/>
      <c r="F5" s="4"/>
      <c r="G5" s="4"/>
      <c r="H5" s="4"/>
      <c r="I5" s="4"/>
      <c r="J5" s="38"/>
      <c r="K5" s="34"/>
      <c r="L5" s="128"/>
      <c r="M5" s="265"/>
    </row>
    <row r="6" spans="2:15" x14ac:dyDescent="0.2">
      <c r="B6" s="131"/>
      <c r="C6" s="4"/>
      <c r="D6" s="34"/>
      <c r="E6" s="34"/>
      <c r="F6" s="4"/>
      <c r="G6" s="4"/>
      <c r="H6" s="4"/>
      <c r="I6" s="4"/>
      <c r="J6" s="38"/>
      <c r="K6" s="34"/>
      <c r="L6" s="128"/>
      <c r="M6" s="265"/>
    </row>
    <row r="7" spans="2:15" ht="13.5" customHeight="1" x14ac:dyDescent="0.2">
      <c r="B7" s="131"/>
      <c r="C7" s="350" t="s">
        <v>500</v>
      </c>
      <c r="D7" s="34"/>
      <c r="E7" s="34"/>
      <c r="F7" s="4"/>
      <c r="G7" s="522" t="s">
        <v>501</v>
      </c>
      <c r="H7" s="522"/>
      <c r="I7" s="522"/>
      <c r="J7" s="522"/>
      <c r="K7" s="522"/>
      <c r="L7" s="128"/>
      <c r="M7" s="265"/>
    </row>
    <row r="8" spans="2:15" x14ac:dyDescent="0.2">
      <c r="B8" s="131"/>
      <c r="C8" s="4"/>
      <c r="D8" s="34"/>
      <c r="E8" s="34"/>
      <c r="F8" s="268"/>
      <c r="G8" s="522"/>
      <c r="H8" s="522"/>
      <c r="I8" s="522"/>
      <c r="J8" s="522"/>
      <c r="K8" s="522"/>
      <c r="L8" s="128"/>
      <c r="M8" s="265"/>
    </row>
    <row r="9" spans="2:15" x14ac:dyDescent="0.2">
      <c r="B9" s="131"/>
      <c r="C9" s="4"/>
      <c r="D9" s="34"/>
      <c r="E9" s="34"/>
      <c r="F9" s="267"/>
      <c r="G9" s="267"/>
      <c r="H9" s="267"/>
      <c r="I9" s="267"/>
      <c r="J9" s="267"/>
      <c r="K9" s="267"/>
      <c r="L9" s="128"/>
      <c r="M9" s="265"/>
    </row>
    <row r="10" spans="2:15" x14ac:dyDescent="0.2">
      <c r="B10" s="261"/>
      <c r="C10" s="521" t="s">
        <v>450</v>
      </c>
      <c r="D10" s="521"/>
      <c r="E10" s="521"/>
      <c r="F10" s="521"/>
      <c r="G10" s="521"/>
      <c r="H10" s="242"/>
      <c r="I10" s="34"/>
      <c r="J10" s="34"/>
      <c r="K10" s="34"/>
      <c r="L10" s="128"/>
      <c r="M10" s="265"/>
    </row>
    <row r="11" spans="2:15" ht="13.5" thickBot="1" x14ac:dyDescent="0.25">
      <c r="B11" s="261"/>
      <c r="C11" s="50"/>
      <c r="D11" s="34"/>
      <c r="E11" s="34"/>
      <c r="F11" s="99" t="s">
        <v>167</v>
      </c>
      <c r="G11" s="187">
        <f>'ITN and DTN Graph'!D62</f>
        <v>0</v>
      </c>
      <c r="H11" s="242" t="s">
        <v>302</v>
      </c>
      <c r="I11" s="34"/>
      <c r="J11" s="34"/>
      <c r="K11" s="34"/>
      <c r="L11" s="147"/>
      <c r="M11" s="266"/>
      <c r="N11" s="211"/>
      <c r="O11" s="211"/>
    </row>
    <row r="12" spans="2:15" x14ac:dyDescent="0.2">
      <c r="B12" s="261"/>
      <c r="C12" s="271" t="s">
        <v>290</v>
      </c>
      <c r="D12" s="517" t="s">
        <v>449</v>
      </c>
      <c r="E12" s="518"/>
      <c r="F12" s="99" t="s">
        <v>288</v>
      </c>
      <c r="G12" s="187">
        <f>'ITN and DTN Graph'!D63</f>
        <v>0</v>
      </c>
      <c r="H12" s="242" t="s">
        <v>410</v>
      </c>
      <c r="I12" s="34"/>
      <c r="J12" s="34"/>
      <c r="K12" s="34" t="s">
        <v>168</v>
      </c>
      <c r="L12" s="147"/>
      <c r="M12" s="266"/>
      <c r="N12" s="211"/>
      <c r="O12" s="211"/>
    </row>
    <row r="13" spans="2:15" ht="13.5" thickBot="1" x14ac:dyDescent="0.25">
      <c r="B13" s="261"/>
      <c r="C13" s="270" t="s">
        <v>504</v>
      </c>
      <c r="D13" s="519"/>
      <c r="E13" s="520"/>
      <c r="F13" s="99" t="s">
        <v>289</v>
      </c>
      <c r="G13" s="187">
        <f>'ITN and DTN Graph'!D64</f>
        <v>0</v>
      </c>
      <c r="H13" s="242" t="s">
        <v>410</v>
      </c>
      <c r="I13" s="34"/>
      <c r="J13" s="34"/>
      <c r="K13" s="12">
        <f>IF(OR(G11=0,G12=0,G13=0),0,'ITN and DTN Graph'!D72)</f>
        <v>0</v>
      </c>
      <c r="L13" s="147"/>
      <c r="M13" s="266"/>
      <c r="N13" s="211"/>
      <c r="O13" s="211"/>
    </row>
    <row r="14" spans="2:15" x14ac:dyDescent="0.2">
      <c r="B14" s="261"/>
      <c r="C14" s="50"/>
      <c r="D14" s="34"/>
      <c r="E14" s="4"/>
      <c r="F14" s="34"/>
      <c r="G14" s="34"/>
      <c r="H14" s="34"/>
      <c r="I14" s="34"/>
      <c r="J14" s="34"/>
      <c r="K14" s="34"/>
      <c r="L14" s="147"/>
      <c r="M14" s="266"/>
      <c r="N14" s="211"/>
      <c r="O14" s="211"/>
    </row>
    <row r="15" spans="2:15" x14ac:dyDescent="0.2">
      <c r="B15" s="261"/>
      <c r="C15" s="50"/>
      <c r="D15" s="34"/>
      <c r="E15" s="4"/>
      <c r="F15" s="34"/>
      <c r="G15" s="34"/>
      <c r="H15" s="34"/>
      <c r="I15" s="34"/>
      <c r="J15" s="34"/>
      <c r="K15" s="34"/>
      <c r="L15" s="147"/>
      <c r="M15" s="266"/>
      <c r="N15" s="211"/>
      <c r="O15" s="211"/>
    </row>
    <row r="16" spans="2:15" x14ac:dyDescent="0.2">
      <c r="B16" s="261"/>
      <c r="C16" s="50"/>
      <c r="D16" s="34"/>
      <c r="E16" s="34"/>
      <c r="F16" s="34"/>
      <c r="G16" s="34"/>
      <c r="H16" s="34"/>
      <c r="I16" s="34"/>
      <c r="J16" s="34"/>
      <c r="K16" s="34"/>
      <c r="L16" s="147"/>
      <c r="M16" s="266"/>
      <c r="N16" s="211"/>
      <c r="O16" s="211"/>
    </row>
    <row r="17" spans="1:31" x14ac:dyDescent="0.2">
      <c r="B17" s="261"/>
      <c r="C17" s="350" t="s">
        <v>502</v>
      </c>
      <c r="D17" s="34"/>
      <c r="E17" s="34"/>
      <c r="F17" s="269" t="s">
        <v>526</v>
      </c>
      <c r="G17" s="29"/>
      <c r="H17" s="136" t="s">
        <v>169</v>
      </c>
      <c r="I17" s="34"/>
      <c r="J17" s="34"/>
      <c r="K17" s="34"/>
      <c r="L17" s="147"/>
      <c r="M17" s="266"/>
      <c r="N17" s="211"/>
      <c r="O17" s="211"/>
    </row>
    <row r="18" spans="1:31" ht="13.5" thickBot="1" x14ac:dyDescent="0.25">
      <c r="B18" s="262"/>
      <c r="C18" s="264"/>
      <c r="D18" s="133"/>
      <c r="E18" s="133"/>
      <c r="F18" s="133"/>
      <c r="G18" s="137"/>
      <c r="H18" s="351"/>
      <c r="I18" s="133"/>
      <c r="J18" s="133"/>
      <c r="K18" s="133"/>
      <c r="L18" s="148"/>
      <c r="M18" s="266"/>
      <c r="N18" s="211"/>
      <c r="O18" s="211"/>
    </row>
    <row r="26" spans="1:31" ht="13.5" thickBot="1" x14ac:dyDescent="0.25"/>
    <row r="27" spans="1:31" s="315" customFormat="1" ht="15" x14ac:dyDescent="0.25">
      <c r="A27" s="204"/>
      <c r="B27" s="620" t="s">
        <v>371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2"/>
      <c r="M27" s="204"/>
      <c r="N27" s="204"/>
      <c r="O27" s="204"/>
      <c r="P27" s="204"/>
      <c r="Q27" s="352"/>
      <c r="AE27" s="352"/>
    </row>
    <row r="28" spans="1:31" s="315" customFormat="1" ht="15" customHeight="1" x14ac:dyDescent="0.25">
      <c r="A28" s="513"/>
      <c r="B28" s="623" t="s">
        <v>516</v>
      </c>
      <c r="C28" s="624"/>
      <c r="D28" s="624"/>
      <c r="E28" s="624"/>
      <c r="F28" s="624"/>
      <c r="G28" s="624"/>
      <c r="H28" s="624"/>
      <c r="I28" s="625" t="s">
        <v>477</v>
      </c>
      <c r="J28" s="625"/>
      <c r="K28" s="625"/>
      <c r="L28" s="626"/>
      <c r="M28" s="352"/>
      <c r="N28" s="204"/>
      <c r="O28" s="204"/>
      <c r="P28" s="204"/>
      <c r="Q28" s="352"/>
      <c r="AE28" s="352"/>
    </row>
    <row r="29" spans="1:31" s="315" customFormat="1" ht="15" customHeight="1" x14ac:dyDescent="0.25">
      <c r="A29" s="513"/>
      <c r="B29" s="627" t="s">
        <v>529</v>
      </c>
      <c r="C29" s="628"/>
      <c r="D29" s="628"/>
      <c r="E29" s="628"/>
      <c r="F29" s="628"/>
      <c r="G29" s="628"/>
      <c r="H29" s="628"/>
      <c r="I29" s="625"/>
      <c r="J29" s="625"/>
      <c r="K29" s="625"/>
      <c r="L29" s="626"/>
      <c r="M29" s="352"/>
      <c r="N29" s="204"/>
      <c r="O29" s="204"/>
      <c r="P29" s="204"/>
      <c r="AE29" s="353"/>
    </row>
    <row r="30" spans="1:31" s="315" customFormat="1" ht="15" customHeight="1" x14ac:dyDescent="0.25">
      <c r="A30" s="513"/>
      <c r="B30" s="627"/>
      <c r="C30" s="628"/>
      <c r="D30" s="628"/>
      <c r="E30" s="628"/>
      <c r="F30" s="628"/>
      <c r="G30" s="628"/>
      <c r="H30" s="628"/>
      <c r="I30" s="625"/>
      <c r="J30" s="625"/>
      <c r="K30" s="625"/>
      <c r="L30" s="626"/>
      <c r="M30" s="353"/>
      <c r="N30" s="204"/>
      <c r="O30" s="204"/>
      <c r="P30" s="204"/>
      <c r="Q30" s="353"/>
      <c r="AE30" s="353"/>
    </row>
    <row r="31" spans="1:31" s="315" customFormat="1" ht="15" customHeight="1" x14ac:dyDescent="0.25">
      <c r="A31" s="513"/>
      <c r="B31" s="627"/>
      <c r="C31" s="628"/>
      <c r="D31" s="628"/>
      <c r="E31" s="628"/>
      <c r="F31" s="628"/>
      <c r="G31" s="628"/>
      <c r="H31" s="628"/>
      <c r="I31" s="629"/>
      <c r="J31" s="629"/>
      <c r="K31" s="630"/>
      <c r="L31" s="631"/>
      <c r="M31" s="353"/>
      <c r="N31" s="204"/>
      <c r="O31" s="204"/>
      <c r="P31" s="204"/>
      <c r="Q31" s="354"/>
      <c r="AE31" s="353"/>
    </row>
    <row r="32" spans="1:31" s="315" customFormat="1" ht="15.75" thickBot="1" x14ac:dyDescent="0.3">
      <c r="A32" s="513"/>
      <c r="B32" s="632"/>
      <c r="C32" s="629"/>
      <c r="D32" s="629"/>
      <c r="E32" s="629"/>
      <c r="F32" s="629"/>
      <c r="G32" s="629"/>
      <c r="H32" s="629"/>
      <c r="I32" s="629"/>
      <c r="J32" s="629"/>
      <c r="K32" s="630"/>
      <c r="L32" s="631"/>
      <c r="M32" s="353"/>
      <c r="N32" s="204"/>
      <c r="O32" s="204"/>
      <c r="P32" s="204"/>
      <c r="Q32" s="353" t="s">
        <v>452</v>
      </c>
      <c r="AE32" s="353"/>
    </row>
    <row r="33" spans="1:32" s="315" customFormat="1" ht="15.75" x14ac:dyDescent="0.25">
      <c r="A33" s="513"/>
      <c r="B33" s="633"/>
      <c r="C33" s="574"/>
      <c r="D33" s="575"/>
      <c r="E33" s="575"/>
      <c r="F33" s="575"/>
      <c r="G33" s="575"/>
      <c r="H33" s="574"/>
      <c r="I33" s="574"/>
      <c r="J33" s="574"/>
      <c r="K33" s="575"/>
      <c r="L33" s="634"/>
      <c r="M33" s="358"/>
      <c r="N33" s="204"/>
      <c r="O33" s="204"/>
      <c r="P33" s="204"/>
      <c r="Q33" s="353"/>
      <c r="AE33" s="353"/>
    </row>
    <row r="34" spans="1:32" s="315" customFormat="1" ht="15.75" x14ac:dyDescent="0.25">
      <c r="A34" s="513"/>
      <c r="B34" s="635" t="s">
        <v>453</v>
      </c>
      <c r="C34" s="576"/>
      <c r="D34" s="577"/>
      <c r="E34" s="578" t="s">
        <v>454</v>
      </c>
      <c r="F34" s="578"/>
      <c r="G34" s="578"/>
      <c r="H34" s="578"/>
      <c r="I34" s="578"/>
      <c r="J34" s="578"/>
      <c r="K34" s="578"/>
      <c r="L34" s="636"/>
      <c r="M34" s="358"/>
      <c r="N34" s="204"/>
      <c r="O34" s="204"/>
      <c r="P34" s="204"/>
      <c r="Q34" s="353"/>
      <c r="AE34" s="353"/>
    </row>
    <row r="35" spans="1:32" s="315" customFormat="1" ht="15.75" x14ac:dyDescent="0.25">
      <c r="A35" s="513"/>
      <c r="B35" s="635" t="s">
        <v>455</v>
      </c>
      <c r="C35" s="576"/>
      <c r="D35" s="577"/>
      <c r="E35" s="577"/>
      <c r="F35" s="577"/>
      <c r="G35" s="576"/>
      <c r="H35" s="577"/>
      <c r="I35" s="579"/>
      <c r="J35" s="577" t="s">
        <v>456</v>
      </c>
      <c r="K35" s="577"/>
      <c r="L35" s="637"/>
      <c r="M35" s="360"/>
      <c r="N35" s="353"/>
      <c r="AB35" s="353"/>
    </row>
    <row r="36" spans="1:32" s="315" customFormat="1" ht="15.75" x14ac:dyDescent="0.25">
      <c r="A36" s="513"/>
      <c r="B36" s="604"/>
      <c r="C36" s="576"/>
      <c r="D36" s="581"/>
      <c r="E36" s="582" t="s">
        <v>457</v>
      </c>
      <c r="F36" s="583" t="s">
        <v>458</v>
      </c>
      <c r="G36" s="583" t="s">
        <v>459</v>
      </c>
      <c r="H36" s="583" t="s">
        <v>460</v>
      </c>
      <c r="I36" s="576"/>
      <c r="J36" s="577" t="s">
        <v>461</v>
      </c>
      <c r="K36" s="577"/>
      <c r="L36" s="637"/>
      <c r="M36" s="360"/>
      <c r="N36" s="353"/>
      <c r="AB36" s="353"/>
    </row>
    <row r="37" spans="1:32" s="315" customFormat="1" ht="15.75" x14ac:dyDescent="0.25">
      <c r="A37" s="513"/>
      <c r="B37" s="604"/>
      <c r="C37" s="576"/>
      <c r="D37" s="584"/>
      <c r="E37" s="577"/>
      <c r="F37" s="579"/>
      <c r="G37" s="579"/>
      <c r="H37" s="579"/>
      <c r="I37" s="576"/>
      <c r="J37" s="577"/>
      <c r="K37" s="577"/>
      <c r="L37" s="637"/>
      <c r="M37" s="360"/>
      <c r="N37" s="353"/>
      <c r="AB37" s="353"/>
    </row>
    <row r="38" spans="1:32" s="315" customFormat="1" ht="15.75" x14ac:dyDescent="0.25">
      <c r="A38" s="513"/>
      <c r="B38" s="604" t="s">
        <v>82</v>
      </c>
      <c r="C38" s="576"/>
      <c r="D38" s="584"/>
      <c r="E38" s="579">
        <v>0</v>
      </c>
      <c r="F38" s="579">
        <v>3</v>
      </c>
      <c r="G38" s="579">
        <v>6</v>
      </c>
      <c r="H38" s="579">
        <v>8</v>
      </c>
      <c r="I38" s="576"/>
      <c r="J38" s="585"/>
      <c r="K38" s="577"/>
      <c r="L38" s="637"/>
      <c r="M38" s="360"/>
      <c r="N38" s="353"/>
      <c r="AB38" s="353"/>
    </row>
    <row r="39" spans="1:32" s="315" customFormat="1" ht="15.75" x14ac:dyDescent="0.25">
      <c r="A39" s="513"/>
      <c r="B39" s="604" t="s">
        <v>86</v>
      </c>
      <c r="C39" s="576"/>
      <c r="D39" s="584"/>
      <c r="E39" s="579">
        <v>0</v>
      </c>
      <c r="F39" s="579">
        <v>4</v>
      </c>
      <c r="G39" s="579">
        <v>8</v>
      </c>
      <c r="H39" s="579">
        <v>10</v>
      </c>
      <c r="I39" s="576"/>
      <c r="J39" s="585"/>
      <c r="K39" s="577"/>
      <c r="L39" s="637"/>
      <c r="M39" s="360"/>
      <c r="N39" s="353"/>
      <c r="AB39" s="353"/>
    </row>
    <row r="40" spans="1:32" s="315" customFormat="1" ht="15.75" x14ac:dyDescent="0.25">
      <c r="A40" s="513"/>
      <c r="B40" s="604" t="s">
        <v>462</v>
      </c>
      <c r="C40" s="576"/>
      <c r="D40" s="577"/>
      <c r="E40" s="579">
        <v>0</v>
      </c>
      <c r="F40" s="579">
        <v>2</v>
      </c>
      <c r="G40" s="579">
        <v>4</v>
      </c>
      <c r="H40" s="579">
        <v>6</v>
      </c>
      <c r="I40" s="576"/>
      <c r="J40" s="585"/>
      <c r="K40" s="577"/>
      <c r="L40" s="637"/>
      <c r="M40" s="360"/>
      <c r="N40" s="353"/>
      <c r="AB40" s="353"/>
    </row>
    <row r="41" spans="1:32" s="315" customFormat="1" ht="15.75" x14ac:dyDescent="0.25">
      <c r="A41" s="513"/>
      <c r="B41" s="604" t="s">
        <v>463</v>
      </c>
      <c r="C41" s="576"/>
      <c r="D41" s="584"/>
      <c r="E41" s="579">
        <v>0</v>
      </c>
      <c r="F41" s="579">
        <v>3</v>
      </c>
      <c r="G41" s="579">
        <v>6</v>
      </c>
      <c r="H41" s="579">
        <v>8</v>
      </c>
      <c r="I41" s="576"/>
      <c r="J41" s="585"/>
      <c r="K41" s="577"/>
      <c r="L41" s="637"/>
      <c r="M41" s="360"/>
      <c r="N41" s="353"/>
      <c r="AB41" s="353"/>
    </row>
    <row r="42" spans="1:32" s="315" customFormat="1" ht="15.75" x14ac:dyDescent="0.25">
      <c r="A42" s="513"/>
      <c r="B42" s="604" t="s">
        <v>88</v>
      </c>
      <c r="C42" s="576"/>
      <c r="D42" s="586"/>
      <c r="E42" s="587">
        <v>0</v>
      </c>
      <c r="F42" s="587">
        <v>3</v>
      </c>
      <c r="G42" s="587">
        <v>6</v>
      </c>
      <c r="H42" s="587">
        <v>8</v>
      </c>
      <c r="I42" s="576"/>
      <c r="J42" s="585"/>
      <c r="K42" s="577"/>
      <c r="L42" s="637"/>
      <c r="M42" s="360"/>
      <c r="N42" s="353"/>
      <c r="AB42" s="353"/>
    </row>
    <row r="43" spans="1:32" s="315" customFormat="1" ht="15.75" x14ac:dyDescent="0.25">
      <c r="A43" s="513"/>
      <c r="B43" s="604"/>
      <c r="C43" s="576"/>
      <c r="D43" s="588" t="s">
        <v>74</v>
      </c>
      <c r="E43" s="579">
        <f>SUM(E38:E42)</f>
        <v>0</v>
      </c>
      <c r="F43" s="579">
        <f>SUM(F38:F42)</f>
        <v>15</v>
      </c>
      <c r="G43" s="579">
        <f>SUM(G38:G42)</f>
        <v>30</v>
      </c>
      <c r="H43" s="579">
        <f>SUM(H38:H42)</f>
        <v>40</v>
      </c>
      <c r="I43" s="576"/>
      <c r="J43" s="577"/>
      <c r="K43" s="577"/>
      <c r="L43" s="637"/>
      <c r="M43" s="360"/>
      <c r="N43" s="353"/>
      <c r="AB43" s="353"/>
    </row>
    <row r="44" spans="1:32" s="315" customFormat="1" ht="15.75" x14ac:dyDescent="0.25">
      <c r="A44" s="513"/>
      <c r="B44" s="604"/>
      <c r="C44" s="576"/>
      <c r="D44" s="577"/>
      <c r="E44" s="577"/>
      <c r="F44" s="576"/>
      <c r="G44" s="577"/>
      <c r="H44" s="577"/>
      <c r="I44" s="576"/>
      <c r="J44" s="577"/>
      <c r="K44" s="577"/>
      <c r="L44" s="637"/>
      <c r="M44" s="360"/>
      <c r="N44" s="353"/>
      <c r="AB44" s="353"/>
    </row>
    <row r="45" spans="1:32" s="315" customFormat="1" ht="15.75" x14ac:dyDescent="0.25">
      <c r="A45" s="513"/>
      <c r="B45" s="638"/>
      <c r="C45" s="576"/>
      <c r="D45" s="577"/>
      <c r="E45" s="577"/>
      <c r="F45" s="576"/>
      <c r="G45" s="576"/>
      <c r="H45" s="589" t="s">
        <v>515</v>
      </c>
      <c r="I45" s="590"/>
      <c r="J45" s="590" t="s">
        <v>475</v>
      </c>
      <c r="K45" s="591"/>
      <c r="L45" s="637"/>
      <c r="M45" s="360"/>
      <c r="N45" s="204"/>
      <c r="O45" s="353"/>
      <c r="AC45" s="353"/>
    </row>
    <row r="46" spans="1:32" s="315" customFormat="1" ht="16.5" thickBot="1" x14ac:dyDescent="0.3">
      <c r="A46" s="513"/>
      <c r="B46" s="639"/>
      <c r="C46" s="592"/>
      <c r="D46" s="593"/>
      <c r="E46" s="593"/>
      <c r="F46" s="593"/>
      <c r="G46" s="592"/>
      <c r="H46" s="592"/>
      <c r="I46" s="594"/>
      <c r="J46" s="595"/>
      <c r="K46" s="596" t="s">
        <v>464</v>
      </c>
      <c r="L46" s="640"/>
      <c r="M46" s="360"/>
      <c r="N46" s="204"/>
      <c r="O46" s="353"/>
      <c r="AC46" s="353"/>
    </row>
    <row r="47" spans="1:32" s="315" customFormat="1" ht="15" customHeight="1" x14ac:dyDescent="0.25">
      <c r="A47" s="513"/>
      <c r="B47" s="632"/>
      <c r="C47" s="629"/>
      <c r="D47" s="629"/>
      <c r="E47" s="629"/>
      <c r="F47" s="629"/>
      <c r="G47" s="629"/>
      <c r="H47" s="641"/>
      <c r="I47" s="642"/>
      <c r="J47" s="597"/>
      <c r="K47" s="598"/>
      <c r="L47" s="643"/>
      <c r="M47" s="355"/>
      <c r="N47" s="356"/>
      <c r="O47" s="204"/>
      <c r="P47" s="204"/>
      <c r="Q47" s="204"/>
      <c r="R47" s="353"/>
      <c r="AF47" s="353"/>
    </row>
    <row r="48" spans="1:32" s="315" customFormat="1" ht="15" customHeight="1" x14ac:dyDescent="0.25">
      <c r="A48" s="513"/>
      <c r="B48" s="632"/>
      <c r="C48" s="629"/>
      <c r="D48" s="629"/>
      <c r="E48" s="629"/>
      <c r="F48" s="644" t="s">
        <v>465</v>
      </c>
      <c r="G48" s="644"/>
      <c r="H48" s="644"/>
      <c r="I48" s="629"/>
      <c r="J48" s="598"/>
      <c r="K48" s="598"/>
      <c r="L48" s="643"/>
      <c r="M48" s="357"/>
      <c r="N48" s="352"/>
      <c r="O48" s="204"/>
      <c r="P48" s="204"/>
      <c r="Q48" s="204"/>
      <c r="R48" s="353"/>
      <c r="AF48" s="353"/>
    </row>
    <row r="49" spans="1:32" s="315" customFormat="1" ht="15" customHeight="1" x14ac:dyDescent="0.25">
      <c r="A49" s="513"/>
      <c r="B49" s="645" t="s">
        <v>528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3"/>
      <c r="M49" s="357"/>
      <c r="N49" s="352"/>
      <c r="O49" s="204"/>
      <c r="P49" s="204"/>
      <c r="Q49" s="204"/>
      <c r="AF49" s="353"/>
    </row>
    <row r="50" spans="1:32" s="315" customFormat="1" ht="19.5" customHeight="1" x14ac:dyDescent="0.25">
      <c r="A50" s="513"/>
      <c r="B50" s="645"/>
      <c r="C50" s="646"/>
      <c r="D50" s="646"/>
      <c r="E50" s="646"/>
      <c r="F50" s="646"/>
      <c r="G50" s="646"/>
      <c r="H50" s="646"/>
      <c r="I50" s="646"/>
      <c r="J50" s="646"/>
      <c r="K50" s="646"/>
      <c r="L50" s="631"/>
      <c r="M50" s="353"/>
      <c r="N50" s="353"/>
      <c r="O50" s="204"/>
      <c r="P50" s="204"/>
      <c r="Q50" s="204"/>
      <c r="R50" s="353"/>
      <c r="AF50" s="353"/>
    </row>
    <row r="51" spans="1:32" s="315" customFormat="1" ht="15.75" thickBot="1" x14ac:dyDescent="0.3">
      <c r="A51" s="513"/>
      <c r="B51" s="632"/>
      <c r="C51" s="629"/>
      <c r="D51" s="629"/>
      <c r="E51" s="629"/>
      <c r="F51" s="629"/>
      <c r="G51" s="629"/>
      <c r="H51" s="629"/>
      <c r="I51" s="629"/>
      <c r="J51" s="629"/>
      <c r="K51" s="629"/>
      <c r="L51" s="647"/>
      <c r="M51" s="353"/>
      <c r="N51" s="353"/>
      <c r="O51" s="204"/>
      <c r="P51" s="204"/>
      <c r="Q51" s="204"/>
      <c r="R51" s="353"/>
      <c r="AF51" s="353"/>
    </row>
    <row r="52" spans="1:32" s="315" customFormat="1" ht="15.75" x14ac:dyDescent="0.25">
      <c r="A52" s="513"/>
      <c r="B52" s="599" t="s">
        <v>453</v>
      </c>
      <c r="C52" s="600"/>
      <c r="D52" s="601"/>
      <c r="E52" s="601"/>
      <c r="F52" s="602" t="s">
        <v>466</v>
      </c>
      <c r="G52" s="601"/>
      <c r="H52" s="601"/>
      <c r="I52" s="603"/>
      <c r="J52" s="603"/>
      <c r="K52" s="601"/>
      <c r="L52" s="648"/>
      <c r="M52" s="358"/>
      <c r="N52" s="358"/>
      <c r="O52" s="204"/>
      <c r="P52" s="204"/>
      <c r="Q52" s="204"/>
      <c r="R52" s="353"/>
      <c r="AF52" s="353"/>
    </row>
    <row r="53" spans="1:32" s="315" customFormat="1" ht="15.75" x14ac:dyDescent="0.25">
      <c r="A53" s="513"/>
      <c r="B53" s="604" t="s">
        <v>467</v>
      </c>
      <c r="C53" s="605"/>
      <c r="D53" s="577"/>
      <c r="E53" s="579"/>
      <c r="F53" s="579"/>
      <c r="G53" s="576"/>
      <c r="H53" s="577"/>
      <c r="I53" s="579"/>
      <c r="J53" s="579" t="s">
        <v>468</v>
      </c>
      <c r="K53" s="577"/>
      <c r="L53" s="637"/>
      <c r="M53" s="360"/>
      <c r="N53" s="204"/>
      <c r="O53" s="353"/>
      <c r="AC53" s="353"/>
    </row>
    <row r="54" spans="1:32" s="315" customFormat="1" ht="15.75" x14ac:dyDescent="0.25">
      <c r="A54" s="513"/>
      <c r="B54" s="604"/>
      <c r="C54" s="605"/>
      <c r="D54" s="581"/>
      <c r="E54" s="582" t="s">
        <v>457</v>
      </c>
      <c r="F54" s="583" t="s">
        <v>458</v>
      </c>
      <c r="G54" s="583" t="s">
        <v>459</v>
      </c>
      <c r="H54" s="583" t="s">
        <v>460</v>
      </c>
      <c r="I54" s="579"/>
      <c r="J54" s="577" t="s">
        <v>53</v>
      </c>
      <c r="K54" s="577"/>
      <c r="L54" s="637"/>
      <c r="M54" s="360"/>
      <c r="N54" s="204"/>
      <c r="O54" s="353"/>
      <c r="AC54" s="353"/>
    </row>
    <row r="55" spans="1:32" s="315" customFormat="1" ht="15.75" x14ac:dyDescent="0.25">
      <c r="A55" s="513"/>
      <c r="B55" s="604"/>
      <c r="C55" s="605"/>
      <c r="D55" s="584"/>
      <c r="E55" s="577"/>
      <c r="F55" s="579"/>
      <c r="G55" s="579"/>
      <c r="H55" s="576"/>
      <c r="I55" s="579"/>
      <c r="J55" s="577"/>
      <c r="K55" s="577"/>
      <c r="L55" s="637"/>
      <c r="M55" s="360"/>
      <c r="N55" s="204"/>
      <c r="O55" s="353"/>
      <c r="AC55" s="353"/>
    </row>
    <row r="56" spans="1:32" s="315" customFormat="1" ht="15.75" x14ac:dyDescent="0.25">
      <c r="A56" s="513"/>
      <c r="B56" s="604" t="s">
        <v>87</v>
      </c>
      <c r="C56" s="605"/>
      <c r="D56" s="584"/>
      <c r="E56" s="579">
        <v>0</v>
      </c>
      <c r="F56" s="579">
        <v>2</v>
      </c>
      <c r="G56" s="579">
        <v>3</v>
      </c>
      <c r="H56" s="579">
        <v>4</v>
      </c>
      <c r="I56" s="579"/>
      <c r="J56" s="585"/>
      <c r="K56" s="577"/>
      <c r="L56" s="637"/>
      <c r="M56" s="360"/>
      <c r="N56" s="204"/>
      <c r="O56" s="353"/>
      <c r="AC56" s="353"/>
    </row>
    <row r="57" spans="1:32" s="315" customFormat="1" ht="15.75" x14ac:dyDescent="0.25">
      <c r="A57" s="513"/>
      <c r="B57" s="604" t="s">
        <v>462</v>
      </c>
      <c r="C57" s="605"/>
      <c r="D57" s="584"/>
      <c r="E57" s="579">
        <v>0</v>
      </c>
      <c r="F57" s="579">
        <v>1</v>
      </c>
      <c r="G57" s="579">
        <v>2</v>
      </c>
      <c r="H57" s="579">
        <v>3</v>
      </c>
      <c r="I57" s="579"/>
      <c r="J57" s="606"/>
      <c r="K57" s="577"/>
      <c r="L57" s="637"/>
      <c r="M57" s="360"/>
      <c r="N57" s="204"/>
      <c r="O57" s="353"/>
      <c r="AC57" s="353"/>
    </row>
    <row r="58" spans="1:32" s="315" customFormat="1" ht="15.75" x14ac:dyDescent="0.25">
      <c r="A58" s="513"/>
      <c r="B58" s="604" t="s">
        <v>469</v>
      </c>
      <c r="C58" s="605"/>
      <c r="D58" s="577"/>
      <c r="E58" s="579">
        <v>0</v>
      </c>
      <c r="F58" s="579">
        <v>2</v>
      </c>
      <c r="G58" s="579">
        <v>4</v>
      </c>
      <c r="H58" s="579">
        <v>5</v>
      </c>
      <c r="I58" s="579"/>
      <c r="J58" s="606"/>
      <c r="K58" s="577"/>
      <c r="L58" s="637"/>
      <c r="M58" s="360"/>
      <c r="N58" s="204"/>
      <c r="O58" s="353"/>
      <c r="AC58" s="353"/>
    </row>
    <row r="59" spans="1:32" s="315" customFormat="1" ht="15.75" x14ac:dyDescent="0.25">
      <c r="A59" s="513"/>
      <c r="B59" s="604" t="s">
        <v>470</v>
      </c>
      <c r="C59" s="605"/>
      <c r="D59" s="584"/>
      <c r="E59" s="579">
        <v>0</v>
      </c>
      <c r="F59" s="579">
        <v>1</v>
      </c>
      <c r="G59" s="579">
        <v>2</v>
      </c>
      <c r="H59" s="579">
        <v>4</v>
      </c>
      <c r="I59" s="579"/>
      <c r="J59" s="606"/>
      <c r="K59" s="577"/>
      <c r="L59" s="637"/>
      <c r="M59" s="360"/>
      <c r="N59" s="204"/>
      <c r="O59" s="353"/>
      <c r="AC59" s="353"/>
    </row>
    <row r="60" spans="1:32" s="315" customFormat="1" ht="15.75" x14ac:dyDescent="0.25">
      <c r="A60" s="513"/>
      <c r="B60" s="604" t="s">
        <v>90</v>
      </c>
      <c r="C60" s="605"/>
      <c r="D60" s="584"/>
      <c r="E60" s="579">
        <v>0</v>
      </c>
      <c r="F60" s="579">
        <v>2</v>
      </c>
      <c r="G60" s="579">
        <v>3</v>
      </c>
      <c r="H60" s="579">
        <v>5</v>
      </c>
      <c r="I60" s="579"/>
      <c r="J60" s="606"/>
      <c r="K60" s="577"/>
      <c r="L60" s="637"/>
      <c r="M60" s="360"/>
      <c r="N60" s="204"/>
      <c r="O60" s="353"/>
      <c r="AC60" s="353"/>
    </row>
    <row r="61" spans="1:32" s="315" customFormat="1" ht="15.75" x14ac:dyDescent="0.25">
      <c r="A61" s="513"/>
      <c r="B61" s="604" t="s">
        <v>88</v>
      </c>
      <c r="C61" s="605"/>
      <c r="D61" s="584"/>
      <c r="E61" s="579">
        <v>0</v>
      </c>
      <c r="F61" s="579">
        <v>1</v>
      </c>
      <c r="G61" s="579">
        <v>3</v>
      </c>
      <c r="H61" s="579">
        <v>5</v>
      </c>
      <c r="I61" s="579"/>
      <c r="J61" s="606"/>
      <c r="K61" s="577"/>
      <c r="L61" s="637"/>
      <c r="M61" s="360"/>
      <c r="N61" s="204"/>
      <c r="O61" s="353"/>
      <c r="AC61" s="353"/>
    </row>
    <row r="62" spans="1:32" s="315" customFormat="1" ht="15.75" x14ac:dyDescent="0.25">
      <c r="A62" s="513"/>
      <c r="B62" s="604" t="s">
        <v>471</v>
      </c>
      <c r="C62" s="605"/>
      <c r="D62" s="577"/>
      <c r="E62" s="587">
        <v>0</v>
      </c>
      <c r="F62" s="587">
        <v>1</v>
      </c>
      <c r="G62" s="587">
        <v>3</v>
      </c>
      <c r="H62" s="587">
        <v>4</v>
      </c>
      <c r="I62" s="579"/>
      <c r="J62" s="606"/>
      <c r="K62" s="577"/>
      <c r="L62" s="637"/>
      <c r="M62" s="360"/>
      <c r="N62" s="204"/>
      <c r="O62" s="353"/>
      <c r="AC62" s="353"/>
    </row>
    <row r="63" spans="1:32" s="315" customFormat="1" ht="15.75" x14ac:dyDescent="0.25">
      <c r="A63" s="204"/>
      <c r="B63" s="604"/>
      <c r="C63" s="605"/>
      <c r="D63" s="577"/>
      <c r="E63" s="579">
        <f>SUM(E56:E62)</f>
        <v>0</v>
      </c>
      <c r="F63" s="579">
        <f>SUM(F56:F62)</f>
        <v>10</v>
      </c>
      <c r="G63" s="579">
        <f>SUM(G56:G62)</f>
        <v>20</v>
      </c>
      <c r="H63" s="579">
        <f>SUM(H56:H62)</f>
        <v>30</v>
      </c>
      <c r="I63" s="579"/>
      <c r="J63" s="577"/>
      <c r="K63" s="577"/>
      <c r="L63" s="637"/>
      <c r="M63" s="360"/>
      <c r="N63" s="204"/>
      <c r="O63" s="353" t="s">
        <v>15</v>
      </c>
      <c r="AC63" s="353"/>
    </row>
    <row r="64" spans="1:32" s="315" customFormat="1" ht="15.75" x14ac:dyDescent="0.25">
      <c r="A64" s="204"/>
      <c r="B64" s="607"/>
      <c r="C64" s="605"/>
      <c r="D64" s="577"/>
      <c r="E64" s="577"/>
      <c r="F64" s="605"/>
      <c r="G64" s="589" t="s">
        <v>472</v>
      </c>
      <c r="H64" s="590"/>
      <c r="I64" s="590" t="s">
        <v>476</v>
      </c>
      <c r="J64" s="591"/>
      <c r="K64" s="577"/>
      <c r="L64" s="637"/>
      <c r="M64" s="360"/>
      <c r="N64" s="204"/>
      <c r="O64" s="353"/>
      <c r="AC64" s="353"/>
    </row>
    <row r="65" spans="1:32" s="315" customFormat="1" ht="16.5" thickBot="1" x14ac:dyDescent="0.3">
      <c r="A65" s="204"/>
      <c r="B65" s="608"/>
      <c r="C65" s="609"/>
      <c r="D65" s="610"/>
      <c r="E65" s="610"/>
      <c r="F65" s="610"/>
      <c r="G65" s="611"/>
      <c r="H65" s="610"/>
      <c r="I65" s="612"/>
      <c r="J65" s="613" t="s">
        <v>464</v>
      </c>
      <c r="K65" s="610"/>
      <c r="L65" s="649"/>
      <c r="M65" s="360"/>
      <c r="N65" s="204"/>
      <c r="O65" s="352"/>
      <c r="P65" s="352"/>
      <c r="Q65" s="352"/>
      <c r="R65" s="352"/>
      <c r="S65" s="352"/>
      <c r="T65" s="352"/>
      <c r="U65" s="352"/>
      <c r="V65" s="352"/>
      <c r="W65" s="352"/>
      <c r="X65" s="353"/>
      <c r="Y65" s="359"/>
      <c r="Z65" s="353"/>
      <c r="AA65" s="353"/>
      <c r="AB65" s="353"/>
      <c r="AC65" s="353"/>
    </row>
    <row r="66" spans="1:32" s="315" customFormat="1" ht="15.75" thickBot="1" x14ac:dyDescent="0.3">
      <c r="A66" s="204"/>
      <c r="B66" s="360"/>
      <c r="C66" s="360"/>
      <c r="D66" s="361"/>
      <c r="E66" s="361"/>
      <c r="F66" s="362"/>
      <c r="G66" s="362"/>
      <c r="H66" s="362"/>
      <c r="I66" s="363"/>
      <c r="J66" s="363"/>
      <c r="K66" s="360"/>
      <c r="L66" s="360"/>
      <c r="M66" s="360"/>
      <c r="N66" s="360"/>
      <c r="O66" s="204"/>
      <c r="P66" s="204"/>
      <c r="Q66" s="204"/>
      <c r="R66" s="352"/>
      <c r="S66" s="352"/>
      <c r="T66" s="352"/>
      <c r="U66" s="352"/>
      <c r="V66" s="352"/>
      <c r="W66" s="352"/>
      <c r="X66" s="352"/>
      <c r="Y66" s="352"/>
      <c r="Z66" s="352"/>
      <c r="AA66" s="353"/>
      <c r="AB66" s="359"/>
      <c r="AC66" s="353"/>
      <c r="AD66" s="353"/>
      <c r="AE66" s="353"/>
      <c r="AF66" s="353"/>
    </row>
    <row r="67" spans="1:32" s="315" customFormat="1" x14ac:dyDescent="0.2">
      <c r="A67" s="204"/>
      <c r="B67" s="650"/>
      <c r="C67" s="621"/>
      <c r="D67" s="621"/>
      <c r="E67" s="621"/>
      <c r="F67" s="621"/>
      <c r="G67" s="621"/>
      <c r="H67" s="621"/>
      <c r="I67" s="621"/>
      <c r="J67" s="621"/>
      <c r="K67" s="621"/>
      <c r="L67" s="622"/>
      <c r="M67" s="204"/>
      <c r="N67" s="204"/>
      <c r="O67" s="204"/>
      <c r="P67" s="204"/>
      <c r="Q67" s="204"/>
    </row>
    <row r="68" spans="1:32" s="315" customFormat="1" x14ac:dyDescent="0.2">
      <c r="A68" s="204"/>
      <c r="B68" s="651"/>
      <c r="C68" s="580"/>
      <c r="D68" s="580"/>
      <c r="E68" s="580"/>
      <c r="F68" s="580"/>
      <c r="G68" s="580"/>
      <c r="H68" s="580"/>
      <c r="I68" s="652"/>
      <c r="J68" s="580"/>
      <c r="K68" s="580"/>
      <c r="L68" s="637"/>
      <c r="M68" s="204"/>
      <c r="N68" s="204"/>
      <c r="O68" s="204"/>
      <c r="P68" s="204"/>
      <c r="Q68" s="204"/>
    </row>
    <row r="69" spans="1:32" s="315" customFormat="1" ht="12.75" customHeight="1" x14ac:dyDescent="0.2">
      <c r="A69" s="204"/>
      <c r="B69" s="651"/>
      <c r="C69" s="580"/>
      <c r="D69" s="580"/>
      <c r="E69" s="580"/>
      <c r="F69" s="580"/>
      <c r="G69" s="580"/>
      <c r="H69" s="580"/>
      <c r="I69" s="653" t="s">
        <v>477</v>
      </c>
      <c r="J69" s="653"/>
      <c r="K69" s="653"/>
      <c r="L69" s="637"/>
      <c r="M69" s="204"/>
      <c r="N69" s="204"/>
      <c r="O69" s="204"/>
      <c r="P69" s="204"/>
      <c r="Q69" s="204"/>
    </row>
    <row r="70" spans="1:32" s="315" customFormat="1" x14ac:dyDescent="0.2">
      <c r="A70" s="204"/>
      <c r="B70" s="654"/>
      <c r="C70" s="580"/>
      <c r="D70" s="580"/>
      <c r="E70" s="580"/>
      <c r="F70" s="580"/>
      <c r="G70" s="652"/>
      <c r="H70" s="580"/>
      <c r="I70" s="653"/>
      <c r="J70" s="653"/>
      <c r="K70" s="653"/>
      <c r="L70" s="637"/>
      <c r="M70" s="204"/>
      <c r="N70" s="204"/>
      <c r="O70" s="204"/>
      <c r="P70" s="204"/>
      <c r="Q70" s="204"/>
    </row>
    <row r="71" spans="1:32" s="315" customFormat="1" ht="12.75" customHeight="1" x14ac:dyDescent="0.2">
      <c r="A71" s="204"/>
      <c r="B71" s="627" t="s">
        <v>91</v>
      </c>
      <c r="C71" s="628"/>
      <c r="D71" s="628"/>
      <c r="E71" s="628"/>
      <c r="F71" s="628"/>
      <c r="G71" s="628"/>
      <c r="H71" s="580"/>
      <c r="I71" s="652"/>
      <c r="J71" s="655"/>
      <c r="K71" s="655"/>
      <c r="L71" s="656"/>
      <c r="M71" s="364"/>
      <c r="N71" s="204"/>
      <c r="O71" s="204"/>
      <c r="P71" s="204"/>
      <c r="Q71" s="204"/>
    </row>
    <row r="72" spans="1:32" s="315" customFormat="1" ht="12.75" customHeight="1" x14ac:dyDescent="0.2">
      <c r="A72" s="204"/>
      <c r="B72" s="627"/>
      <c r="C72" s="628"/>
      <c r="D72" s="628"/>
      <c r="E72" s="628"/>
      <c r="F72" s="628"/>
      <c r="G72" s="628"/>
      <c r="H72" s="580"/>
      <c r="I72" s="652"/>
      <c r="J72" s="655"/>
      <c r="K72" s="655"/>
      <c r="L72" s="656"/>
      <c r="M72" s="364"/>
      <c r="N72" s="204"/>
      <c r="O72" s="204"/>
      <c r="P72" s="204"/>
      <c r="Q72" s="204"/>
    </row>
    <row r="73" spans="1:32" s="315" customFormat="1" x14ac:dyDescent="0.2">
      <c r="A73" s="204"/>
      <c r="B73" s="627"/>
      <c r="C73" s="628"/>
      <c r="D73" s="628"/>
      <c r="E73" s="628"/>
      <c r="F73" s="628"/>
      <c r="G73" s="628"/>
      <c r="H73" s="580"/>
      <c r="I73" s="652"/>
      <c r="J73" s="580"/>
      <c r="K73" s="580"/>
      <c r="L73" s="637"/>
      <c r="M73" s="204"/>
      <c r="N73" s="204"/>
      <c r="O73" s="204"/>
      <c r="P73" s="204"/>
      <c r="Q73" s="204"/>
    </row>
    <row r="74" spans="1:32" s="315" customFormat="1" x14ac:dyDescent="0.2">
      <c r="A74" s="204"/>
      <c r="B74" s="651" t="s">
        <v>204</v>
      </c>
      <c r="C74" s="580"/>
      <c r="D74" s="580"/>
      <c r="E74" s="580"/>
      <c r="F74" s="580"/>
      <c r="G74" s="580"/>
      <c r="H74" s="580"/>
      <c r="I74" s="580"/>
      <c r="J74" s="580"/>
      <c r="K74" s="580"/>
      <c r="L74" s="637"/>
      <c r="M74" s="204"/>
      <c r="N74" s="204"/>
      <c r="O74" s="204"/>
      <c r="P74" s="204"/>
      <c r="Q74" s="204"/>
    </row>
    <row r="75" spans="1:32" s="315" customFormat="1" x14ac:dyDescent="0.2">
      <c r="A75" s="204"/>
      <c r="B75" s="651"/>
      <c r="C75" s="580"/>
      <c r="D75" s="580"/>
      <c r="E75" s="580"/>
      <c r="F75" s="580"/>
      <c r="G75" s="652"/>
      <c r="H75" s="580"/>
      <c r="I75" s="652"/>
      <c r="J75" s="580"/>
      <c r="K75" s="580"/>
      <c r="L75" s="637"/>
      <c r="M75" s="204"/>
      <c r="N75" s="204"/>
      <c r="O75" s="204"/>
      <c r="P75" s="204"/>
      <c r="Q75" s="204"/>
    </row>
    <row r="76" spans="1:32" s="315" customFormat="1" x14ac:dyDescent="0.2">
      <c r="A76" s="204"/>
      <c r="B76" s="651" t="s">
        <v>71</v>
      </c>
      <c r="C76" s="657"/>
      <c r="D76" s="580" t="s">
        <v>72</v>
      </c>
      <c r="E76" s="657"/>
      <c r="F76" s="580"/>
      <c r="G76" s="652" t="s">
        <v>73</v>
      </c>
      <c r="H76" s="652"/>
      <c r="I76" s="652" t="s">
        <v>74</v>
      </c>
      <c r="J76" s="657"/>
      <c r="K76" s="580"/>
      <c r="L76" s="637"/>
      <c r="M76" s="204"/>
      <c r="N76" s="204"/>
      <c r="O76" s="204"/>
      <c r="P76" s="204"/>
      <c r="Q76" s="204"/>
    </row>
    <row r="77" spans="1:32" s="315" customFormat="1" x14ac:dyDescent="0.2">
      <c r="A77" s="204"/>
      <c r="B77" s="658" t="s">
        <v>75</v>
      </c>
      <c r="C77" s="659"/>
      <c r="D77" s="659" t="s">
        <v>75</v>
      </c>
      <c r="E77" s="659"/>
      <c r="F77" s="615"/>
      <c r="G77" s="616" t="s">
        <v>75</v>
      </c>
      <c r="H77" s="617"/>
      <c r="I77" s="660" t="s">
        <v>5</v>
      </c>
      <c r="J77" s="660" t="s">
        <v>76</v>
      </c>
      <c r="K77" s="580"/>
      <c r="L77" s="637"/>
      <c r="M77" s="204"/>
      <c r="N77" s="204"/>
      <c r="O77" s="204"/>
      <c r="P77" s="204"/>
      <c r="Q77" s="204"/>
    </row>
    <row r="78" spans="1:32" s="315" customFormat="1" x14ac:dyDescent="0.2">
      <c r="A78" s="204"/>
      <c r="B78" s="661" t="s">
        <v>81</v>
      </c>
      <c r="C78" s="615"/>
      <c r="D78" s="615"/>
      <c r="E78" s="615"/>
      <c r="F78" s="616"/>
      <c r="G78" s="616"/>
      <c r="H78" s="616"/>
      <c r="I78" s="616"/>
      <c r="J78" s="616"/>
      <c r="K78" s="580"/>
      <c r="L78" s="637"/>
      <c r="M78" s="204"/>
      <c r="N78" s="204"/>
      <c r="O78" s="204"/>
      <c r="P78" s="204"/>
      <c r="Q78" s="204"/>
    </row>
    <row r="79" spans="1:32" s="315" customFormat="1" x14ac:dyDescent="0.2">
      <c r="A79" s="204"/>
      <c r="B79" s="651" t="s">
        <v>77</v>
      </c>
      <c r="C79" s="580"/>
      <c r="D79" s="580"/>
      <c r="E79" s="580"/>
      <c r="F79" s="662" t="s">
        <v>78</v>
      </c>
      <c r="G79" s="652" t="s">
        <v>79</v>
      </c>
      <c r="H79" s="652" t="s">
        <v>80</v>
      </c>
      <c r="I79" s="652"/>
      <c r="J79" s="652"/>
      <c r="K79" s="580"/>
      <c r="L79" s="637"/>
      <c r="M79" s="204"/>
      <c r="N79" s="204"/>
      <c r="O79" s="204"/>
      <c r="P79" s="204"/>
      <c r="Q79" s="204"/>
    </row>
    <row r="80" spans="1:32" s="315" customFormat="1" x14ac:dyDescent="0.2">
      <c r="A80" s="204"/>
      <c r="B80" s="651"/>
      <c r="C80" s="580"/>
      <c r="D80" s="580"/>
      <c r="E80" s="580"/>
      <c r="F80" s="652"/>
      <c r="G80" s="652"/>
      <c r="H80" s="652"/>
      <c r="I80" s="652"/>
      <c r="J80" s="652"/>
      <c r="K80" s="580"/>
      <c r="L80" s="637"/>
      <c r="M80" s="204"/>
      <c r="N80" s="204"/>
      <c r="O80" s="204"/>
      <c r="P80" s="204"/>
      <c r="Q80" s="204"/>
    </row>
    <row r="81" spans="1:17" s="315" customFormat="1" x14ac:dyDescent="0.2">
      <c r="A81" s="204"/>
      <c r="B81" s="651" t="s">
        <v>92</v>
      </c>
      <c r="C81" s="580"/>
      <c r="D81" s="580" t="s">
        <v>83</v>
      </c>
      <c r="E81" s="580"/>
      <c r="F81" s="652">
        <v>0</v>
      </c>
      <c r="G81" s="652">
        <v>1</v>
      </c>
      <c r="H81" s="652">
        <v>2</v>
      </c>
      <c r="I81" s="652"/>
      <c r="J81" s="652"/>
      <c r="K81" s="580"/>
      <c r="L81" s="637"/>
      <c r="M81" s="204"/>
      <c r="N81" s="204"/>
      <c r="O81" s="204"/>
      <c r="P81" s="204"/>
      <c r="Q81" s="204"/>
    </row>
    <row r="82" spans="1:17" s="315" customFormat="1" x14ac:dyDescent="0.2">
      <c r="A82" s="204"/>
      <c r="B82" s="651" t="s">
        <v>77</v>
      </c>
      <c r="C82" s="580"/>
      <c r="D82" s="580" t="s">
        <v>84</v>
      </c>
      <c r="E82" s="580"/>
      <c r="F82" s="652">
        <v>1</v>
      </c>
      <c r="G82" s="652">
        <v>2</v>
      </c>
      <c r="H82" s="652">
        <v>3</v>
      </c>
      <c r="I82" s="652"/>
      <c r="J82" s="652"/>
      <c r="K82" s="580"/>
      <c r="L82" s="637"/>
      <c r="M82" s="204"/>
      <c r="N82" s="204"/>
      <c r="O82" s="204"/>
      <c r="P82" s="204"/>
      <c r="Q82" s="204"/>
    </row>
    <row r="83" spans="1:17" s="315" customFormat="1" x14ac:dyDescent="0.2">
      <c r="A83" s="204"/>
      <c r="B83" s="654"/>
      <c r="C83" s="657"/>
      <c r="D83" s="580" t="s">
        <v>85</v>
      </c>
      <c r="E83" s="580"/>
      <c r="F83" s="652">
        <v>2</v>
      </c>
      <c r="G83" s="652">
        <v>3</v>
      </c>
      <c r="H83" s="652">
        <v>4</v>
      </c>
      <c r="I83" s="652">
        <v>4</v>
      </c>
      <c r="J83" s="618"/>
      <c r="K83" s="580"/>
      <c r="L83" s="637"/>
      <c r="M83" s="204"/>
      <c r="N83" s="204"/>
      <c r="O83" s="204"/>
      <c r="P83" s="204"/>
      <c r="Q83" s="204"/>
    </row>
    <row r="84" spans="1:17" s="315" customFormat="1" x14ac:dyDescent="0.2">
      <c r="A84" s="204"/>
      <c r="B84" s="651"/>
      <c r="C84" s="580"/>
      <c r="D84" s="580"/>
      <c r="E84" s="580"/>
      <c r="F84" s="652"/>
      <c r="G84" s="652"/>
      <c r="H84" s="652"/>
      <c r="I84" s="652"/>
      <c r="J84" s="652"/>
      <c r="K84" s="580"/>
      <c r="L84" s="637"/>
      <c r="M84" s="204"/>
      <c r="N84" s="204"/>
      <c r="O84" s="204"/>
      <c r="P84" s="204"/>
      <c r="Q84" s="204"/>
    </row>
    <row r="85" spans="1:17" s="315" customFormat="1" x14ac:dyDescent="0.2">
      <c r="A85" s="204"/>
      <c r="B85" s="651" t="s">
        <v>82</v>
      </c>
      <c r="C85" s="580"/>
      <c r="D85" s="580" t="s">
        <v>83</v>
      </c>
      <c r="E85" s="580"/>
      <c r="F85" s="652">
        <v>0</v>
      </c>
      <c r="G85" s="652">
        <v>1</v>
      </c>
      <c r="H85" s="652">
        <v>2</v>
      </c>
      <c r="I85" s="652"/>
      <c r="J85" s="652"/>
      <c r="K85" s="580"/>
      <c r="L85" s="637"/>
      <c r="M85" s="204"/>
      <c r="N85" s="204"/>
      <c r="O85" s="204"/>
      <c r="P85" s="204"/>
      <c r="Q85" s="204"/>
    </row>
    <row r="86" spans="1:17" s="315" customFormat="1" x14ac:dyDescent="0.2">
      <c r="A86" s="204"/>
      <c r="B86" s="651"/>
      <c r="C86" s="580"/>
      <c r="D86" s="580" t="s">
        <v>84</v>
      </c>
      <c r="E86" s="580"/>
      <c r="F86" s="652">
        <v>1</v>
      </c>
      <c r="G86" s="652">
        <v>2</v>
      </c>
      <c r="H86" s="652">
        <v>3</v>
      </c>
      <c r="I86" s="652"/>
      <c r="J86" s="652"/>
      <c r="K86" s="580"/>
      <c r="L86" s="637"/>
      <c r="M86" s="204"/>
      <c r="N86" s="204"/>
      <c r="O86" s="204"/>
      <c r="P86" s="204"/>
      <c r="Q86" s="204"/>
    </row>
    <row r="87" spans="1:17" s="315" customFormat="1" x14ac:dyDescent="0.2">
      <c r="A87" s="204"/>
      <c r="B87" s="651" t="s">
        <v>81</v>
      </c>
      <c r="C87" s="580"/>
      <c r="D87" s="580" t="s">
        <v>85</v>
      </c>
      <c r="E87" s="580"/>
      <c r="F87" s="652">
        <v>2</v>
      </c>
      <c r="G87" s="652">
        <v>3</v>
      </c>
      <c r="H87" s="652">
        <v>4</v>
      </c>
      <c r="I87" s="652">
        <v>4</v>
      </c>
      <c r="J87" s="618"/>
      <c r="K87" s="580"/>
      <c r="L87" s="637"/>
      <c r="M87" s="204"/>
      <c r="N87" s="204"/>
      <c r="O87" s="204"/>
      <c r="P87" s="204"/>
      <c r="Q87" s="204"/>
    </row>
    <row r="88" spans="1:17" s="315" customFormat="1" x14ac:dyDescent="0.2">
      <c r="A88" s="204"/>
      <c r="B88" s="651" t="s">
        <v>77</v>
      </c>
      <c r="C88" s="580"/>
      <c r="D88" s="580"/>
      <c r="E88" s="580"/>
      <c r="F88" s="652"/>
      <c r="G88" s="652"/>
      <c r="H88" s="652"/>
      <c r="I88" s="652"/>
      <c r="J88" s="652"/>
      <c r="K88" s="580"/>
      <c r="L88" s="637"/>
      <c r="M88" s="204"/>
      <c r="N88" s="204"/>
      <c r="O88" s="204"/>
      <c r="P88" s="204"/>
      <c r="Q88" s="204"/>
    </row>
    <row r="89" spans="1:17" s="315" customFormat="1" x14ac:dyDescent="0.2">
      <c r="A89" s="204"/>
      <c r="B89" s="651" t="s">
        <v>93</v>
      </c>
      <c r="C89" s="580"/>
      <c r="D89" s="580" t="s">
        <v>83</v>
      </c>
      <c r="E89" s="580"/>
      <c r="F89" s="652">
        <v>0</v>
      </c>
      <c r="G89" s="652">
        <v>1</v>
      </c>
      <c r="H89" s="652">
        <v>2</v>
      </c>
      <c r="I89" s="652"/>
      <c r="J89" s="652"/>
      <c r="K89" s="580"/>
      <c r="L89" s="637"/>
      <c r="M89" s="204"/>
      <c r="N89" s="204"/>
      <c r="O89" s="204"/>
      <c r="P89" s="204"/>
      <c r="Q89" s="204"/>
    </row>
    <row r="90" spans="1:17" s="315" customFormat="1" x14ac:dyDescent="0.2">
      <c r="A90" s="204"/>
      <c r="B90" s="651"/>
      <c r="C90" s="580"/>
      <c r="D90" s="580" t="s">
        <v>84</v>
      </c>
      <c r="E90" s="580"/>
      <c r="F90" s="652">
        <v>1</v>
      </c>
      <c r="G90" s="652">
        <v>2</v>
      </c>
      <c r="H90" s="652">
        <v>3</v>
      </c>
      <c r="I90" s="652"/>
      <c r="J90" s="652"/>
      <c r="K90" s="580"/>
      <c r="L90" s="637"/>
      <c r="M90" s="204"/>
      <c r="N90" s="204"/>
      <c r="O90" s="204"/>
      <c r="P90" s="204"/>
      <c r="Q90" s="204"/>
    </row>
    <row r="91" spans="1:17" s="315" customFormat="1" x14ac:dyDescent="0.2">
      <c r="A91" s="204"/>
      <c r="B91" s="651"/>
      <c r="C91" s="580"/>
      <c r="D91" s="580" t="s">
        <v>85</v>
      </c>
      <c r="E91" s="580"/>
      <c r="F91" s="652">
        <v>2</v>
      </c>
      <c r="G91" s="652">
        <v>3</v>
      </c>
      <c r="H91" s="652">
        <v>4</v>
      </c>
      <c r="I91" s="652">
        <v>4</v>
      </c>
      <c r="J91" s="618"/>
      <c r="K91" s="580"/>
      <c r="L91" s="637"/>
      <c r="M91" s="204"/>
      <c r="N91" s="204"/>
      <c r="O91" s="204"/>
      <c r="P91" s="204"/>
      <c r="Q91" s="204"/>
    </row>
    <row r="92" spans="1:17" s="315" customFormat="1" x14ac:dyDescent="0.2">
      <c r="A92" s="204"/>
      <c r="B92" s="651"/>
      <c r="C92" s="580"/>
      <c r="D92" s="580"/>
      <c r="E92" s="580"/>
      <c r="F92" s="652"/>
      <c r="G92" s="652"/>
      <c r="H92" s="652"/>
      <c r="I92" s="652"/>
      <c r="J92" s="652"/>
      <c r="K92" s="580"/>
      <c r="L92" s="637"/>
      <c r="M92" s="204"/>
      <c r="N92" s="204"/>
      <c r="O92" s="204"/>
      <c r="P92" s="204"/>
      <c r="Q92" s="204"/>
    </row>
    <row r="93" spans="1:17" s="315" customFormat="1" x14ac:dyDescent="0.2">
      <c r="A93" s="204"/>
      <c r="B93" s="651" t="s">
        <v>94</v>
      </c>
      <c r="C93" s="580"/>
      <c r="D93" s="580" t="s">
        <v>95</v>
      </c>
      <c r="E93" s="580"/>
      <c r="F93" s="652">
        <v>0</v>
      </c>
      <c r="G93" s="652">
        <v>2</v>
      </c>
      <c r="H93" s="652">
        <v>4</v>
      </c>
      <c r="I93" s="652"/>
      <c r="J93" s="652"/>
      <c r="K93" s="580"/>
      <c r="L93" s="637"/>
      <c r="M93" s="204"/>
      <c r="N93" s="204"/>
      <c r="O93" s="204"/>
      <c r="P93" s="204"/>
      <c r="Q93" s="204"/>
    </row>
    <row r="94" spans="1:17" s="315" customFormat="1" x14ac:dyDescent="0.2">
      <c r="A94" s="204"/>
      <c r="B94" s="651" t="s">
        <v>77</v>
      </c>
      <c r="C94" s="580"/>
      <c r="D94" s="580" t="s">
        <v>96</v>
      </c>
      <c r="E94" s="580"/>
      <c r="F94" s="652">
        <v>2</v>
      </c>
      <c r="G94" s="652">
        <v>4</v>
      </c>
      <c r="H94" s="652">
        <v>6</v>
      </c>
      <c r="I94" s="652"/>
      <c r="J94" s="652"/>
      <c r="K94" s="580"/>
      <c r="L94" s="637"/>
      <c r="M94" s="204"/>
      <c r="N94" s="204"/>
      <c r="O94" s="204"/>
      <c r="P94" s="204"/>
      <c r="Q94" s="204"/>
    </row>
    <row r="95" spans="1:17" s="315" customFormat="1" x14ac:dyDescent="0.2">
      <c r="A95" s="204"/>
      <c r="B95" s="654"/>
      <c r="C95" s="657"/>
      <c r="D95" s="580" t="s">
        <v>97</v>
      </c>
      <c r="E95" s="580"/>
      <c r="F95" s="652">
        <v>4</v>
      </c>
      <c r="G95" s="652">
        <v>6</v>
      </c>
      <c r="H95" s="652">
        <v>8</v>
      </c>
      <c r="I95" s="652">
        <v>8</v>
      </c>
      <c r="J95" s="618"/>
      <c r="K95" s="580"/>
      <c r="L95" s="637"/>
      <c r="M95" s="204"/>
      <c r="N95" s="204"/>
      <c r="O95" s="204"/>
      <c r="P95" s="204"/>
      <c r="Q95" s="204"/>
    </row>
    <row r="96" spans="1:17" s="315" customFormat="1" x14ac:dyDescent="0.2">
      <c r="A96" s="204"/>
      <c r="B96" s="651"/>
      <c r="C96" s="580"/>
      <c r="D96" s="580"/>
      <c r="E96" s="580"/>
      <c r="F96" s="652"/>
      <c r="G96" s="652"/>
      <c r="H96" s="652"/>
      <c r="I96" s="652"/>
      <c r="J96" s="652"/>
      <c r="K96" s="580"/>
      <c r="L96" s="637"/>
      <c r="M96" s="204"/>
      <c r="N96" s="204"/>
      <c r="O96" s="204"/>
      <c r="P96" s="204"/>
      <c r="Q96" s="204"/>
    </row>
    <row r="97" spans="1:17" s="315" customFormat="1" x14ac:dyDescent="0.2">
      <c r="A97" s="204"/>
      <c r="B97" s="651" t="s">
        <v>98</v>
      </c>
      <c r="C97" s="580"/>
      <c r="D97" s="580" t="s">
        <v>95</v>
      </c>
      <c r="E97" s="580"/>
      <c r="F97" s="652">
        <v>0</v>
      </c>
      <c r="G97" s="652">
        <v>2</v>
      </c>
      <c r="H97" s="652">
        <v>4</v>
      </c>
      <c r="I97" s="652"/>
      <c r="J97" s="652"/>
      <c r="K97" s="580"/>
      <c r="L97" s="637"/>
      <c r="M97" s="204"/>
      <c r="N97" s="204"/>
      <c r="O97" s="204"/>
      <c r="P97" s="204"/>
      <c r="Q97" s="204"/>
    </row>
    <row r="98" spans="1:17" s="315" customFormat="1" x14ac:dyDescent="0.2">
      <c r="A98" s="204"/>
      <c r="B98" s="651" t="s">
        <v>99</v>
      </c>
      <c r="C98" s="580"/>
      <c r="D98" s="580" t="s">
        <v>96</v>
      </c>
      <c r="E98" s="580"/>
      <c r="F98" s="652">
        <v>2</v>
      </c>
      <c r="G98" s="652">
        <v>4</v>
      </c>
      <c r="H98" s="652">
        <v>6</v>
      </c>
      <c r="I98" s="652"/>
      <c r="J98" s="652"/>
      <c r="K98" s="580"/>
      <c r="L98" s="637"/>
      <c r="M98" s="204"/>
      <c r="N98" s="204"/>
      <c r="O98" s="204"/>
      <c r="P98" s="204"/>
      <c r="Q98" s="204"/>
    </row>
    <row r="99" spans="1:17" s="315" customFormat="1" x14ac:dyDescent="0.2">
      <c r="A99" s="204"/>
      <c r="B99" s="651" t="s">
        <v>81</v>
      </c>
      <c r="C99" s="580"/>
      <c r="D99" s="580" t="s">
        <v>97</v>
      </c>
      <c r="E99" s="580"/>
      <c r="F99" s="652">
        <v>6</v>
      </c>
      <c r="G99" s="652">
        <v>8</v>
      </c>
      <c r="H99" s="652">
        <v>10</v>
      </c>
      <c r="I99" s="652">
        <v>10</v>
      </c>
      <c r="J99" s="618"/>
      <c r="K99" s="580"/>
      <c r="L99" s="637"/>
      <c r="M99" s="204"/>
      <c r="N99" s="204"/>
      <c r="O99" s="204"/>
      <c r="P99" s="204"/>
      <c r="Q99" s="204"/>
    </row>
    <row r="100" spans="1:17" s="315" customFormat="1" x14ac:dyDescent="0.2">
      <c r="A100" s="204"/>
      <c r="B100" s="651" t="s">
        <v>77</v>
      </c>
      <c r="C100" s="580"/>
      <c r="D100" s="580"/>
      <c r="E100" s="580"/>
      <c r="F100" s="652"/>
      <c r="G100" s="652"/>
      <c r="H100" s="652"/>
      <c r="I100" s="652"/>
      <c r="J100" s="652"/>
      <c r="K100" s="580"/>
      <c r="L100" s="637"/>
      <c r="M100" s="204"/>
      <c r="N100" s="204"/>
      <c r="O100" s="204"/>
      <c r="P100" s="204"/>
      <c r="Q100" s="204"/>
    </row>
    <row r="101" spans="1:17" s="315" customFormat="1" x14ac:dyDescent="0.2">
      <c r="A101" s="204"/>
      <c r="B101" s="651" t="s">
        <v>100</v>
      </c>
      <c r="C101" s="580"/>
      <c r="D101" s="580" t="s">
        <v>95</v>
      </c>
      <c r="E101" s="580"/>
      <c r="F101" s="652">
        <v>0</v>
      </c>
      <c r="G101" s="652">
        <v>2</v>
      </c>
      <c r="H101" s="652">
        <v>4</v>
      </c>
      <c r="I101" s="652"/>
      <c r="J101" s="652"/>
      <c r="K101" s="580"/>
      <c r="L101" s="637"/>
      <c r="M101" s="204"/>
      <c r="N101" s="204"/>
      <c r="O101" s="204"/>
      <c r="P101" s="204"/>
      <c r="Q101" s="204"/>
    </row>
    <row r="102" spans="1:17" s="315" customFormat="1" x14ac:dyDescent="0.2">
      <c r="A102" s="204"/>
      <c r="B102" s="651" t="s">
        <v>205</v>
      </c>
      <c r="C102" s="580"/>
      <c r="D102" s="580" t="s">
        <v>96</v>
      </c>
      <c r="E102" s="580"/>
      <c r="F102" s="652">
        <v>2</v>
      </c>
      <c r="G102" s="652">
        <v>4</v>
      </c>
      <c r="H102" s="652">
        <v>6</v>
      </c>
      <c r="I102" s="652"/>
      <c r="J102" s="652"/>
      <c r="K102" s="580"/>
      <c r="L102" s="637"/>
      <c r="M102" s="204"/>
      <c r="N102" s="204"/>
      <c r="O102" s="204"/>
      <c r="P102" s="204"/>
      <c r="Q102" s="204"/>
    </row>
    <row r="103" spans="1:17" s="315" customFormat="1" x14ac:dyDescent="0.2">
      <c r="A103" s="204"/>
      <c r="B103" s="661"/>
      <c r="C103" s="615"/>
      <c r="D103" s="615" t="s">
        <v>97</v>
      </c>
      <c r="E103" s="615"/>
      <c r="F103" s="616">
        <v>6</v>
      </c>
      <c r="G103" s="616">
        <v>8</v>
      </c>
      <c r="H103" s="616">
        <v>10</v>
      </c>
      <c r="I103" s="616">
        <v>10</v>
      </c>
      <c r="J103" s="618"/>
      <c r="K103" s="580"/>
      <c r="L103" s="637"/>
      <c r="M103" s="204"/>
      <c r="N103" s="204"/>
      <c r="O103" s="204"/>
      <c r="P103" s="204"/>
      <c r="Q103" s="204"/>
    </row>
    <row r="104" spans="1:17" s="315" customFormat="1" x14ac:dyDescent="0.2">
      <c r="A104" s="204"/>
      <c r="B104" s="651"/>
      <c r="C104" s="580"/>
      <c r="D104" s="580"/>
      <c r="E104" s="580"/>
      <c r="F104" s="652"/>
      <c r="G104" s="652"/>
      <c r="H104" s="652"/>
      <c r="I104" s="652"/>
      <c r="J104" s="652"/>
      <c r="K104" s="580"/>
      <c r="L104" s="637"/>
      <c r="M104" s="204"/>
      <c r="N104" s="204"/>
      <c r="O104" s="204"/>
      <c r="P104" s="204"/>
      <c r="Q104" s="204"/>
    </row>
    <row r="105" spans="1:17" s="315" customFormat="1" x14ac:dyDescent="0.2">
      <c r="A105" s="204"/>
      <c r="B105" s="651" t="s">
        <v>81</v>
      </c>
      <c r="C105" s="580"/>
      <c r="D105" s="580"/>
      <c r="E105" s="663" t="s">
        <v>89</v>
      </c>
      <c r="F105" s="664">
        <v>4</v>
      </c>
      <c r="G105" s="662" t="s">
        <v>31</v>
      </c>
      <c r="H105" s="619">
        <f>SUM(J83:J103)</f>
        <v>0</v>
      </c>
      <c r="I105" s="665">
        <v>4</v>
      </c>
      <c r="J105" s="652"/>
      <c r="K105" s="580"/>
      <c r="L105" s="637"/>
      <c r="M105" s="204"/>
      <c r="N105" s="204"/>
      <c r="O105" s="204"/>
      <c r="P105" s="204"/>
      <c r="Q105" s="204"/>
    </row>
    <row r="106" spans="1:17" s="315" customFormat="1" x14ac:dyDescent="0.2">
      <c r="A106" s="204"/>
      <c r="B106" s="651" t="s">
        <v>77</v>
      </c>
      <c r="C106" s="580"/>
      <c r="D106" s="580"/>
      <c r="E106" s="580"/>
      <c r="F106" s="652"/>
      <c r="G106" s="652"/>
      <c r="H106" s="652"/>
      <c r="I106" s="652"/>
      <c r="J106" s="652"/>
      <c r="K106" s="580"/>
      <c r="L106" s="637"/>
      <c r="M106" s="204"/>
      <c r="N106" s="204"/>
      <c r="O106" s="204"/>
      <c r="P106" s="204"/>
      <c r="Q106" s="204"/>
    </row>
    <row r="107" spans="1:17" s="315" customFormat="1" x14ac:dyDescent="0.2">
      <c r="A107" s="204"/>
      <c r="B107" s="654"/>
      <c r="C107" s="657"/>
      <c r="D107" s="657"/>
      <c r="E107" s="657"/>
      <c r="F107" s="580"/>
      <c r="G107" s="652"/>
      <c r="H107" s="652"/>
      <c r="I107" s="663" t="s">
        <v>101</v>
      </c>
      <c r="J107" s="619">
        <f>IF(H105/4&gt;5,5,H105/4)</f>
        <v>0</v>
      </c>
      <c r="K107" s="580"/>
      <c r="L107" s="637"/>
      <c r="M107" s="204"/>
      <c r="N107" s="204"/>
      <c r="O107" s="204"/>
      <c r="P107" s="204"/>
      <c r="Q107" s="204"/>
    </row>
    <row r="108" spans="1:17" s="315" customFormat="1" x14ac:dyDescent="0.2">
      <c r="A108" s="204"/>
      <c r="B108" s="651"/>
      <c r="C108" s="580"/>
      <c r="D108" s="657"/>
      <c r="E108" s="652"/>
      <c r="F108" s="652"/>
      <c r="G108" s="652"/>
      <c r="H108" s="652"/>
      <c r="I108" s="652"/>
      <c r="J108" s="580"/>
      <c r="K108" s="580"/>
      <c r="L108" s="637"/>
      <c r="M108" s="204"/>
      <c r="N108" s="204"/>
      <c r="O108" s="204"/>
      <c r="P108" s="204"/>
      <c r="Q108" s="204"/>
    </row>
    <row r="109" spans="1:17" s="315" customFormat="1" ht="13.5" thickBot="1" x14ac:dyDescent="0.25">
      <c r="A109" s="204"/>
      <c r="B109" s="666"/>
      <c r="C109" s="614"/>
      <c r="D109" s="614"/>
      <c r="E109" s="667"/>
      <c r="F109" s="614"/>
      <c r="G109" s="668"/>
      <c r="H109" s="614"/>
      <c r="I109" s="668"/>
      <c r="J109" s="614"/>
      <c r="K109" s="614"/>
      <c r="L109" s="649"/>
      <c r="M109" s="204"/>
      <c r="N109" s="204"/>
      <c r="O109" s="204"/>
      <c r="P109" s="204"/>
      <c r="Q109" s="204"/>
    </row>
    <row r="110" spans="1:17" s="315" customFormat="1" x14ac:dyDescent="0.2">
      <c r="A110" s="204"/>
      <c r="B110" s="204"/>
      <c r="C110" s="204"/>
      <c r="D110" s="204"/>
      <c r="E110" s="204"/>
      <c r="F110" s="204"/>
      <c r="G110" s="349"/>
      <c r="H110" s="204"/>
      <c r="I110" s="349"/>
      <c r="J110" s="204"/>
      <c r="K110" s="204"/>
      <c r="L110" s="204"/>
      <c r="M110" s="204"/>
      <c r="N110" s="204"/>
      <c r="O110" s="204"/>
      <c r="P110" s="204"/>
      <c r="Q110" s="204"/>
    </row>
    <row r="111" spans="1:17" s="315" customFormat="1" x14ac:dyDescent="0.2">
      <c r="A111" s="204"/>
      <c r="B111" s="204"/>
      <c r="C111" s="204"/>
      <c r="D111" s="204"/>
      <c r="E111" s="204"/>
      <c r="F111" s="204"/>
      <c r="G111" s="349"/>
      <c r="H111" s="204"/>
      <c r="I111" s="349"/>
      <c r="J111" s="204"/>
      <c r="K111" s="204"/>
      <c r="L111" s="204"/>
      <c r="M111" s="204"/>
      <c r="N111" s="204"/>
      <c r="O111" s="204"/>
      <c r="P111" s="204"/>
      <c r="Q111" s="204"/>
    </row>
    <row r="112" spans="1:17" s="315" customFormat="1" x14ac:dyDescent="0.2">
      <c r="A112" s="204"/>
      <c r="D112" s="204"/>
      <c r="E112" s="204"/>
      <c r="F112" s="204"/>
      <c r="G112" s="349"/>
      <c r="H112" s="204"/>
      <c r="I112" s="349"/>
      <c r="J112" s="204"/>
      <c r="K112" s="204"/>
      <c r="L112" s="204"/>
      <c r="M112" s="204"/>
      <c r="N112" s="204"/>
      <c r="O112" s="204"/>
      <c r="P112" s="204"/>
      <c r="Q112" s="204"/>
    </row>
    <row r="113" spans="1:17" s="315" customFormat="1" x14ac:dyDescent="0.2">
      <c r="A113" s="204"/>
      <c r="D113" s="204"/>
      <c r="E113" s="204"/>
      <c r="F113" s="204"/>
      <c r="G113" s="349"/>
      <c r="H113" s="204"/>
      <c r="I113" s="349"/>
      <c r="J113" s="204"/>
      <c r="K113" s="204"/>
      <c r="L113" s="204"/>
      <c r="M113" s="204"/>
      <c r="N113" s="204"/>
      <c r="O113" s="204"/>
      <c r="P113" s="204"/>
      <c r="Q113" s="204"/>
    </row>
    <row r="114" spans="1:17" s="315" customFormat="1" x14ac:dyDescent="0.2">
      <c r="A114" s="204"/>
      <c r="B114" s="204"/>
      <c r="C114" s="204"/>
      <c r="D114" s="204"/>
      <c r="F114" s="204"/>
      <c r="G114" s="349"/>
      <c r="H114" s="204"/>
      <c r="I114" s="349"/>
      <c r="J114" s="204"/>
      <c r="K114" s="204"/>
      <c r="L114" s="204"/>
      <c r="M114" s="204"/>
      <c r="N114" s="204"/>
      <c r="O114" s="204"/>
      <c r="P114" s="204"/>
      <c r="Q114" s="204"/>
    </row>
    <row r="115" spans="1:17" s="315" customFormat="1" x14ac:dyDescent="0.2">
      <c r="A115" s="204"/>
      <c r="B115" s="204"/>
      <c r="C115" s="204"/>
      <c r="D115" s="204"/>
      <c r="E115" s="204"/>
      <c r="F115" s="204"/>
      <c r="G115" s="349"/>
      <c r="H115" s="204"/>
      <c r="I115" s="349"/>
      <c r="J115" s="204"/>
      <c r="K115" s="204"/>
      <c r="L115" s="204"/>
      <c r="M115" s="204"/>
      <c r="N115" s="204"/>
      <c r="O115" s="204"/>
      <c r="P115" s="204"/>
      <c r="Q115" s="204"/>
    </row>
    <row r="116" spans="1:17" s="315" customFormat="1" x14ac:dyDescent="0.2">
      <c r="A116" s="204"/>
      <c r="B116" s="204"/>
      <c r="C116" s="204"/>
      <c r="D116" s="204"/>
      <c r="E116" s="204"/>
      <c r="F116" s="204"/>
      <c r="G116" s="349"/>
      <c r="H116" s="204"/>
      <c r="I116" s="349"/>
      <c r="J116" s="204"/>
      <c r="K116" s="204"/>
      <c r="L116" s="204"/>
      <c r="M116" s="204"/>
      <c r="N116" s="204"/>
      <c r="O116" s="204"/>
      <c r="P116" s="204"/>
      <c r="Q116" s="204"/>
    </row>
    <row r="117" spans="1:17" s="315" customFormat="1" x14ac:dyDescent="0.2">
      <c r="A117" s="204"/>
      <c r="B117" s="204"/>
      <c r="C117" s="204"/>
      <c r="D117" s="204"/>
      <c r="E117" s="204"/>
      <c r="F117" s="204"/>
      <c r="G117" s="349"/>
      <c r="H117" s="204"/>
      <c r="I117" s="349"/>
      <c r="J117" s="204"/>
      <c r="K117" s="204"/>
      <c r="L117" s="204"/>
      <c r="M117" s="204"/>
      <c r="N117" s="204"/>
      <c r="O117" s="204"/>
      <c r="P117" s="204"/>
      <c r="Q117" s="204"/>
    </row>
    <row r="118" spans="1:17" s="315" customFormat="1" x14ac:dyDescent="0.2">
      <c r="A118" s="204"/>
      <c r="B118" s="204"/>
      <c r="C118" s="204"/>
      <c r="D118" s="204"/>
      <c r="E118" s="204"/>
      <c r="F118" s="204"/>
      <c r="G118" s="349"/>
      <c r="H118" s="204"/>
      <c r="I118" s="349"/>
      <c r="J118" s="204"/>
      <c r="K118" s="204"/>
      <c r="L118" s="204"/>
      <c r="M118" s="204"/>
      <c r="N118" s="204"/>
      <c r="O118" s="204"/>
      <c r="P118" s="204"/>
      <c r="Q118" s="204"/>
    </row>
    <row r="119" spans="1:17" s="315" customFormat="1" x14ac:dyDescent="0.2">
      <c r="A119" s="204"/>
      <c r="B119" s="204"/>
      <c r="C119" s="204"/>
      <c r="D119" s="204"/>
      <c r="E119" s="204"/>
      <c r="F119" s="204"/>
      <c r="G119" s="349"/>
      <c r="H119" s="204"/>
      <c r="I119" s="349"/>
      <c r="J119" s="204"/>
      <c r="K119" s="204"/>
      <c r="L119" s="204"/>
      <c r="M119" s="204"/>
      <c r="N119" s="204"/>
      <c r="O119" s="204"/>
      <c r="P119" s="204"/>
      <c r="Q119" s="204"/>
    </row>
  </sheetData>
  <sheetProtection selectLockedCells="1"/>
  <mergeCells count="11">
    <mergeCell ref="C10:G10"/>
    <mergeCell ref="G7:K8"/>
    <mergeCell ref="I28:L30"/>
    <mergeCell ref="B28:H28"/>
    <mergeCell ref="B71:G73"/>
    <mergeCell ref="B29:H31"/>
    <mergeCell ref="B49:K50"/>
    <mergeCell ref="I69:K70"/>
    <mergeCell ref="D12:E13"/>
    <mergeCell ref="A28:A62"/>
    <mergeCell ref="E34:K34"/>
  </mergeCells>
  <hyperlinks>
    <hyperlink ref="D12" r:id="rId1" display="ITN; from graph, figure III-1"/>
    <hyperlink ref="C10:E10" location="'ITN and DTN Graph'!L2" display="See ITN and DTN Graph for procedure"/>
    <hyperlink ref="D12:E13" location="'ITN and DTN Graph'!L2" display="ITN and DTN Graph"/>
  </hyperlinks>
  <pageMargins left="0.7" right="0.7" top="0.75" bottom="0.75" header="0.3" footer="0.3"/>
  <pageSetup orientation="portrait" horizontalDpi="4294967295" verticalDpi="4294967295" r:id="rId2"/>
  <drawing r:id="rId3"/>
  <legacyDrawing r:id="rId4"/>
  <oleObjects>
    <mc:AlternateContent xmlns:mc="http://schemas.openxmlformats.org/markup-compatibility/2006">
      <mc:Choice Requires="x14">
        <oleObject progId="Equation.3" shapeId="9235" r:id="rId5">
          <objectPr defaultSize="0" autoLine="0" autoPict="0" dde="1" r:id="rId6">
            <anchor moveWithCells="1">
              <from>
                <xdr:col>4</xdr:col>
                <xdr:colOff>504825</xdr:colOff>
                <xdr:row>103</xdr:row>
                <xdr:rowOff>152400</xdr:rowOff>
              </from>
              <to>
                <xdr:col>5</xdr:col>
                <xdr:colOff>180975</xdr:colOff>
                <xdr:row>104</xdr:row>
                <xdr:rowOff>152400</xdr:rowOff>
              </to>
            </anchor>
          </objectPr>
        </oleObject>
      </mc:Choice>
      <mc:Fallback>
        <oleObject progId="Equation.3" shapeId="9235" r:id="rId5"/>
      </mc:Fallback>
    </mc:AlternateContent>
    <mc:AlternateContent xmlns:mc="http://schemas.openxmlformats.org/markup-compatibility/2006">
      <mc:Choice Requires="x14">
        <oleObject progId="Equation.3" shapeId="9262" r:id="rId7">
          <objectPr defaultSize="0" autoLine="0" autoPict="0" dde="1" r:id="rId6">
            <anchor moveWithCells="1">
              <from>
                <xdr:col>8</xdr:col>
                <xdr:colOff>47625</xdr:colOff>
                <xdr:row>104</xdr:row>
                <xdr:rowOff>9525</xdr:rowOff>
              </from>
              <to>
                <xdr:col>8</xdr:col>
                <xdr:colOff>228600</xdr:colOff>
                <xdr:row>105</xdr:row>
                <xdr:rowOff>0</xdr:rowOff>
              </to>
            </anchor>
          </objectPr>
        </oleObject>
      </mc:Choice>
      <mc:Fallback>
        <oleObject progId="Equation.3" shapeId="9262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73"/>
  <sheetViews>
    <sheetView showGridLines="0" topLeftCell="A57" zoomScale="75" zoomScaleNormal="75" workbookViewId="0">
      <selection activeCell="D62" sqref="D62:D64"/>
    </sheetView>
  </sheetViews>
  <sheetFormatPr defaultRowHeight="12.75" x14ac:dyDescent="0.2"/>
  <cols>
    <col min="1" max="1" width="1.7109375" style="156" customWidth="1"/>
    <col min="2" max="16384" width="9.140625" style="156"/>
  </cols>
  <sheetData>
    <row r="1" spans="2:16" x14ac:dyDescent="0.2">
      <c r="M1" s="157"/>
      <c r="N1" s="157"/>
    </row>
    <row r="2" spans="2:16" ht="12.75" customHeight="1" x14ac:dyDescent="0.2">
      <c r="B2" s="158"/>
      <c r="C2" s="523" t="s">
        <v>417</v>
      </c>
      <c r="D2" s="524"/>
      <c r="E2" s="524"/>
      <c r="F2" s="524"/>
      <c r="G2" s="525"/>
      <c r="I2" s="159" t="s">
        <v>102</v>
      </c>
      <c r="J2" s="534" t="s">
        <v>505</v>
      </c>
      <c r="K2" s="534"/>
      <c r="L2" s="534"/>
      <c r="M2" s="532" t="s">
        <v>418</v>
      </c>
      <c r="N2" s="532"/>
      <c r="O2" s="532"/>
    </row>
    <row r="3" spans="2:16" x14ac:dyDescent="0.2">
      <c r="B3" s="158"/>
      <c r="C3" s="526"/>
      <c r="D3" s="527"/>
      <c r="E3" s="527"/>
      <c r="F3" s="527"/>
      <c r="G3" s="528"/>
      <c r="J3" s="534"/>
      <c r="K3" s="534"/>
      <c r="L3" s="534"/>
      <c r="M3" s="532"/>
      <c r="N3" s="532"/>
      <c r="O3" s="532"/>
    </row>
    <row r="4" spans="2:16" x14ac:dyDescent="0.2">
      <c r="B4" s="158"/>
      <c r="C4" s="526"/>
      <c r="D4" s="527"/>
      <c r="E4" s="527"/>
      <c r="F4" s="527"/>
      <c r="G4" s="528"/>
      <c r="J4" s="534"/>
      <c r="K4" s="534"/>
      <c r="L4" s="534"/>
      <c r="M4" s="532"/>
      <c r="N4" s="532"/>
      <c r="O4" s="532"/>
    </row>
    <row r="5" spans="2:16" x14ac:dyDescent="0.2">
      <c r="B5" s="158"/>
      <c r="C5" s="526"/>
      <c r="D5" s="527"/>
      <c r="E5" s="527"/>
      <c r="F5" s="527"/>
      <c r="G5" s="528"/>
      <c r="J5" s="534"/>
      <c r="K5" s="534"/>
      <c r="L5" s="534"/>
      <c r="M5" s="532"/>
      <c r="N5" s="532"/>
      <c r="O5" s="532"/>
    </row>
    <row r="6" spans="2:16" x14ac:dyDescent="0.2">
      <c r="B6" s="158"/>
      <c r="C6" s="526"/>
      <c r="D6" s="527"/>
      <c r="E6" s="527"/>
      <c r="F6" s="527"/>
      <c r="G6" s="528"/>
      <c r="K6" s="272"/>
      <c r="L6" s="272"/>
      <c r="M6" s="532"/>
      <c r="N6" s="532"/>
      <c r="O6" s="532"/>
    </row>
    <row r="7" spans="2:16" x14ac:dyDescent="0.2">
      <c r="B7" s="158"/>
      <c r="C7" s="529"/>
      <c r="D7" s="530"/>
      <c r="E7" s="530"/>
      <c r="F7" s="530"/>
      <c r="G7" s="531"/>
      <c r="M7" s="532"/>
      <c r="N7" s="532"/>
      <c r="O7" s="532"/>
    </row>
    <row r="8" spans="2:16" x14ac:dyDescent="0.2">
      <c r="M8" s="532"/>
      <c r="N8" s="532"/>
      <c r="O8" s="532"/>
    </row>
    <row r="9" spans="2:16" x14ac:dyDescent="0.2"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6" ht="15.75" x14ac:dyDescent="0.25">
      <c r="B10" s="161" t="s">
        <v>419</v>
      </c>
      <c r="D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2:16" x14ac:dyDescent="0.2"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2:16" ht="12.75" customHeight="1" x14ac:dyDescent="0.2">
      <c r="B12" s="162" t="s">
        <v>103</v>
      </c>
      <c r="C12" s="163" t="s">
        <v>420</v>
      </c>
      <c r="D12" s="164"/>
      <c r="E12" s="164"/>
      <c r="F12" s="160"/>
      <c r="G12" s="160"/>
      <c r="H12" s="160"/>
      <c r="I12" s="533"/>
      <c r="J12" s="533"/>
      <c r="K12" s="533"/>
      <c r="L12" s="533"/>
      <c r="M12" s="533"/>
      <c r="N12" s="533"/>
      <c r="O12" s="533"/>
      <c r="P12" s="533"/>
    </row>
    <row r="13" spans="2:16" x14ac:dyDescent="0.2">
      <c r="B13" s="164"/>
      <c r="C13" s="164"/>
      <c r="D13" s="164"/>
      <c r="E13" s="164"/>
      <c r="F13" s="160"/>
      <c r="G13" s="160"/>
      <c r="H13" s="160"/>
      <c r="I13" s="533"/>
      <c r="J13" s="533"/>
      <c r="K13" s="533"/>
      <c r="L13" s="533"/>
      <c r="M13" s="533"/>
      <c r="N13" s="533"/>
      <c r="O13" s="533"/>
      <c r="P13" s="533"/>
    </row>
    <row r="14" spans="2:16" x14ac:dyDescent="0.2">
      <c r="B14" s="164" t="s">
        <v>15</v>
      </c>
      <c r="C14" s="164"/>
      <c r="D14" s="165" t="s">
        <v>421</v>
      </c>
      <c r="E14" s="165"/>
      <c r="F14" s="160"/>
      <c r="G14" s="160"/>
      <c r="H14" s="160"/>
      <c r="I14" s="533"/>
      <c r="J14" s="533"/>
      <c r="K14" s="533"/>
      <c r="L14" s="533"/>
      <c r="M14" s="533"/>
      <c r="N14" s="533"/>
      <c r="O14" s="533"/>
      <c r="P14" s="533"/>
    </row>
    <row r="15" spans="2:16" x14ac:dyDescent="0.2">
      <c r="B15" s="164"/>
      <c r="C15" s="164"/>
      <c r="D15" s="164"/>
      <c r="E15" s="164"/>
      <c r="F15" s="160"/>
      <c r="G15" s="160"/>
      <c r="H15" s="160"/>
      <c r="I15" s="166"/>
      <c r="J15" s="166"/>
      <c r="K15" s="166"/>
      <c r="L15" s="166"/>
      <c r="M15" s="166"/>
      <c r="N15" s="166"/>
    </row>
    <row r="16" spans="2:16" x14ac:dyDescent="0.2">
      <c r="B16" s="164"/>
      <c r="C16" s="167" t="s">
        <v>422</v>
      </c>
      <c r="D16" s="164" t="s">
        <v>291</v>
      </c>
      <c r="E16" s="164"/>
      <c r="F16" s="160"/>
      <c r="G16" s="160"/>
      <c r="H16" s="160"/>
      <c r="I16" s="166"/>
      <c r="J16" s="166"/>
      <c r="K16" s="166"/>
      <c r="L16" s="166"/>
      <c r="M16" s="166"/>
      <c r="N16" s="166"/>
    </row>
    <row r="17" spans="2:16" x14ac:dyDescent="0.2">
      <c r="B17" s="164"/>
      <c r="C17" s="164"/>
      <c r="D17" s="164"/>
      <c r="E17" s="163" t="s">
        <v>423</v>
      </c>
      <c r="F17" s="160"/>
      <c r="G17" s="160"/>
      <c r="H17" s="160"/>
      <c r="I17" s="166"/>
      <c r="J17" s="166"/>
      <c r="K17" s="166"/>
      <c r="L17" s="166"/>
      <c r="M17" s="166"/>
      <c r="N17" s="166"/>
    </row>
    <row r="18" spans="2:16" x14ac:dyDescent="0.2">
      <c r="B18" s="164"/>
      <c r="C18" s="164"/>
      <c r="D18" s="164"/>
      <c r="E18" s="164" t="s">
        <v>424</v>
      </c>
      <c r="F18" s="160"/>
      <c r="G18" s="160"/>
      <c r="H18" s="160"/>
      <c r="I18" s="166"/>
      <c r="J18" s="166"/>
      <c r="K18" s="166"/>
      <c r="L18" s="166"/>
      <c r="M18" s="166"/>
      <c r="N18" s="166"/>
    </row>
    <row r="19" spans="2:16" x14ac:dyDescent="0.2">
      <c r="B19" s="164"/>
      <c r="C19" s="164"/>
      <c r="D19" s="164"/>
      <c r="F19" s="160"/>
      <c r="G19" s="160"/>
      <c r="H19" s="160"/>
      <c r="I19" s="166"/>
      <c r="J19" s="166"/>
      <c r="K19" s="166"/>
      <c r="L19" s="166"/>
      <c r="M19" s="166"/>
      <c r="N19" s="166"/>
    </row>
    <row r="20" spans="2:16" x14ac:dyDescent="0.2">
      <c r="B20" s="164"/>
      <c r="C20" s="167" t="s">
        <v>425</v>
      </c>
      <c r="D20" s="164" t="s">
        <v>292</v>
      </c>
      <c r="E20" s="164"/>
      <c r="F20" s="168"/>
      <c r="G20" s="168"/>
      <c r="H20" s="160"/>
      <c r="I20" s="169"/>
      <c r="J20" s="169"/>
      <c r="K20" s="169"/>
      <c r="L20" s="160"/>
      <c r="M20" s="160"/>
      <c r="N20" s="160"/>
    </row>
    <row r="21" spans="2:16" ht="13.5" customHeight="1" x14ac:dyDescent="0.2">
      <c r="B21" s="164"/>
      <c r="C21" s="164"/>
      <c r="D21" s="164"/>
      <c r="E21" s="164" t="s">
        <v>426</v>
      </c>
      <c r="F21" s="160"/>
      <c r="G21" s="160"/>
      <c r="H21" s="160"/>
      <c r="I21" s="169"/>
      <c r="J21" s="169"/>
      <c r="K21" s="169"/>
      <c r="L21" s="169"/>
      <c r="M21" s="169"/>
      <c r="N21" s="169"/>
      <c r="O21" s="169"/>
      <c r="P21" s="169"/>
    </row>
    <row r="22" spans="2:16" x14ac:dyDescent="0.2">
      <c r="B22" s="164"/>
      <c r="C22" s="164"/>
      <c r="D22" s="164"/>
      <c r="E22" s="164" t="s">
        <v>427</v>
      </c>
      <c r="F22" s="160"/>
      <c r="G22" s="160"/>
      <c r="H22" s="160"/>
      <c r="I22" s="169"/>
      <c r="J22" s="169"/>
      <c r="K22" s="169"/>
      <c r="L22" s="169"/>
      <c r="M22" s="169"/>
      <c r="N22" s="169"/>
      <c r="O22" s="169"/>
      <c r="P22" s="169"/>
    </row>
    <row r="23" spans="2:16" x14ac:dyDescent="0.2">
      <c r="B23" s="164"/>
      <c r="C23" s="164"/>
      <c r="D23" s="164"/>
      <c r="E23" s="164" t="s">
        <v>428</v>
      </c>
      <c r="F23" s="160"/>
      <c r="G23" s="160"/>
      <c r="H23" s="160"/>
      <c r="I23" s="169"/>
      <c r="J23" s="169"/>
      <c r="K23" s="169"/>
      <c r="L23" s="160"/>
      <c r="M23" s="160"/>
      <c r="N23" s="160"/>
    </row>
    <row r="24" spans="2:16" x14ac:dyDescent="0.2">
      <c r="B24" s="164"/>
      <c r="C24" s="164"/>
      <c r="D24" s="164"/>
      <c r="E24" s="164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6" x14ac:dyDescent="0.2">
      <c r="B25" s="164"/>
      <c r="C25" s="164"/>
      <c r="D25" s="165" t="s">
        <v>429</v>
      </c>
      <c r="E25" s="165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2:16" x14ac:dyDescent="0.2">
      <c r="B26" s="164"/>
      <c r="C26" s="164"/>
      <c r="D26" s="164"/>
      <c r="E26" s="164" t="s">
        <v>411</v>
      </c>
      <c r="F26" s="160"/>
      <c r="G26" s="160"/>
      <c r="H26" s="160"/>
      <c r="I26" s="160"/>
      <c r="J26" s="160"/>
      <c r="K26" s="160"/>
      <c r="L26" s="160"/>
      <c r="M26" s="160"/>
      <c r="N26" s="160"/>
    </row>
    <row r="27" spans="2:16" x14ac:dyDescent="0.2">
      <c r="B27" s="164"/>
      <c r="C27" s="164"/>
      <c r="D27" s="164"/>
      <c r="E27" s="164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2:16" x14ac:dyDescent="0.2">
      <c r="C28" s="160" t="s">
        <v>430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2:16" x14ac:dyDescent="0.2">
      <c r="D29" s="160"/>
      <c r="E29" s="170" t="s">
        <v>431</v>
      </c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6" x14ac:dyDescent="0.2">
      <c r="D30" s="168"/>
      <c r="E30" s="160" t="s">
        <v>413</v>
      </c>
      <c r="F30" s="160"/>
      <c r="G30" s="160"/>
      <c r="H30" s="160"/>
      <c r="I30" s="160"/>
      <c r="J30" s="160"/>
      <c r="K30" s="160"/>
      <c r="L30" s="160"/>
      <c r="M30" s="160"/>
      <c r="N30" s="160"/>
    </row>
    <row r="31" spans="2:16" x14ac:dyDescent="0.2">
      <c r="D31" s="160"/>
      <c r="E31" s="170" t="s">
        <v>432</v>
      </c>
      <c r="F31" s="160"/>
      <c r="G31" s="160"/>
      <c r="H31" s="160"/>
      <c r="I31" s="160"/>
      <c r="J31" s="160"/>
      <c r="K31" s="160"/>
      <c r="L31" s="160"/>
      <c r="M31" s="160"/>
      <c r="N31" s="160"/>
    </row>
    <row r="32" spans="2:16" x14ac:dyDescent="0.2">
      <c r="B32" s="160"/>
      <c r="D32" s="160"/>
      <c r="E32" s="170" t="s">
        <v>433</v>
      </c>
      <c r="F32" s="160"/>
      <c r="G32" s="160"/>
      <c r="H32" s="160"/>
      <c r="I32" s="160"/>
      <c r="J32" s="160"/>
      <c r="K32" s="160"/>
      <c r="L32" s="160"/>
      <c r="M32" s="160"/>
      <c r="N32" s="160"/>
    </row>
    <row r="33" spans="2:14" x14ac:dyDescent="0.2">
      <c r="B33" s="160"/>
      <c r="C33" s="17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2:14" x14ac:dyDescent="0.2">
      <c r="B34" s="164"/>
      <c r="C34" s="164"/>
      <c r="D34" s="164"/>
      <c r="E34" s="164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2:14" x14ac:dyDescent="0.2">
      <c r="B35" s="162" t="s">
        <v>106</v>
      </c>
      <c r="C35" s="163" t="s">
        <v>434</v>
      </c>
      <c r="D35" s="164"/>
      <c r="E35" s="164"/>
      <c r="F35" s="160"/>
      <c r="G35" s="160"/>
      <c r="H35" s="160"/>
      <c r="I35" s="160"/>
      <c r="J35" s="160"/>
      <c r="K35" s="160"/>
      <c r="L35" s="160"/>
      <c r="M35" s="160"/>
      <c r="N35" s="160"/>
    </row>
    <row r="36" spans="2:14" x14ac:dyDescent="0.2">
      <c r="B36" s="164"/>
      <c r="C36" s="164"/>
      <c r="D36" s="164"/>
      <c r="E36" s="164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2:14" x14ac:dyDescent="0.2">
      <c r="B37" s="164"/>
      <c r="C37" s="164"/>
      <c r="D37" s="163" t="s">
        <v>435</v>
      </c>
      <c r="E37" s="164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2:14" x14ac:dyDescent="0.2">
      <c r="B38" s="164"/>
      <c r="C38" s="164"/>
      <c r="D38" s="164"/>
      <c r="E38" s="164" t="s">
        <v>104</v>
      </c>
      <c r="F38" s="160"/>
      <c r="G38" s="160"/>
      <c r="H38" s="160"/>
      <c r="I38" s="160"/>
      <c r="J38" s="160"/>
      <c r="K38" s="160"/>
      <c r="L38" s="160"/>
      <c r="M38" s="160"/>
      <c r="N38" s="160"/>
    </row>
    <row r="39" spans="2:14" x14ac:dyDescent="0.2">
      <c r="B39" s="164"/>
      <c r="C39" s="164"/>
      <c r="D39" s="164"/>
      <c r="E39" s="164" t="s">
        <v>105</v>
      </c>
      <c r="F39" s="160"/>
      <c r="G39" s="160"/>
      <c r="H39" s="160"/>
      <c r="I39" s="160"/>
      <c r="J39" s="160"/>
      <c r="K39" s="160"/>
      <c r="L39" s="160"/>
      <c r="M39" s="160"/>
      <c r="N39" s="160"/>
    </row>
    <row r="40" spans="2:14" x14ac:dyDescent="0.2">
      <c r="B40" s="164"/>
      <c r="C40" s="164"/>
      <c r="D40" s="164"/>
      <c r="E40" s="164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2:14" x14ac:dyDescent="0.2">
      <c r="B41" s="164"/>
      <c r="C41" s="164"/>
      <c r="D41" s="165" t="s">
        <v>436</v>
      </c>
      <c r="E41" s="165"/>
      <c r="F41" s="160"/>
      <c r="G41" s="160"/>
      <c r="H41" s="160"/>
      <c r="I41" s="160"/>
      <c r="J41" s="160"/>
      <c r="K41" s="160"/>
      <c r="L41" s="160"/>
      <c r="M41" s="160"/>
      <c r="N41" s="160"/>
    </row>
    <row r="42" spans="2:14" x14ac:dyDescent="0.2">
      <c r="B42" s="164"/>
      <c r="C42" s="164"/>
      <c r="D42" s="164"/>
      <c r="E42" s="164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2:14" x14ac:dyDescent="0.2">
      <c r="B43" s="164"/>
      <c r="C43" s="164"/>
      <c r="D43" s="164"/>
      <c r="E43" s="164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2:14" x14ac:dyDescent="0.2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2:14" x14ac:dyDescent="0.2">
      <c r="B45" s="162" t="s">
        <v>107</v>
      </c>
      <c r="C45" s="160" t="s">
        <v>437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2:14" x14ac:dyDescent="0.2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x14ac:dyDescent="0.2">
      <c r="B47" s="160"/>
      <c r="C47" s="160"/>
      <c r="D47" s="160" t="s">
        <v>108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2:14" x14ac:dyDescent="0.2">
      <c r="B48" s="160"/>
      <c r="C48" s="160"/>
      <c r="D48" s="164" t="s">
        <v>412</v>
      </c>
      <c r="E48" s="160"/>
      <c r="F48" s="168"/>
      <c r="G48" s="160"/>
      <c r="H48" s="160"/>
      <c r="I48" s="160"/>
      <c r="J48" s="160"/>
      <c r="K48" s="160"/>
      <c r="L48" s="160"/>
      <c r="M48" s="160"/>
      <c r="N48" s="160"/>
    </row>
    <row r="49" spans="2:14" x14ac:dyDescent="0.2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2:14" x14ac:dyDescent="0.2">
      <c r="B50" s="162" t="s">
        <v>109</v>
      </c>
      <c r="C50" s="160" t="s">
        <v>438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2:14" x14ac:dyDescent="0.2">
      <c r="B51" s="168"/>
      <c r="C51" s="160" t="s">
        <v>439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2:14" x14ac:dyDescent="0.2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2:14" x14ac:dyDescent="0.2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2:14" x14ac:dyDescent="0.2">
      <c r="B54" s="162" t="s">
        <v>110</v>
      </c>
      <c r="C54" s="160" t="s">
        <v>440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x14ac:dyDescent="0.2">
      <c r="C55" s="160" t="s">
        <v>441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  <row r="56" spans="2:14" x14ac:dyDescent="0.2">
      <c r="C56" s="160" t="s">
        <v>442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</row>
    <row r="57" spans="2:14" x14ac:dyDescent="0.2"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60" spans="2:14" x14ac:dyDescent="0.2">
      <c r="B60" s="159" t="s">
        <v>443</v>
      </c>
      <c r="D60" s="171" t="s">
        <v>444</v>
      </c>
    </row>
    <row r="61" spans="2:14" x14ac:dyDescent="0.2">
      <c r="B61" s="172"/>
      <c r="D61" s="171"/>
    </row>
    <row r="62" spans="2:14" x14ac:dyDescent="0.2">
      <c r="C62" s="173" t="s">
        <v>167</v>
      </c>
      <c r="D62" s="174"/>
      <c r="E62" s="175" t="s">
        <v>445</v>
      </c>
    </row>
    <row r="63" spans="2:14" x14ac:dyDescent="0.2">
      <c r="C63" s="173" t="s">
        <v>288</v>
      </c>
      <c r="D63" s="174"/>
      <c r="E63" s="176" t="s">
        <v>410</v>
      </c>
    </row>
    <row r="64" spans="2:14" x14ac:dyDescent="0.2">
      <c r="C64" s="173" t="s">
        <v>289</v>
      </c>
      <c r="D64" s="174"/>
      <c r="E64" s="176" t="s">
        <v>410</v>
      </c>
    </row>
    <row r="67" spans="3:12" x14ac:dyDescent="0.2">
      <c r="C67" s="177" t="s">
        <v>446</v>
      </c>
      <c r="D67" s="178" t="e">
        <f>IF(((1-(D64/D63))*30)&gt;0,(1-(D64/D63))*30,0)</f>
        <v>#DIV/0!</v>
      </c>
      <c r="E67" s="179" t="s">
        <v>447</v>
      </c>
    </row>
    <row r="68" spans="3:12" x14ac:dyDescent="0.2">
      <c r="C68" s="160"/>
      <c r="D68" s="180" t="s">
        <v>481</v>
      </c>
      <c r="E68" s="160"/>
      <c r="F68" s="160"/>
    </row>
    <row r="72" spans="3:12" x14ac:dyDescent="0.2">
      <c r="D72" s="181" t="e">
        <f>IF(((1-(D64/D63))*20)&gt;0,(1-(D64/D63))*20,0)</f>
        <v>#DIV/0!</v>
      </c>
      <c r="E72" s="179" t="s">
        <v>448</v>
      </c>
      <c r="F72" s="182"/>
      <c r="G72" s="183"/>
      <c r="H72" s="184"/>
      <c r="K72" s="185"/>
      <c r="L72" s="185"/>
    </row>
    <row r="73" spans="3:12" x14ac:dyDescent="0.2">
      <c r="D73" s="186" t="s">
        <v>482</v>
      </c>
    </row>
  </sheetData>
  <sheetProtection password="EC65" sheet="1" selectLockedCells="1"/>
  <mergeCells count="4">
    <mergeCell ref="C2:G7"/>
    <mergeCell ref="M2:O8"/>
    <mergeCell ref="I12:P14"/>
    <mergeCell ref="J2:L5"/>
  </mergeCells>
  <conditionalFormatting sqref="D67">
    <cfRule type="containsErrors" dxfId="6" priority="2" stopIfTrue="1">
      <formula>ISERROR(D67)</formula>
    </cfRule>
  </conditionalFormatting>
  <conditionalFormatting sqref="D72">
    <cfRule type="containsErrors" dxfId="5" priority="1" stopIfTrue="1">
      <formula>ISERROR(D72)</formula>
    </cfRule>
  </conditionalFormatting>
  <pageMargins left="0.7" right="0.7" top="0.5" bottom="0.5" header="0.23" footer="0.2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crobat Document" shapeId="5121" r:id="rId4">
          <objectPr defaultSize="0" autoPict="0" r:id="rId5">
            <anchor moveWithCells="1">
              <from>
                <xdr:col>12</xdr:col>
                <xdr:colOff>266700</xdr:colOff>
                <xdr:row>1</xdr:row>
                <xdr:rowOff>28575</xdr:rowOff>
              </from>
              <to>
                <xdr:col>14</xdr:col>
                <xdr:colOff>400050</xdr:colOff>
                <xdr:row>7</xdr:row>
                <xdr:rowOff>66675</xdr:rowOff>
              </to>
            </anchor>
          </objectPr>
        </oleObject>
      </mc:Choice>
      <mc:Fallback>
        <oleObject progId="Acrobat Document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243"/>
  <sheetViews>
    <sheetView showGridLines="0" topLeftCell="A2" workbookViewId="0">
      <selection activeCell="L29" sqref="L29"/>
    </sheetView>
  </sheetViews>
  <sheetFormatPr defaultRowHeight="12.75" x14ac:dyDescent="0.2"/>
  <cols>
    <col min="1" max="2" width="9.140625" style="203"/>
    <col min="3" max="14" width="7.28515625" style="203" customWidth="1"/>
    <col min="15" max="16" width="7.7109375" style="203" customWidth="1"/>
    <col min="17" max="16384" width="9.140625" style="203"/>
  </cols>
  <sheetData>
    <row r="1" spans="1:18" x14ac:dyDescent="0.2">
      <c r="A1" s="365"/>
    </row>
    <row r="3" spans="1:18" ht="13.5" thickBot="1" x14ac:dyDescent="0.25">
      <c r="C3" s="212"/>
      <c r="H3" s="213"/>
      <c r="I3" s="214"/>
      <c r="P3" s="211"/>
      <c r="Q3" s="211"/>
      <c r="R3" s="211"/>
    </row>
    <row r="4" spans="1:18" x14ac:dyDescent="0.2">
      <c r="C4" s="260"/>
      <c r="D4" s="124"/>
      <c r="E4" s="149"/>
      <c r="F4" s="124"/>
      <c r="G4" s="124"/>
      <c r="H4" s="124"/>
      <c r="I4" s="124"/>
      <c r="J4" s="124"/>
      <c r="K4" s="149"/>
      <c r="L4" s="139"/>
      <c r="M4" s="124"/>
      <c r="N4" s="150"/>
      <c r="O4" s="211"/>
      <c r="P4" s="211"/>
    </row>
    <row r="5" spans="1:18" x14ac:dyDescent="0.2">
      <c r="C5" s="261"/>
      <c r="D5" s="558" t="s">
        <v>293</v>
      </c>
      <c r="E5" s="558"/>
      <c r="F5" s="558"/>
      <c r="G5" s="34"/>
      <c r="H5" s="79"/>
      <c r="I5" s="34"/>
      <c r="J5" s="559" t="s">
        <v>294</v>
      </c>
      <c r="K5" s="559"/>
      <c r="L5" s="222"/>
      <c r="M5" s="45" t="s">
        <v>317</v>
      </c>
      <c r="N5" s="221"/>
    </row>
    <row r="6" spans="1:18" x14ac:dyDescent="0.2">
      <c r="C6" s="225"/>
      <c r="D6" s="45"/>
      <c r="E6" s="45"/>
      <c r="F6" s="34"/>
      <c r="G6" s="34"/>
      <c r="H6" s="79"/>
      <c r="I6" s="34"/>
      <c r="J6" s="235" t="s">
        <v>489</v>
      </c>
      <c r="K6" s="236" t="s">
        <v>300</v>
      </c>
      <c r="L6" s="222"/>
      <c r="M6" s="45"/>
      <c r="N6" s="221"/>
    </row>
    <row r="7" spans="1:18" x14ac:dyDescent="0.2">
      <c r="C7" s="555" t="s">
        <v>120</v>
      </c>
      <c r="D7" s="556"/>
      <c r="E7" s="29"/>
      <c r="F7" s="34"/>
      <c r="G7" s="34"/>
      <c r="H7" s="34"/>
      <c r="I7" s="140" t="s">
        <v>249</v>
      </c>
      <c r="J7" s="32"/>
      <c r="K7" s="32"/>
      <c r="L7" s="366"/>
      <c r="M7" s="17">
        <f>Geometry!Y44</f>
        <v>22</v>
      </c>
      <c r="N7" s="221"/>
    </row>
    <row r="8" spans="1:18" x14ac:dyDescent="0.2">
      <c r="C8" s="555" t="s">
        <v>121</v>
      </c>
      <c r="D8" s="556"/>
      <c r="E8" s="29"/>
      <c r="F8" s="34"/>
      <c r="G8" s="34"/>
      <c r="H8" s="34"/>
      <c r="I8" s="140" t="s">
        <v>250</v>
      </c>
      <c r="J8" s="32"/>
      <c r="K8" s="32"/>
      <c r="L8" s="366"/>
      <c r="M8" s="17">
        <f>Geometry!Y53</f>
        <v>4</v>
      </c>
      <c r="N8" s="221"/>
    </row>
    <row r="9" spans="1:18" x14ac:dyDescent="0.2">
      <c r="C9" s="555" t="s">
        <v>122</v>
      </c>
      <c r="D9" s="556"/>
      <c r="E9" s="29"/>
      <c r="F9" s="34"/>
      <c r="G9" s="34"/>
      <c r="H9" s="34"/>
      <c r="I9" s="129"/>
      <c r="J9" s="35"/>
      <c r="K9" s="35"/>
      <c r="L9" s="4"/>
      <c r="M9" s="34"/>
      <c r="N9" s="224"/>
    </row>
    <row r="10" spans="1:18" x14ac:dyDescent="0.2">
      <c r="C10" s="127"/>
      <c r="D10" s="99" t="s">
        <v>321</v>
      </c>
      <c r="E10" s="14">
        <f>Geometry!Y189</f>
        <v>0</v>
      </c>
      <c r="F10" s="308" t="s">
        <v>511</v>
      </c>
      <c r="G10" s="34"/>
      <c r="H10" s="34"/>
      <c r="I10" s="140" t="s">
        <v>251</v>
      </c>
      <c r="J10" s="18">
        <f>(J7+(J8*2))</f>
        <v>0</v>
      </c>
      <c r="K10" s="18">
        <f>(K7+(K8*2))</f>
        <v>0</v>
      </c>
      <c r="L10" s="223"/>
      <c r="M10" s="18">
        <f>(M7+(M8*2))</f>
        <v>30</v>
      </c>
      <c r="N10" s="224"/>
      <c r="O10" s="231"/>
      <c r="P10" s="228"/>
    </row>
    <row r="11" spans="1:18" x14ac:dyDescent="0.2">
      <c r="C11" s="127"/>
      <c r="D11" s="34"/>
      <c r="E11" s="34"/>
      <c r="F11" s="34"/>
      <c r="G11" s="151"/>
      <c r="H11" s="151"/>
      <c r="I11" s="151"/>
      <c r="J11" s="151"/>
      <c r="K11" s="34"/>
      <c r="L11" s="34"/>
      <c r="M11" s="34"/>
      <c r="N11" s="224"/>
      <c r="O11" s="231"/>
      <c r="P11" s="228"/>
    </row>
    <row r="12" spans="1:18" x14ac:dyDescent="0.2">
      <c r="C12" s="127"/>
      <c r="D12" s="34"/>
      <c r="E12" s="191"/>
      <c r="F12" s="86" t="s">
        <v>510</v>
      </c>
      <c r="G12" s="151"/>
      <c r="H12" s="151"/>
      <c r="I12" s="151"/>
      <c r="J12" s="151"/>
      <c r="K12" s="86"/>
      <c r="L12" s="34"/>
      <c r="M12" s="34"/>
      <c r="N12" s="224"/>
      <c r="O12" s="231"/>
      <c r="P12" s="228"/>
    </row>
    <row r="13" spans="1:18" x14ac:dyDescent="0.2">
      <c r="C13" s="127"/>
      <c r="D13" s="34"/>
      <c r="E13" s="34"/>
      <c r="F13" s="151"/>
      <c r="G13" s="151"/>
      <c r="H13" s="151"/>
      <c r="I13" s="151"/>
      <c r="J13" s="151"/>
      <c r="K13" s="151"/>
      <c r="L13" s="34"/>
      <c r="M13" s="34"/>
      <c r="N13" s="128"/>
      <c r="O13" s="231"/>
      <c r="P13" s="228"/>
    </row>
    <row r="14" spans="1:18" x14ac:dyDescent="0.2">
      <c r="C14" s="127"/>
      <c r="D14" s="34"/>
      <c r="E14" s="34"/>
      <c r="F14" s="151"/>
      <c r="G14" s="151"/>
      <c r="H14" s="151"/>
      <c r="I14" s="151"/>
      <c r="J14" s="151"/>
      <c r="K14" s="151"/>
      <c r="L14" s="151"/>
      <c r="M14" s="151"/>
      <c r="N14" s="128"/>
      <c r="O14" s="231"/>
      <c r="P14" s="228"/>
    </row>
    <row r="15" spans="1:18" x14ac:dyDescent="0.2">
      <c r="C15" s="127"/>
      <c r="D15" s="561" t="s">
        <v>331</v>
      </c>
      <c r="E15" s="561"/>
      <c r="F15" s="561"/>
      <c r="G15" s="151"/>
      <c r="H15" s="44" t="s">
        <v>222</v>
      </c>
      <c r="I15" s="151"/>
      <c r="J15" s="151"/>
      <c r="K15" s="4"/>
      <c r="L15" s="226" t="s">
        <v>157</v>
      </c>
      <c r="M15" s="226"/>
      <c r="N15" s="307"/>
      <c r="O15" s="232"/>
      <c r="P15" s="228"/>
    </row>
    <row r="16" spans="1:18" ht="12.75" customHeight="1" x14ac:dyDescent="0.2">
      <c r="C16" s="127"/>
      <c r="D16" s="535" t="s">
        <v>518</v>
      </c>
      <c r="E16" s="535"/>
      <c r="F16" s="535"/>
      <c r="G16" s="151"/>
      <c r="H16" s="535" t="s">
        <v>520</v>
      </c>
      <c r="I16" s="535"/>
      <c r="J16" s="535"/>
      <c r="K16" s="34"/>
      <c r="L16" s="535" t="s">
        <v>519</v>
      </c>
      <c r="M16" s="535"/>
      <c r="N16" s="535"/>
      <c r="O16" s="233"/>
      <c r="P16" s="228"/>
    </row>
    <row r="17" spans="3:16" x14ac:dyDescent="0.2">
      <c r="C17" s="127"/>
      <c r="D17" s="535"/>
      <c r="E17" s="535"/>
      <c r="F17" s="535"/>
      <c r="G17" s="151"/>
      <c r="H17" s="535"/>
      <c r="I17" s="535"/>
      <c r="J17" s="535"/>
      <c r="K17" s="34"/>
      <c r="L17" s="535"/>
      <c r="M17" s="535"/>
      <c r="N17" s="535"/>
      <c r="O17" s="233"/>
      <c r="P17" s="228"/>
    </row>
    <row r="18" spans="3:16" x14ac:dyDescent="0.2">
      <c r="C18" s="127"/>
      <c r="D18" s="494"/>
      <c r="E18" s="494"/>
      <c r="F18" s="151"/>
      <c r="G18" s="151"/>
      <c r="H18" s="494"/>
      <c r="I18" s="494"/>
      <c r="J18" s="151"/>
      <c r="K18" s="34"/>
      <c r="L18" s="34"/>
      <c r="M18" s="67"/>
      <c r="N18" s="147"/>
      <c r="O18" s="233"/>
      <c r="P18" s="228"/>
    </row>
    <row r="19" spans="3:16" x14ac:dyDescent="0.2">
      <c r="C19" s="127"/>
      <c r="D19" s="91">
        <f>Q146</f>
        <v>0</v>
      </c>
      <c r="E19" s="92" t="s">
        <v>296</v>
      </c>
      <c r="F19" s="93"/>
      <c r="G19" s="34"/>
      <c r="H19" s="91">
        <f>G105</f>
        <v>0</v>
      </c>
      <c r="I19" s="39" t="s">
        <v>334</v>
      </c>
      <c r="J19" s="34"/>
      <c r="K19" s="34"/>
      <c r="L19" s="230" t="s">
        <v>295</v>
      </c>
      <c r="M19" s="22">
        <f>L105</f>
        <v>0</v>
      </c>
      <c r="N19" s="224"/>
      <c r="O19" s="234"/>
      <c r="P19" s="228"/>
    </row>
    <row r="20" spans="3:16" x14ac:dyDescent="0.2">
      <c r="C20" s="152"/>
      <c r="D20" s="43">
        <f>B106</f>
        <v>0</v>
      </c>
      <c r="E20" s="129" t="s">
        <v>297</v>
      </c>
      <c r="F20" s="94"/>
      <c r="G20" s="220"/>
      <c r="H20" s="43">
        <f>G106</f>
        <v>0</v>
      </c>
      <c r="I20" s="129" t="s">
        <v>297</v>
      </c>
      <c r="J20" s="34"/>
      <c r="K20" s="34"/>
      <c r="L20" s="140" t="s">
        <v>297</v>
      </c>
      <c r="M20" s="43">
        <f>L106</f>
        <v>0</v>
      </c>
      <c r="N20" s="224"/>
      <c r="O20" s="231"/>
      <c r="P20" s="228"/>
    </row>
    <row r="21" spans="3:16" x14ac:dyDescent="0.2">
      <c r="C21" s="536" t="s">
        <v>521</v>
      </c>
      <c r="D21" s="71"/>
      <c r="E21" s="129"/>
      <c r="F21" s="37"/>
      <c r="G21" s="4"/>
      <c r="H21" s="36"/>
      <c r="I21" s="73"/>
      <c r="J21" s="39"/>
      <c r="K21" s="34"/>
      <c r="L21" s="73"/>
      <c r="M21" s="34"/>
      <c r="N21" s="224"/>
      <c r="O21" s="231"/>
      <c r="P21" s="227"/>
    </row>
    <row r="22" spans="3:16" x14ac:dyDescent="0.2">
      <c r="C22" s="536"/>
      <c r="D22" s="19" t="s">
        <v>144</v>
      </c>
      <c r="E22" s="19" t="s">
        <v>147</v>
      </c>
      <c r="F22" s="129" t="s">
        <v>300</v>
      </c>
      <c r="G22" s="34"/>
      <c r="H22" s="19" t="s">
        <v>144</v>
      </c>
      <c r="I22" s="19" t="s">
        <v>147</v>
      </c>
      <c r="J22" s="19" t="s">
        <v>300</v>
      </c>
      <c r="K22" s="95"/>
      <c r="L22" s="19" t="s">
        <v>144</v>
      </c>
      <c r="M22" s="19" t="s">
        <v>300</v>
      </c>
      <c r="N22" s="224"/>
      <c r="O22" s="231"/>
      <c r="P22" s="228"/>
    </row>
    <row r="23" spans="3:16" x14ac:dyDescent="0.2">
      <c r="C23" s="536"/>
      <c r="D23" s="20" t="s">
        <v>160</v>
      </c>
      <c r="E23" s="21" t="s">
        <v>165</v>
      </c>
      <c r="F23" s="129" t="s">
        <v>159</v>
      </c>
      <c r="G23" s="34"/>
      <c r="H23" s="20" t="s">
        <v>162</v>
      </c>
      <c r="I23" s="21" t="s">
        <v>165</v>
      </c>
      <c r="J23" s="20" t="s">
        <v>162</v>
      </c>
      <c r="K23" s="97"/>
      <c r="L23" s="20" t="s">
        <v>148</v>
      </c>
      <c r="M23" s="20" t="s">
        <v>148</v>
      </c>
      <c r="N23" s="224"/>
      <c r="O23" s="231"/>
      <c r="P23" s="228"/>
    </row>
    <row r="24" spans="3:16" x14ac:dyDescent="0.2">
      <c r="C24" s="497">
        <v>1</v>
      </c>
      <c r="D24" s="32"/>
      <c r="E24" s="32"/>
      <c r="F24" s="32"/>
      <c r="G24" s="34"/>
      <c r="H24" s="32"/>
      <c r="I24" s="33"/>
      <c r="J24" s="32"/>
      <c r="K24" s="35"/>
      <c r="L24" s="32"/>
      <c r="M24" s="32"/>
      <c r="N24" s="224"/>
      <c r="O24" s="231"/>
      <c r="P24" s="228"/>
    </row>
    <row r="25" spans="3:16" x14ac:dyDescent="0.2">
      <c r="C25" s="497">
        <v>2</v>
      </c>
      <c r="D25" s="32"/>
      <c r="E25" s="32"/>
      <c r="F25" s="32"/>
      <c r="G25" s="34"/>
      <c r="H25" s="32"/>
      <c r="I25" s="33"/>
      <c r="J25" s="32"/>
      <c r="K25" s="35"/>
      <c r="L25" s="32"/>
      <c r="M25" s="32"/>
      <c r="N25" s="224"/>
      <c r="O25" s="231"/>
      <c r="P25" s="228"/>
    </row>
    <row r="26" spans="3:16" x14ac:dyDescent="0.2">
      <c r="C26" s="497">
        <v>3</v>
      </c>
      <c r="D26" s="32"/>
      <c r="E26" s="32"/>
      <c r="F26" s="32"/>
      <c r="G26" s="34"/>
      <c r="H26" s="32"/>
      <c r="I26" s="33"/>
      <c r="J26" s="32"/>
      <c r="K26" s="35"/>
      <c r="L26" s="32"/>
      <c r="M26" s="32"/>
      <c r="N26" s="224"/>
      <c r="O26" s="231"/>
      <c r="P26" s="228"/>
    </row>
    <row r="27" spans="3:16" x14ac:dyDescent="0.2">
      <c r="C27" s="498">
        <v>4</v>
      </c>
      <c r="D27" s="32"/>
      <c r="E27" s="32"/>
      <c r="F27" s="32"/>
      <c r="G27" s="34"/>
      <c r="H27" s="32"/>
      <c r="I27" s="33"/>
      <c r="J27" s="32"/>
      <c r="K27" s="35"/>
      <c r="L27" s="32"/>
      <c r="M27" s="32"/>
      <c r="N27" s="224"/>
      <c r="O27" s="231"/>
      <c r="P27" s="228"/>
    </row>
    <row r="28" spans="3:16" x14ac:dyDescent="0.2">
      <c r="C28" s="498">
        <v>5</v>
      </c>
      <c r="D28" s="32"/>
      <c r="E28" s="32"/>
      <c r="F28" s="32"/>
      <c r="G28" s="34"/>
      <c r="H28" s="32"/>
      <c r="I28" s="33"/>
      <c r="J28" s="32"/>
      <c r="K28" s="35"/>
      <c r="L28" s="32"/>
      <c r="M28" s="32"/>
      <c r="N28" s="224"/>
      <c r="O28" s="231"/>
      <c r="P28" s="228"/>
    </row>
    <row r="29" spans="3:16" x14ac:dyDescent="0.2">
      <c r="C29" s="498">
        <v>6</v>
      </c>
      <c r="D29" s="32"/>
      <c r="E29" s="32"/>
      <c r="F29" s="32"/>
      <c r="G29" s="34"/>
      <c r="H29" s="32"/>
      <c r="I29" s="33"/>
      <c r="J29" s="32"/>
      <c r="K29" s="35"/>
      <c r="L29" s="32"/>
      <c r="M29" s="32"/>
      <c r="N29" s="224"/>
      <c r="O29" s="231"/>
      <c r="P29" s="228"/>
    </row>
    <row r="30" spans="3:16" x14ac:dyDescent="0.2">
      <c r="C30" s="498">
        <v>7</v>
      </c>
      <c r="D30" s="32"/>
      <c r="E30" s="32"/>
      <c r="F30" s="32"/>
      <c r="G30" s="34"/>
      <c r="H30" s="32"/>
      <c r="I30" s="33"/>
      <c r="J30" s="32"/>
      <c r="K30" s="35"/>
      <c r="L30" s="32"/>
      <c r="M30" s="32"/>
      <c r="N30" s="224"/>
      <c r="O30" s="231"/>
      <c r="P30" s="228"/>
    </row>
    <row r="31" spans="3:16" x14ac:dyDescent="0.2">
      <c r="C31" s="498">
        <v>8</v>
      </c>
      <c r="D31" s="32"/>
      <c r="E31" s="32"/>
      <c r="F31" s="32"/>
      <c r="G31" s="34"/>
      <c r="H31" s="32"/>
      <c r="I31" s="33"/>
      <c r="J31" s="32"/>
      <c r="K31" s="35"/>
      <c r="L31" s="32"/>
      <c r="M31" s="32"/>
      <c r="N31" s="224"/>
      <c r="O31" s="231"/>
      <c r="P31" s="228"/>
    </row>
    <row r="32" spans="3:16" x14ac:dyDescent="0.2">
      <c r="C32" s="498">
        <v>9</v>
      </c>
      <c r="D32" s="32"/>
      <c r="E32" s="32"/>
      <c r="F32" s="32"/>
      <c r="G32" s="34"/>
      <c r="H32" s="32"/>
      <c r="I32" s="33"/>
      <c r="J32" s="32"/>
      <c r="K32" s="35"/>
      <c r="L32" s="32"/>
      <c r="M32" s="32"/>
      <c r="N32" s="224"/>
      <c r="O32" s="231"/>
      <c r="P32" s="228"/>
    </row>
    <row r="33" spans="1:31" x14ac:dyDescent="0.2">
      <c r="C33" s="498">
        <v>10</v>
      </c>
      <c r="D33" s="32"/>
      <c r="E33" s="32"/>
      <c r="F33" s="32"/>
      <c r="G33" s="34"/>
      <c r="H33" s="32"/>
      <c r="I33" s="33"/>
      <c r="J33" s="32"/>
      <c r="K33" s="35"/>
      <c r="L33" s="32"/>
      <c r="M33" s="32"/>
      <c r="N33" s="224"/>
      <c r="O33" s="231"/>
      <c r="P33" s="228"/>
    </row>
    <row r="34" spans="1:31" x14ac:dyDescent="0.2">
      <c r="C34" s="12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28"/>
      <c r="O34" s="231"/>
      <c r="P34" s="227"/>
      <c r="Q34" s="211"/>
    </row>
    <row r="35" spans="1:31" x14ac:dyDescent="0.2">
      <c r="C35" s="127"/>
      <c r="D35" s="153" t="s">
        <v>345</v>
      </c>
      <c r="E35" s="154"/>
      <c r="F35" s="154"/>
      <c r="G35" s="34"/>
      <c r="H35" s="34"/>
      <c r="I35" s="34"/>
      <c r="J35" s="34"/>
      <c r="K35" s="34"/>
      <c r="L35" s="34"/>
      <c r="M35" s="34"/>
      <c r="N35" s="128"/>
      <c r="O35" s="231"/>
      <c r="P35" s="227"/>
      <c r="Q35" s="211"/>
    </row>
    <row r="36" spans="1:31" x14ac:dyDescent="0.2">
      <c r="C36" s="127"/>
      <c r="D36" s="154"/>
      <c r="E36" s="153" t="s">
        <v>346</v>
      </c>
      <c r="F36" s="154"/>
      <c r="G36" s="34"/>
      <c r="H36" s="34"/>
      <c r="I36" s="34"/>
      <c r="J36" s="34"/>
      <c r="K36" s="34"/>
      <c r="L36" s="34"/>
      <c r="M36" s="34"/>
      <c r="N36" s="128"/>
      <c r="O36" s="231"/>
      <c r="P36" s="227"/>
      <c r="Q36" s="211"/>
    </row>
    <row r="37" spans="1:31" ht="13.5" thickBot="1" x14ac:dyDescent="0.25">
      <c r="C37" s="132"/>
      <c r="D37" s="133"/>
      <c r="E37" s="133"/>
      <c r="F37" s="133"/>
      <c r="G37" s="133"/>
      <c r="H37" s="133"/>
      <c r="I37" s="133"/>
      <c r="J37" s="155"/>
      <c r="K37" s="133"/>
      <c r="L37" s="133"/>
      <c r="M37" s="133"/>
      <c r="N37" s="135"/>
      <c r="O37" s="231"/>
      <c r="P37" s="227"/>
      <c r="Q37" s="309"/>
      <c r="R37" s="310"/>
      <c r="S37" s="310"/>
      <c r="T37" s="310"/>
      <c r="U37" s="310"/>
      <c r="V37" s="537" t="s">
        <v>513</v>
      </c>
      <c r="W37" s="537"/>
      <c r="X37" s="537"/>
      <c r="Y37" s="537"/>
      <c r="Z37" s="310"/>
      <c r="AA37" s="310"/>
      <c r="AB37" s="310"/>
      <c r="AC37" s="310"/>
      <c r="AD37" s="310"/>
      <c r="AE37" s="367"/>
    </row>
    <row r="38" spans="1:31" x14ac:dyDescent="0.2">
      <c r="C38" s="228"/>
      <c r="D38" s="228"/>
      <c r="E38" s="228"/>
      <c r="F38" s="228"/>
      <c r="G38" s="228"/>
      <c r="H38" s="228"/>
      <c r="I38" s="228"/>
      <c r="J38" s="229"/>
      <c r="K38" s="228"/>
      <c r="L38" s="228"/>
      <c r="M38" s="228"/>
      <c r="N38" s="228"/>
      <c r="O38" s="228"/>
      <c r="P38" s="227"/>
      <c r="Q38" s="311"/>
      <c r="R38" s="227"/>
      <c r="S38" s="228"/>
      <c r="T38" s="228"/>
      <c r="U38" s="228"/>
      <c r="V38" s="538"/>
      <c r="W38" s="538"/>
      <c r="X38" s="538"/>
      <c r="Y38" s="538"/>
      <c r="Z38" s="228"/>
      <c r="AA38" s="228"/>
      <c r="AB38" s="228"/>
      <c r="AC38" s="228"/>
      <c r="AD38" s="228"/>
      <c r="AE38" s="368"/>
    </row>
    <row r="39" spans="1:31" x14ac:dyDescent="0.2">
      <c r="C39" s="228"/>
      <c r="D39" s="228"/>
      <c r="E39" s="228"/>
      <c r="F39" s="228"/>
      <c r="G39" s="228"/>
      <c r="H39" s="228"/>
      <c r="I39" s="228"/>
      <c r="J39" s="229"/>
      <c r="K39" s="228"/>
      <c r="L39" s="228"/>
      <c r="M39" s="228"/>
      <c r="N39" s="228"/>
      <c r="O39" s="228"/>
      <c r="P39" s="227"/>
      <c r="Q39" s="311"/>
      <c r="R39" s="227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368"/>
    </row>
    <row r="40" spans="1:31" s="204" customFormat="1" x14ac:dyDescent="0.2">
      <c r="A40" s="315"/>
      <c r="J40" s="349"/>
      <c r="Q40" s="369"/>
      <c r="R40" s="360"/>
      <c r="S40" s="362"/>
      <c r="T40" s="550" t="s">
        <v>227</v>
      </c>
      <c r="U40" s="550"/>
      <c r="V40" s="550"/>
      <c r="W40" s="362"/>
      <c r="X40" s="362"/>
      <c r="Y40" s="370">
        <f>'Traffic &amp; Accidents'!C9</f>
        <v>0</v>
      </c>
      <c r="Z40" s="360" t="s">
        <v>219</v>
      </c>
      <c r="AA40" s="360"/>
      <c r="AB40" s="550" t="s">
        <v>228</v>
      </c>
      <c r="AC40" s="550"/>
      <c r="AD40" s="550"/>
      <c r="AE40" s="371"/>
    </row>
    <row r="41" spans="1:31" s="204" customFormat="1" x14ac:dyDescent="0.2">
      <c r="A41" s="315"/>
      <c r="J41" s="349"/>
      <c r="L41" s="372"/>
      <c r="Q41" s="373">
        <f>IF(AND(Y189&lt;=50,'Traffic &amp; Accidents'!E33&lt;400),20,IF(AND(Y189&gt;50,'Traffic &amp; Accidents'!E33&lt;400),22,IF(AND(Y189&lt;=30,'Traffic &amp; Accidents'!E33&lt;1501),20,IF(AND(Y189&gt;=35,'Traffic &amp; Accidents'!E33&lt;=1500),22,IF(AND(Y189&lt;=50,'Traffic &amp; Accidents'!E33&lt;2001),22,IF(AND(Y189&gt;=55,'Traffic &amp; Accidents'!E33&lt;2001),24,IF('Traffic &amp; Accidents'!E33&gt;2000,24,0)))))))</f>
        <v>20</v>
      </c>
      <c r="R41" s="360"/>
      <c r="S41" s="362"/>
      <c r="T41" s="362"/>
      <c r="U41" s="360"/>
      <c r="V41" s="362"/>
      <c r="W41" s="362"/>
      <c r="X41" s="360"/>
      <c r="Y41" s="360"/>
      <c r="Z41" s="360"/>
      <c r="AA41" s="360"/>
      <c r="AB41" s="360"/>
      <c r="AC41" s="360"/>
      <c r="AD41" s="360"/>
      <c r="AE41" s="371"/>
    </row>
    <row r="42" spans="1:31" s="204" customFormat="1" x14ac:dyDescent="0.2">
      <c r="A42" s="315"/>
      <c r="C42" s="314"/>
      <c r="D42" s="314"/>
      <c r="E42" s="314"/>
      <c r="F42" s="314"/>
      <c r="G42" s="314"/>
      <c r="H42" s="316"/>
      <c r="I42" s="314"/>
      <c r="J42" s="316"/>
      <c r="K42" s="314"/>
      <c r="L42" s="314"/>
      <c r="M42" s="314"/>
      <c r="N42" s="314"/>
      <c r="Q42" s="369" t="s">
        <v>512</v>
      </c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71"/>
    </row>
    <row r="43" spans="1:31" s="204" customFormat="1" x14ac:dyDescent="0.2">
      <c r="A43" s="315"/>
      <c r="C43" s="314"/>
      <c r="D43" s="314"/>
      <c r="E43" s="314"/>
      <c r="F43" s="314"/>
      <c r="G43" s="314"/>
      <c r="H43" s="316"/>
      <c r="I43" s="314"/>
      <c r="J43" s="316"/>
      <c r="K43" s="314"/>
      <c r="L43" s="314"/>
      <c r="M43" s="314"/>
      <c r="N43" s="314"/>
      <c r="Q43" s="369"/>
      <c r="R43" s="360"/>
      <c r="S43" s="360"/>
      <c r="T43" s="360" t="s">
        <v>233</v>
      </c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71"/>
    </row>
    <row r="44" spans="1:31" s="204" customFormat="1" x14ac:dyDescent="0.2">
      <c r="A44" s="315"/>
      <c r="B44" s="374"/>
      <c r="C44" s="314"/>
      <c r="D44" s="314"/>
      <c r="E44" s="314"/>
      <c r="F44" s="564" t="s">
        <v>380</v>
      </c>
      <c r="G44" s="564"/>
      <c r="H44" s="564"/>
      <c r="I44" s="564"/>
      <c r="J44" s="314" t="s">
        <v>381</v>
      </c>
      <c r="K44" s="314"/>
      <c r="L44" s="314"/>
      <c r="M44" s="314"/>
      <c r="N44" s="314"/>
      <c r="Q44" s="369"/>
      <c r="R44" s="360"/>
      <c r="S44" s="375"/>
      <c r="T44" s="362"/>
      <c r="U44" s="360"/>
      <c r="V44" s="360"/>
      <c r="W44" s="360"/>
      <c r="X44" s="360"/>
      <c r="Y44" s="370">
        <f>IF(OR(Y40=7,Y40=8),S48,AB48)</f>
        <v>22</v>
      </c>
      <c r="Z44" s="360"/>
      <c r="AA44" s="360"/>
      <c r="AB44" s="360"/>
      <c r="AC44" s="360"/>
      <c r="AD44" s="360"/>
      <c r="AE44" s="371"/>
    </row>
    <row r="45" spans="1:31" s="204" customFormat="1" x14ac:dyDescent="0.2">
      <c r="A45" s="315"/>
      <c r="C45" s="314"/>
      <c r="D45" s="314"/>
      <c r="E45" s="314"/>
      <c r="F45" s="314"/>
      <c r="G45" s="314"/>
      <c r="H45" s="316"/>
      <c r="I45" s="314"/>
      <c r="J45" s="316"/>
      <c r="K45" s="314"/>
      <c r="L45" s="314"/>
      <c r="M45" s="314"/>
      <c r="N45" s="314"/>
      <c r="Q45" s="369"/>
      <c r="R45" s="360"/>
      <c r="S45" s="375"/>
      <c r="T45" s="550"/>
      <c r="U45" s="551"/>
      <c r="V45" s="360"/>
      <c r="W45" s="360"/>
      <c r="X45" s="360"/>
      <c r="Y45" s="542" t="s">
        <v>236</v>
      </c>
      <c r="Z45" s="360"/>
      <c r="AA45" s="360"/>
      <c r="AB45" s="550"/>
      <c r="AC45" s="550"/>
      <c r="AD45" s="550"/>
      <c r="AE45" s="371"/>
    </row>
    <row r="46" spans="1:31" s="204" customFormat="1" x14ac:dyDescent="0.2">
      <c r="A46" s="315"/>
      <c r="C46" s="314"/>
      <c r="D46" s="314"/>
      <c r="E46" s="314"/>
      <c r="F46" s="314"/>
      <c r="G46" s="314"/>
      <c r="H46" s="316"/>
      <c r="I46" s="314"/>
      <c r="J46" s="316"/>
      <c r="K46" s="314"/>
      <c r="L46" s="314"/>
      <c r="M46" s="314"/>
      <c r="N46" s="314"/>
      <c r="Q46" s="369"/>
      <c r="R46" s="360"/>
      <c r="S46" s="375"/>
      <c r="T46" s="362"/>
      <c r="U46" s="360"/>
      <c r="V46" s="360"/>
      <c r="W46" s="360"/>
      <c r="X46" s="360"/>
      <c r="Y46" s="543"/>
      <c r="Z46" s="360"/>
      <c r="AA46" s="360"/>
      <c r="AB46" s="360"/>
      <c r="AC46" s="360"/>
      <c r="AD46" s="360"/>
      <c r="AE46" s="371"/>
    </row>
    <row r="47" spans="1:31" s="204" customFormat="1" x14ac:dyDescent="0.2">
      <c r="A47" s="315"/>
      <c r="C47" s="314"/>
      <c r="D47" s="314"/>
      <c r="E47" s="314"/>
      <c r="F47" s="563" t="s">
        <v>382</v>
      </c>
      <c r="G47" s="563"/>
      <c r="H47" s="563"/>
      <c r="I47" s="314"/>
      <c r="J47" s="376" t="s">
        <v>383</v>
      </c>
      <c r="K47" s="376"/>
      <c r="L47" s="377"/>
      <c r="M47" s="376"/>
      <c r="N47" s="376"/>
      <c r="O47" s="378"/>
      <c r="P47" s="378"/>
      <c r="Q47" s="369"/>
      <c r="R47" s="360"/>
      <c r="S47" s="379" t="s">
        <v>155</v>
      </c>
      <c r="T47" s="379" t="s">
        <v>225</v>
      </c>
      <c r="U47" s="379" t="s">
        <v>226</v>
      </c>
      <c r="V47" s="379" t="s">
        <v>119</v>
      </c>
      <c r="W47" s="360"/>
      <c r="X47" s="360"/>
      <c r="Y47" s="543"/>
      <c r="Z47" s="360"/>
      <c r="AA47" s="360"/>
      <c r="AB47" s="379" t="s">
        <v>234</v>
      </c>
      <c r="AC47" s="379" t="s">
        <v>235</v>
      </c>
      <c r="AD47" s="379" t="s">
        <v>119</v>
      </c>
      <c r="AE47" s="371"/>
    </row>
    <row r="48" spans="1:31" s="204" customFormat="1" x14ac:dyDescent="0.2">
      <c r="A48" s="315"/>
      <c r="C48" s="314" t="s">
        <v>134</v>
      </c>
      <c r="D48" s="314"/>
      <c r="E48" s="314" t="s">
        <v>135</v>
      </c>
      <c r="F48" s="314"/>
      <c r="G48" s="314"/>
      <c r="H48" s="314"/>
      <c r="I48" s="314"/>
      <c r="J48" s="377"/>
      <c r="K48" s="376" t="s">
        <v>384</v>
      </c>
      <c r="L48" s="377"/>
      <c r="M48" s="376"/>
      <c r="N48" s="376"/>
      <c r="O48" s="378"/>
      <c r="P48" s="378"/>
      <c r="Q48" s="369"/>
      <c r="R48" s="360"/>
      <c r="S48" s="380">
        <f>IF(AND(Y189&lt;=50,'Traffic &amp; Accidents'!E33&lt;400),20,S49)</f>
        <v>20</v>
      </c>
      <c r="T48" s="362">
        <f>IF(AND(Y189&lt;=30,'Traffic &amp; Accidents'!E33&lt;1501),20,T49)</f>
        <v>20</v>
      </c>
      <c r="U48" s="362">
        <f>IF(AND(Y189&lt;=50,'Traffic &amp; Accidents'!E33&lt;2001),22,U49)</f>
        <v>22</v>
      </c>
      <c r="V48" s="362">
        <f>IF('Traffic &amp; Accidents'!E33&gt;2000,24,0)</f>
        <v>0</v>
      </c>
      <c r="W48" s="360"/>
      <c r="X48" s="360"/>
      <c r="Y48" s="360"/>
      <c r="Z48" s="360"/>
      <c r="AA48" s="360"/>
      <c r="AB48" s="362">
        <f>IF(AND(Y189&lt;60,'Traffic &amp; Accidents'!E33&lt;1501),22,AB49)</f>
        <v>22</v>
      </c>
      <c r="AC48" s="362">
        <f>IF(AND(Y189&lt;50,'Traffic &amp; Accidents'!E33&lt;2001),22,AC49)</f>
        <v>22</v>
      </c>
      <c r="AD48" s="362">
        <f>IF('Traffic &amp; Accidents'!E33&gt;2000,24,0)</f>
        <v>0</v>
      </c>
      <c r="AE48" s="371"/>
    </row>
    <row r="49" spans="1:31" s="204" customFormat="1" x14ac:dyDescent="0.2">
      <c r="A49" s="315"/>
      <c r="C49" s="314"/>
      <c r="D49" s="314"/>
      <c r="E49" s="314"/>
      <c r="F49" s="314"/>
      <c r="G49" s="314"/>
      <c r="H49" s="314"/>
      <c r="I49" s="314"/>
      <c r="J49" s="377"/>
      <c r="K49" s="376"/>
      <c r="L49" s="377"/>
      <c r="M49" s="376"/>
      <c r="N49" s="376"/>
      <c r="O49" s="378"/>
      <c r="P49" s="378"/>
      <c r="Q49" s="369"/>
      <c r="R49" s="360"/>
      <c r="S49" s="362">
        <f>IF(AND(Y189&gt;50,'Traffic &amp; Accidents'!E33&lt;400),22,T48)</f>
        <v>20</v>
      </c>
      <c r="T49" s="362">
        <f>IF(AND(Y189&gt;=35,'Traffic &amp; Accidents'!E33&lt;=1500),22,U48)</f>
        <v>22</v>
      </c>
      <c r="U49" s="362">
        <f>IF(AND(Y189&gt;=55,'Traffic &amp; Accidents'!E33&lt;2001),24,V48)</f>
        <v>0</v>
      </c>
      <c r="V49" s="375"/>
      <c r="W49" s="360"/>
      <c r="X49" s="360"/>
      <c r="Y49" s="360"/>
      <c r="Z49" s="360"/>
      <c r="AA49" s="360"/>
      <c r="AB49" s="362">
        <f>IF(AND(Y189&gt;55,'Traffic &amp; Accidents'!E33&lt;1501),24,AC48)</f>
        <v>22</v>
      </c>
      <c r="AC49" s="362">
        <f>IF(AND(Y189&gt;=50,'Traffic &amp; Accidents'!E33&lt;2001),24,AD48)</f>
        <v>0</v>
      </c>
      <c r="AD49" s="362"/>
      <c r="AE49" s="371"/>
    </row>
    <row r="50" spans="1:31" s="204" customFormat="1" x14ac:dyDescent="0.2">
      <c r="A50" s="315"/>
      <c r="C50" s="314" t="s">
        <v>506</v>
      </c>
      <c r="D50" s="314"/>
      <c r="E50" s="314"/>
      <c r="F50" s="321">
        <f>IF(Geometry!J7&gt;F52,F52,Geometry!J7)</f>
        <v>0</v>
      </c>
      <c r="G50" s="314"/>
      <c r="H50" s="314"/>
      <c r="I50" s="314"/>
      <c r="J50" s="376" t="s">
        <v>385</v>
      </c>
      <c r="K50" s="376"/>
      <c r="L50" s="377"/>
      <c r="M50" s="381">
        <f>SUM(Geometry!J7,2*Geometry!J8)</f>
        <v>0</v>
      </c>
      <c r="N50" s="382"/>
      <c r="O50" s="383"/>
      <c r="P50" s="383"/>
      <c r="Q50" s="369"/>
      <c r="R50" s="360"/>
      <c r="S50" s="362"/>
      <c r="T50" s="362"/>
      <c r="U50" s="362"/>
      <c r="V50" s="375"/>
      <c r="W50" s="360"/>
      <c r="X50" s="360"/>
      <c r="Y50" s="360"/>
      <c r="Z50" s="360"/>
      <c r="AA50" s="360"/>
      <c r="AB50" s="362"/>
      <c r="AC50" s="362"/>
      <c r="AD50" s="362"/>
      <c r="AE50" s="371"/>
    </row>
    <row r="51" spans="1:31" s="204" customFormat="1" x14ac:dyDescent="0.2">
      <c r="A51" s="315"/>
      <c r="C51" s="314"/>
      <c r="D51" s="314"/>
      <c r="E51" s="314"/>
      <c r="F51" s="316"/>
      <c r="G51" s="314"/>
      <c r="H51" s="314"/>
      <c r="I51" s="314"/>
      <c r="J51" s="376"/>
      <c r="K51" s="376"/>
      <c r="L51" s="377"/>
      <c r="M51" s="377"/>
      <c r="N51" s="377"/>
      <c r="O51" s="384"/>
      <c r="P51" s="384"/>
      <c r="Q51" s="369"/>
      <c r="R51" s="360"/>
      <c r="S51" s="362"/>
      <c r="T51" s="362"/>
      <c r="U51" s="362"/>
      <c r="V51" s="375"/>
      <c r="W51" s="360"/>
      <c r="X51" s="360"/>
      <c r="Y51" s="360"/>
      <c r="Z51" s="360"/>
      <c r="AA51" s="360"/>
      <c r="AB51" s="362"/>
      <c r="AC51" s="362"/>
      <c r="AD51" s="362"/>
      <c r="AE51" s="371"/>
    </row>
    <row r="52" spans="1:31" s="204" customFormat="1" x14ac:dyDescent="0.2">
      <c r="A52" s="315"/>
      <c r="C52" s="314" t="s">
        <v>507</v>
      </c>
      <c r="D52" s="314"/>
      <c r="E52" s="314"/>
      <c r="F52" s="321">
        <f>Geometry!K7</f>
        <v>0</v>
      </c>
      <c r="G52" s="314"/>
      <c r="H52" s="314"/>
      <c r="I52" s="314"/>
      <c r="J52" s="376" t="s">
        <v>386</v>
      </c>
      <c r="K52" s="376"/>
      <c r="L52" s="377"/>
      <c r="M52" s="381">
        <f>Geometry!K10</f>
        <v>0</v>
      </c>
      <c r="N52" s="382"/>
      <c r="O52" s="383"/>
      <c r="P52" s="383"/>
      <c r="Q52" s="369"/>
      <c r="R52" s="360"/>
      <c r="S52" s="360"/>
      <c r="T52" s="362"/>
      <c r="U52" s="362"/>
      <c r="V52" s="362"/>
      <c r="W52" s="362"/>
      <c r="X52" s="360"/>
      <c r="Y52" s="360"/>
      <c r="Z52" s="360"/>
      <c r="AA52" s="360"/>
      <c r="AB52" s="362"/>
      <c r="AC52" s="362"/>
      <c r="AD52" s="362"/>
      <c r="AE52" s="371"/>
    </row>
    <row r="53" spans="1:31" s="204" customFormat="1" x14ac:dyDescent="0.2">
      <c r="A53" s="315"/>
      <c r="C53" s="314"/>
      <c r="D53" s="314"/>
      <c r="E53" s="314"/>
      <c r="F53" s="314"/>
      <c r="G53" s="314"/>
      <c r="H53" s="314"/>
      <c r="I53" s="314"/>
      <c r="J53" s="377"/>
      <c r="K53" s="376"/>
      <c r="L53" s="377"/>
      <c r="M53" s="376"/>
      <c r="N53" s="376"/>
      <c r="O53" s="378"/>
      <c r="P53" s="378"/>
      <c r="Q53" s="369"/>
      <c r="R53" s="360"/>
      <c r="S53" s="375"/>
      <c r="T53" s="360" t="s">
        <v>237</v>
      </c>
      <c r="U53" s="362"/>
      <c r="V53" s="362"/>
      <c r="W53" s="362"/>
      <c r="X53" s="360"/>
      <c r="Y53" s="370">
        <f>IF(OR(Y40=7,Y40=8),S58,AB58)</f>
        <v>4</v>
      </c>
      <c r="Z53" s="360"/>
      <c r="AA53" s="360"/>
      <c r="AB53" s="360"/>
      <c r="AC53" s="362"/>
      <c r="AD53" s="362"/>
      <c r="AE53" s="371"/>
    </row>
    <row r="54" spans="1:31" s="204" customFormat="1" x14ac:dyDescent="0.2">
      <c r="A54" s="315"/>
      <c r="C54" s="314"/>
      <c r="D54" s="314"/>
      <c r="E54" s="314"/>
      <c r="F54" s="314"/>
      <c r="G54" s="314"/>
      <c r="H54" s="314"/>
      <c r="I54" s="314"/>
      <c r="J54" s="385" t="s">
        <v>387</v>
      </c>
      <c r="K54" s="376" t="s">
        <v>388</v>
      </c>
      <c r="L54" s="376"/>
      <c r="M54" s="377" t="s">
        <v>389</v>
      </c>
      <c r="N54" s="377"/>
      <c r="O54" s="384"/>
      <c r="P54" s="384"/>
      <c r="Q54" s="369"/>
      <c r="R54" s="360"/>
      <c r="S54" s="375"/>
      <c r="T54" s="360"/>
      <c r="U54" s="360"/>
      <c r="V54" s="360"/>
      <c r="W54" s="375"/>
      <c r="X54" s="552" t="s">
        <v>416</v>
      </c>
      <c r="Y54" s="543"/>
      <c r="Z54" s="543"/>
      <c r="AA54" s="360"/>
      <c r="AB54" s="362"/>
      <c r="AC54" s="362"/>
      <c r="AD54" s="362"/>
      <c r="AE54" s="371"/>
    </row>
    <row r="55" spans="1:31" s="204" customFormat="1" x14ac:dyDescent="0.2">
      <c r="A55" s="315"/>
      <c r="C55" s="314" t="s">
        <v>136</v>
      </c>
      <c r="D55" s="314"/>
      <c r="E55" s="314" t="s">
        <v>137</v>
      </c>
      <c r="F55" s="314"/>
      <c r="G55" s="314"/>
      <c r="H55" s="314"/>
      <c r="I55" s="314"/>
      <c r="J55" s="386" t="s">
        <v>390</v>
      </c>
      <c r="K55" s="387" t="s">
        <v>5</v>
      </c>
      <c r="L55" s="376"/>
      <c r="M55" s="377" t="s">
        <v>5</v>
      </c>
      <c r="N55" s="377"/>
      <c r="O55" s="384"/>
      <c r="P55" s="384"/>
      <c r="Q55" s="369"/>
      <c r="R55" s="360"/>
      <c r="S55" s="360"/>
      <c r="T55" s="550"/>
      <c r="U55" s="551"/>
      <c r="V55" s="360"/>
      <c r="W55" s="360"/>
      <c r="X55" s="543"/>
      <c r="Y55" s="543"/>
      <c r="Z55" s="543"/>
      <c r="AA55" s="360"/>
      <c r="AB55" s="550"/>
      <c r="AC55" s="550"/>
      <c r="AD55" s="550"/>
      <c r="AE55" s="562"/>
    </row>
    <row r="56" spans="1:31" s="204" customFormat="1" x14ac:dyDescent="0.2">
      <c r="A56" s="315"/>
      <c r="C56" s="314"/>
      <c r="D56" s="314"/>
      <c r="E56" s="314"/>
      <c r="F56" s="314"/>
      <c r="G56" s="314"/>
      <c r="H56" s="314"/>
      <c r="I56" s="314"/>
      <c r="J56" s="377" t="s">
        <v>391</v>
      </c>
      <c r="K56" s="377">
        <v>3</v>
      </c>
      <c r="L56" s="377" t="str">
        <f>IF(AND(ROUND(M52-M50,0)=1,(ROUND(M52-M50,0)&gt;0)),"*","")</f>
        <v/>
      </c>
      <c r="M56" s="377" t="str">
        <f>IF(L56="*",3,"")</f>
        <v/>
      </c>
      <c r="N56" s="377"/>
      <c r="O56" s="384"/>
      <c r="P56" s="384"/>
      <c r="Q56" s="369"/>
      <c r="R56" s="360"/>
      <c r="S56" s="360"/>
      <c r="T56" s="362"/>
      <c r="U56" s="362"/>
      <c r="V56" s="362"/>
      <c r="W56" s="362"/>
      <c r="X56" s="543"/>
      <c r="Y56" s="543"/>
      <c r="Z56" s="543"/>
      <c r="AA56" s="362"/>
      <c r="AB56" s="362"/>
      <c r="AC56" s="362"/>
      <c r="AD56" s="362"/>
      <c r="AE56" s="371"/>
    </row>
    <row r="57" spans="1:31" s="204" customFormat="1" x14ac:dyDescent="0.2">
      <c r="A57" s="315"/>
      <c r="C57" s="314" t="s">
        <v>508</v>
      </c>
      <c r="D57" s="314"/>
      <c r="E57" s="314"/>
      <c r="F57" s="321">
        <f>IF(Geometry!J8&gt;F59,F59,Geometry!J8)</f>
        <v>0</v>
      </c>
      <c r="G57" s="314"/>
      <c r="H57" s="314"/>
      <c r="I57" s="314"/>
      <c r="J57" s="377" t="s">
        <v>392</v>
      </c>
      <c r="K57" s="377">
        <v>6</v>
      </c>
      <c r="L57" s="377" t="str">
        <f>IF(AND(ROUND(M52-M50,0)&gt;=2,(ROUND(M52-M50,0)&lt;3)),"*","")</f>
        <v/>
      </c>
      <c r="M57" s="377" t="str">
        <f>IF(L57="*",6,"")</f>
        <v/>
      </c>
      <c r="N57" s="377"/>
      <c r="O57" s="384"/>
      <c r="P57" s="384"/>
      <c r="Q57" s="369"/>
      <c r="R57" s="360"/>
      <c r="S57" s="379" t="s">
        <v>155</v>
      </c>
      <c r="T57" s="379" t="s">
        <v>225</v>
      </c>
      <c r="U57" s="379" t="s">
        <v>226</v>
      </c>
      <c r="V57" s="379" t="s">
        <v>119</v>
      </c>
      <c r="W57" s="360"/>
      <c r="X57" s="360"/>
      <c r="Y57" s="360"/>
      <c r="Z57" s="360"/>
      <c r="AA57" s="362"/>
      <c r="AB57" s="379" t="s">
        <v>155</v>
      </c>
      <c r="AC57" s="379" t="s">
        <v>225</v>
      </c>
      <c r="AD57" s="379" t="s">
        <v>119</v>
      </c>
      <c r="AE57" s="371"/>
    </row>
    <row r="58" spans="1:31" s="204" customFormat="1" x14ac:dyDescent="0.2">
      <c r="A58" s="315"/>
      <c r="C58" s="314"/>
      <c r="D58" s="314"/>
      <c r="E58" s="314"/>
      <c r="F58" s="316"/>
      <c r="G58" s="314"/>
      <c r="H58" s="314"/>
      <c r="I58" s="314"/>
      <c r="J58" s="377" t="s">
        <v>393</v>
      </c>
      <c r="K58" s="377">
        <v>7</v>
      </c>
      <c r="L58" s="377" t="str">
        <f>IF(AND(ROUND(M52-M50,0)&gt;=3,(ROUND(M52-M50,0)&lt;4)),"*","")</f>
        <v/>
      </c>
      <c r="M58" s="377" t="str">
        <f>IF(L58="*",7,"")</f>
        <v/>
      </c>
      <c r="N58" s="377"/>
      <c r="O58" s="384"/>
      <c r="P58" s="384"/>
      <c r="Q58" s="369"/>
      <c r="R58" s="360"/>
      <c r="S58" s="362">
        <f>IF('Traffic &amp; Accidents'!E33&lt;400,2,T58)</f>
        <v>2</v>
      </c>
      <c r="T58" s="362">
        <f>IF('Traffic &amp; Accidents'!E33&lt;1501,4,U58)</f>
        <v>4</v>
      </c>
      <c r="U58" s="362">
        <f>IF('Traffic &amp; Accidents'!E33&lt;2001,6,V58)</f>
        <v>6</v>
      </c>
      <c r="V58" s="362">
        <f>IF('Traffic &amp; Accidents'!E33&gt;2000,8,0)</f>
        <v>0</v>
      </c>
      <c r="W58" s="360"/>
      <c r="X58" s="360"/>
      <c r="Y58" s="360"/>
      <c r="Z58" s="360"/>
      <c r="AA58" s="362"/>
      <c r="AB58" s="362">
        <f>IF('Traffic &amp; Accidents'!E33&lt;400,4,AC58)</f>
        <v>4</v>
      </c>
      <c r="AC58" s="362">
        <f>IF('Traffic &amp; Accidents'!E33&lt;2001,6,AD58)</f>
        <v>6</v>
      </c>
      <c r="AD58" s="362">
        <f>IF('Traffic &amp; Accidents'!E33&gt;2000,8,0)</f>
        <v>0</v>
      </c>
      <c r="AE58" s="371"/>
    </row>
    <row r="59" spans="1:31" s="204" customFormat="1" x14ac:dyDescent="0.2">
      <c r="A59" s="315"/>
      <c r="C59" s="388" t="s">
        <v>509</v>
      </c>
      <c r="D59" s="314"/>
      <c r="E59" s="314"/>
      <c r="F59" s="321">
        <f>Geometry!K8</f>
        <v>0</v>
      </c>
      <c r="G59" s="314"/>
      <c r="H59" s="314"/>
      <c r="I59" s="314"/>
      <c r="J59" s="377" t="s">
        <v>394</v>
      </c>
      <c r="K59" s="377">
        <v>8</v>
      </c>
      <c r="L59" s="377" t="str">
        <f>IF(AND(ROUND(M52-M50,0)&gt;=4,ROUND(M52-M50,0)&lt;5),"*","")</f>
        <v/>
      </c>
      <c r="M59" s="377" t="str">
        <f>IF(L59="*",8,"")</f>
        <v/>
      </c>
      <c r="N59" s="377"/>
      <c r="O59" s="384"/>
      <c r="P59" s="384"/>
      <c r="Q59" s="389"/>
      <c r="R59" s="390"/>
      <c r="S59" s="390"/>
      <c r="T59" s="390"/>
      <c r="U59" s="390"/>
      <c r="V59" s="379"/>
      <c r="W59" s="379"/>
      <c r="X59" s="390"/>
      <c r="Y59" s="390"/>
      <c r="Z59" s="390"/>
      <c r="AA59" s="379"/>
      <c r="AB59" s="379"/>
      <c r="AC59" s="379"/>
      <c r="AD59" s="379"/>
      <c r="AE59" s="391"/>
    </row>
    <row r="60" spans="1:31" s="204" customFormat="1" x14ac:dyDescent="0.2">
      <c r="A60" s="315"/>
      <c r="C60" s="314"/>
      <c r="D60" s="314"/>
      <c r="E60" s="314"/>
      <c r="F60" s="314"/>
      <c r="G60" s="314"/>
      <c r="H60" s="314"/>
      <c r="I60" s="314"/>
      <c r="J60" s="377" t="s">
        <v>395</v>
      </c>
      <c r="K60" s="377">
        <v>9</v>
      </c>
      <c r="L60" s="377" t="str">
        <f>IF(AND(ROUND(M52-M50,0)&gt;=5,ROUND(M52-M50,0)&lt;6),"*","")</f>
        <v/>
      </c>
      <c r="M60" s="377" t="str">
        <f>IF(L60="*",9,"")</f>
        <v/>
      </c>
      <c r="N60" s="377"/>
      <c r="O60" s="384"/>
      <c r="P60" s="384"/>
      <c r="Q60" s="392"/>
      <c r="R60" s="393"/>
      <c r="S60" s="393"/>
      <c r="T60" s="393"/>
      <c r="U60" s="393"/>
      <c r="V60" s="394"/>
      <c r="W60" s="547" t="s">
        <v>514</v>
      </c>
      <c r="X60" s="548"/>
      <c r="Y60" s="548"/>
      <c r="Z60" s="548"/>
      <c r="AA60" s="394"/>
      <c r="AB60" s="394"/>
      <c r="AC60" s="394"/>
      <c r="AD60" s="394"/>
      <c r="AE60" s="395"/>
    </row>
    <row r="61" spans="1:31" s="204" customFormat="1" x14ac:dyDescent="0.2">
      <c r="A61" s="315"/>
      <c r="C61" s="314"/>
      <c r="D61" s="314"/>
      <c r="E61" s="314"/>
      <c r="F61" s="314"/>
      <c r="G61" s="314"/>
      <c r="H61" s="314"/>
      <c r="I61" s="314"/>
      <c r="J61" s="387" t="s">
        <v>409</v>
      </c>
      <c r="K61" s="377">
        <v>10</v>
      </c>
      <c r="L61" s="377" t="str">
        <f>IF(ROUND(M52-M50,0)&gt;=6,"*","")</f>
        <v/>
      </c>
      <c r="M61" s="377" t="str">
        <f>IF(L61="*",10,"")</f>
        <v/>
      </c>
      <c r="N61" s="382"/>
      <c r="O61" s="383"/>
      <c r="P61" s="383"/>
      <c r="Q61" s="369"/>
      <c r="R61" s="360"/>
      <c r="S61" s="360"/>
      <c r="T61" s="360"/>
      <c r="U61" s="360"/>
      <c r="V61" s="360"/>
      <c r="W61" s="549"/>
      <c r="X61" s="549"/>
      <c r="Y61" s="549"/>
      <c r="Z61" s="549"/>
      <c r="AA61" s="360"/>
      <c r="AB61" s="360"/>
      <c r="AC61" s="360"/>
      <c r="AD61" s="360"/>
      <c r="AE61" s="371"/>
    </row>
    <row r="62" spans="1:31" s="204" customFormat="1" x14ac:dyDescent="0.2">
      <c r="A62" s="315"/>
      <c r="C62" s="314"/>
      <c r="D62" s="314"/>
      <c r="E62" s="314"/>
      <c r="F62" s="314"/>
      <c r="G62" s="314"/>
      <c r="H62" s="316"/>
      <c r="I62" s="314"/>
      <c r="J62" s="316"/>
      <c r="K62" s="314"/>
      <c r="L62" s="385" t="s">
        <v>396</v>
      </c>
      <c r="M62" s="381">
        <f>SUM(M56:M61)</f>
        <v>0</v>
      </c>
      <c r="N62" s="314"/>
      <c r="Q62" s="369"/>
      <c r="R62" s="360"/>
      <c r="S62" s="360"/>
      <c r="T62" s="360"/>
      <c r="U62" s="360"/>
      <c r="V62" s="360"/>
      <c r="W62" s="549"/>
      <c r="X62" s="549"/>
      <c r="Y62" s="549"/>
      <c r="Z62" s="549"/>
      <c r="AA62" s="360"/>
      <c r="AB62" s="360"/>
      <c r="AC62" s="360"/>
      <c r="AD62" s="360"/>
      <c r="AE62" s="371"/>
    </row>
    <row r="63" spans="1:31" s="204" customFormat="1" ht="30.75" x14ac:dyDescent="0.2">
      <c r="A63" s="315"/>
      <c r="C63" s="314"/>
      <c r="D63" s="314"/>
      <c r="E63" s="314"/>
      <c r="F63" s="314"/>
      <c r="G63" s="314"/>
      <c r="H63" s="316"/>
      <c r="I63" s="314"/>
      <c r="J63" s="316"/>
      <c r="K63" s="314"/>
      <c r="L63" s="385"/>
      <c r="M63" s="382"/>
      <c r="N63" s="314"/>
      <c r="Q63" s="369"/>
      <c r="R63" s="360"/>
      <c r="S63" s="360"/>
      <c r="T63" s="360"/>
      <c r="U63" s="360"/>
      <c r="V63" s="360"/>
      <c r="W63" s="396"/>
      <c r="X63" s="396"/>
      <c r="Y63" s="396"/>
      <c r="Z63" s="396"/>
      <c r="AA63" s="360"/>
      <c r="AB63" s="360"/>
      <c r="AC63" s="360"/>
      <c r="AD63" s="360"/>
      <c r="AE63" s="371"/>
    </row>
    <row r="64" spans="1:31" s="204" customFormat="1" x14ac:dyDescent="0.2">
      <c r="A64" s="315"/>
      <c r="H64" s="349"/>
      <c r="J64" s="349"/>
      <c r="Q64" s="369"/>
      <c r="R64" s="360"/>
      <c r="S64" s="360"/>
      <c r="T64" s="360"/>
      <c r="U64" s="360"/>
      <c r="V64" s="360"/>
      <c r="W64" s="546" t="s">
        <v>238</v>
      </c>
      <c r="X64" s="546"/>
      <c r="Y64" s="546"/>
      <c r="Z64" s="546"/>
      <c r="AA64" s="360"/>
      <c r="AB64" s="360"/>
      <c r="AC64" s="360"/>
      <c r="AD64" s="360"/>
      <c r="AE64" s="371"/>
    </row>
    <row r="65" spans="1:31" s="204" customFormat="1" ht="13.5" customHeight="1" x14ac:dyDescent="0.2">
      <c r="A65" s="315"/>
      <c r="H65" s="349"/>
      <c r="J65" s="349"/>
      <c r="Q65" s="369"/>
      <c r="R65" s="360"/>
      <c r="S65" s="360"/>
      <c r="T65" s="360"/>
      <c r="U65" s="360"/>
      <c r="V65" s="360"/>
      <c r="W65" s="360"/>
      <c r="X65" s="545" t="s">
        <v>397</v>
      </c>
      <c r="Y65" s="545"/>
      <c r="Z65" s="360"/>
      <c r="AA65" s="360"/>
      <c r="AB65" s="360"/>
      <c r="AC65" s="360"/>
      <c r="AD65" s="360"/>
      <c r="AE65" s="371"/>
    </row>
    <row r="66" spans="1:31" s="204" customFormat="1" x14ac:dyDescent="0.2">
      <c r="A66" s="315"/>
      <c r="H66" s="362"/>
      <c r="Q66" s="369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71"/>
    </row>
    <row r="67" spans="1:31" s="204" customFormat="1" ht="12.75" customHeight="1" x14ac:dyDescent="0.2">
      <c r="A67" s="315"/>
      <c r="H67" s="349"/>
      <c r="J67" s="349"/>
      <c r="Q67" s="369"/>
      <c r="R67" s="360"/>
      <c r="S67" s="360"/>
      <c r="T67" s="360"/>
      <c r="U67" s="362"/>
      <c r="V67" s="397" t="s">
        <v>227</v>
      </c>
      <c r="W67" s="362"/>
      <c r="X67" s="362"/>
      <c r="Y67" s="369"/>
      <c r="Z67" s="362"/>
      <c r="AA67" s="397" t="s">
        <v>227</v>
      </c>
      <c r="AB67" s="362"/>
      <c r="AC67" s="362"/>
      <c r="AD67" s="360"/>
      <c r="AE67" s="371"/>
    </row>
    <row r="68" spans="1:31" s="204" customFormat="1" ht="12.75" customHeight="1" x14ac:dyDescent="0.2">
      <c r="A68" s="315"/>
      <c r="C68" s="398"/>
      <c r="D68" s="399"/>
      <c r="E68" s="400"/>
      <c r="F68" s="399"/>
      <c r="H68" s="362"/>
      <c r="J68" s="349"/>
      <c r="Q68" s="369"/>
      <c r="R68" s="360"/>
      <c r="S68" s="360"/>
      <c r="T68" s="360"/>
      <c r="U68" s="360"/>
      <c r="V68" s="360"/>
      <c r="W68" s="360"/>
      <c r="X68" s="360"/>
      <c r="Y68" s="369"/>
      <c r="Z68" s="360"/>
      <c r="AA68" s="360"/>
      <c r="AB68" s="360"/>
      <c r="AC68" s="360"/>
      <c r="AD68" s="360"/>
      <c r="AE68" s="371"/>
    </row>
    <row r="69" spans="1:31" s="204" customFormat="1" x14ac:dyDescent="0.2">
      <c r="A69" s="401"/>
      <c r="B69" s="360"/>
      <c r="C69" s="360"/>
      <c r="D69" s="360"/>
      <c r="E69" s="360"/>
      <c r="F69" s="360"/>
      <c r="G69" s="360"/>
      <c r="H69" s="362"/>
      <c r="I69" s="360"/>
      <c r="J69" s="362"/>
      <c r="K69" s="360"/>
      <c r="L69" s="360"/>
      <c r="M69" s="360"/>
      <c r="N69" s="360"/>
      <c r="O69" s="360"/>
      <c r="P69" s="360"/>
      <c r="Q69" s="369"/>
      <c r="R69" s="360"/>
      <c r="S69" s="360"/>
      <c r="T69" s="375" t="s">
        <v>230</v>
      </c>
      <c r="U69" s="360"/>
      <c r="V69" s="402" t="s">
        <v>398</v>
      </c>
      <c r="W69" s="401"/>
      <c r="X69" s="401"/>
      <c r="Y69" s="403" t="s">
        <v>230</v>
      </c>
      <c r="Z69" s="360"/>
      <c r="AA69" s="360"/>
      <c r="AB69" s="360"/>
      <c r="AC69" s="404" t="s">
        <v>399</v>
      </c>
      <c r="AD69" s="360"/>
      <c r="AE69" s="371"/>
    </row>
    <row r="70" spans="1:31" s="204" customFormat="1" x14ac:dyDescent="0.2">
      <c r="A70" s="360"/>
      <c r="B70" s="360"/>
      <c r="C70" s="360"/>
      <c r="D70" s="360"/>
      <c r="E70" s="360"/>
      <c r="F70" s="360"/>
      <c r="G70" s="360"/>
      <c r="H70" s="362"/>
      <c r="I70" s="360"/>
      <c r="J70" s="362"/>
      <c r="K70" s="360"/>
      <c r="L70" s="360"/>
      <c r="M70" s="360"/>
      <c r="N70" s="360"/>
      <c r="O70" s="360"/>
      <c r="P70" s="360"/>
      <c r="Q70" s="369"/>
      <c r="R70" s="360"/>
      <c r="S70" s="360"/>
      <c r="T70" s="375" t="s">
        <v>231</v>
      </c>
      <c r="U70" s="379" t="s">
        <v>155</v>
      </c>
      <c r="V70" s="379" t="s">
        <v>225</v>
      </c>
      <c r="W70" s="379" t="s">
        <v>226</v>
      </c>
      <c r="X70" s="379" t="s">
        <v>119</v>
      </c>
      <c r="Y70" s="403" t="s">
        <v>231</v>
      </c>
      <c r="Z70" s="379" t="s">
        <v>155</v>
      </c>
      <c r="AA70" s="379" t="s">
        <v>225</v>
      </c>
      <c r="AB70" s="379" t="s">
        <v>226</v>
      </c>
      <c r="AC70" s="379" t="s">
        <v>119</v>
      </c>
      <c r="AD70" s="360"/>
      <c r="AE70" s="371"/>
    </row>
    <row r="71" spans="1:31" s="204" customFormat="1" x14ac:dyDescent="0.2">
      <c r="A71" s="360"/>
      <c r="B71" s="360"/>
      <c r="C71" s="360"/>
      <c r="D71" s="360"/>
      <c r="E71" s="360"/>
      <c r="F71" s="401"/>
      <c r="G71" s="360"/>
      <c r="H71" s="362"/>
      <c r="I71" s="360"/>
      <c r="J71" s="362"/>
      <c r="K71" s="360"/>
      <c r="L71" s="360"/>
      <c r="M71" s="360"/>
      <c r="N71" s="360"/>
      <c r="O71" s="360"/>
      <c r="P71" s="360"/>
      <c r="Q71" s="369"/>
      <c r="R71" s="360"/>
      <c r="S71" s="360"/>
      <c r="T71" s="360"/>
      <c r="U71" s="360"/>
      <c r="V71" s="360"/>
      <c r="W71" s="360"/>
      <c r="X71" s="360"/>
      <c r="Y71" s="369"/>
      <c r="Z71" s="360"/>
      <c r="AA71" s="360"/>
      <c r="AB71" s="360"/>
      <c r="AC71" s="360"/>
      <c r="AD71" s="360"/>
      <c r="AE71" s="371"/>
    </row>
    <row r="72" spans="1:31" s="204" customFormat="1" x14ac:dyDescent="0.2">
      <c r="A72" s="360"/>
      <c r="B72" s="360"/>
      <c r="C72" s="360"/>
      <c r="D72" s="360"/>
      <c r="E72" s="360"/>
      <c r="F72" s="375"/>
      <c r="G72" s="401"/>
      <c r="H72" s="362"/>
      <c r="I72" s="360"/>
      <c r="J72" s="362"/>
      <c r="K72" s="360"/>
      <c r="L72" s="360"/>
      <c r="M72" s="360"/>
      <c r="N72" s="360"/>
      <c r="O72" s="360"/>
      <c r="P72" s="360"/>
      <c r="Q72" s="369"/>
      <c r="R72" s="360"/>
      <c r="S72" s="360"/>
      <c r="T72" s="362">
        <v>20</v>
      </c>
      <c r="U72" s="362">
        <v>20</v>
      </c>
      <c r="V72" s="362">
        <v>20</v>
      </c>
      <c r="W72" s="362">
        <v>22</v>
      </c>
      <c r="X72" s="362">
        <v>24</v>
      </c>
      <c r="Y72" s="544" t="s">
        <v>232</v>
      </c>
      <c r="Z72" s="362">
        <v>2</v>
      </c>
      <c r="AA72" s="362">
        <v>4</v>
      </c>
      <c r="AB72" s="362">
        <v>6</v>
      </c>
      <c r="AC72" s="362">
        <v>8</v>
      </c>
      <c r="AD72" s="360"/>
      <c r="AE72" s="371"/>
    </row>
    <row r="73" spans="1:31" s="204" customFormat="1" x14ac:dyDescent="0.2">
      <c r="A73" s="360"/>
      <c r="B73" s="360"/>
      <c r="C73" s="360"/>
      <c r="D73" s="360"/>
      <c r="E73" s="360"/>
      <c r="F73" s="375"/>
      <c r="G73" s="405"/>
      <c r="H73" s="362"/>
      <c r="I73" s="360"/>
      <c r="J73" s="362"/>
      <c r="K73" s="360"/>
      <c r="L73" s="360"/>
      <c r="M73" s="360"/>
      <c r="N73" s="360"/>
      <c r="O73" s="360"/>
      <c r="P73" s="360"/>
      <c r="Q73" s="369"/>
      <c r="R73" s="360"/>
      <c r="S73" s="360"/>
      <c r="T73" s="362">
        <v>25</v>
      </c>
      <c r="U73" s="362">
        <v>20</v>
      </c>
      <c r="V73" s="362">
        <v>20</v>
      </c>
      <c r="W73" s="362">
        <v>22</v>
      </c>
      <c r="X73" s="362">
        <v>24</v>
      </c>
      <c r="Y73" s="544"/>
      <c r="Z73" s="362"/>
      <c r="AA73" s="362"/>
      <c r="AB73" s="362"/>
      <c r="AC73" s="362"/>
      <c r="AD73" s="360"/>
      <c r="AE73" s="371"/>
    </row>
    <row r="74" spans="1:31" s="204" customFormat="1" x14ac:dyDescent="0.2">
      <c r="A74" s="360"/>
      <c r="B74" s="360"/>
      <c r="C74" s="406"/>
      <c r="D74" s="406"/>
      <c r="E74" s="406"/>
      <c r="F74" s="406"/>
      <c r="G74" s="406"/>
      <c r="H74" s="407"/>
      <c r="I74" s="406"/>
      <c r="J74" s="407"/>
      <c r="K74" s="360"/>
      <c r="L74" s="360"/>
      <c r="M74" s="360"/>
      <c r="N74" s="360"/>
      <c r="O74" s="360"/>
      <c r="P74" s="360"/>
      <c r="Q74" s="369"/>
      <c r="R74" s="360"/>
      <c r="S74" s="360"/>
      <c r="T74" s="362">
        <v>30</v>
      </c>
      <c r="U74" s="362">
        <v>20</v>
      </c>
      <c r="V74" s="362">
        <v>20</v>
      </c>
      <c r="W74" s="362">
        <v>22</v>
      </c>
      <c r="X74" s="362">
        <v>24</v>
      </c>
      <c r="Y74" s="369"/>
      <c r="Z74" s="362"/>
      <c r="AA74" s="362"/>
      <c r="AB74" s="362"/>
      <c r="AC74" s="362"/>
      <c r="AD74" s="360"/>
      <c r="AE74" s="371"/>
    </row>
    <row r="75" spans="1:31" s="204" customFormat="1" x14ac:dyDescent="0.2">
      <c r="A75" s="360"/>
      <c r="B75" s="360"/>
      <c r="C75" s="360"/>
      <c r="D75" s="360"/>
      <c r="E75" s="360"/>
      <c r="F75" s="360"/>
      <c r="G75" s="401"/>
      <c r="H75" s="401"/>
      <c r="I75" s="360"/>
      <c r="J75" s="362"/>
      <c r="K75" s="360"/>
      <c r="L75" s="360"/>
      <c r="M75" s="360"/>
      <c r="N75" s="360"/>
      <c r="O75" s="360"/>
      <c r="P75" s="360"/>
      <c r="Q75" s="369"/>
      <c r="R75" s="360"/>
      <c r="S75" s="360"/>
      <c r="T75" s="362">
        <v>35</v>
      </c>
      <c r="U75" s="362">
        <v>20</v>
      </c>
      <c r="V75" s="362">
        <v>22</v>
      </c>
      <c r="W75" s="362">
        <v>22</v>
      </c>
      <c r="X75" s="362">
        <v>24</v>
      </c>
      <c r="Y75" s="369"/>
      <c r="Z75" s="362"/>
      <c r="AA75" s="362"/>
      <c r="AB75" s="362"/>
      <c r="AC75" s="362"/>
      <c r="AD75" s="360"/>
      <c r="AE75" s="371"/>
    </row>
    <row r="76" spans="1:31" s="204" customFormat="1" x14ac:dyDescent="0.2">
      <c r="A76" s="360"/>
      <c r="B76" s="360"/>
      <c r="C76" s="360"/>
      <c r="D76" s="360"/>
      <c r="E76" s="360"/>
      <c r="F76" s="360"/>
      <c r="G76" s="360"/>
      <c r="H76" s="362"/>
      <c r="I76" s="360"/>
      <c r="J76" s="362"/>
      <c r="K76" s="360"/>
      <c r="L76" s="360"/>
      <c r="M76" s="360"/>
      <c r="N76" s="360"/>
      <c r="O76" s="360"/>
      <c r="P76" s="360"/>
      <c r="Q76" s="369"/>
      <c r="R76" s="360"/>
      <c r="S76" s="360"/>
      <c r="T76" s="362">
        <v>40</v>
      </c>
      <c r="U76" s="362">
        <v>20</v>
      </c>
      <c r="V76" s="362">
        <v>22</v>
      </c>
      <c r="W76" s="362">
        <v>22</v>
      </c>
      <c r="X76" s="362">
        <v>24</v>
      </c>
      <c r="Y76" s="369"/>
      <c r="Z76" s="362"/>
      <c r="AA76" s="362"/>
      <c r="AB76" s="362"/>
      <c r="AC76" s="362"/>
      <c r="AD76" s="360"/>
      <c r="AE76" s="371"/>
    </row>
    <row r="77" spans="1:31" s="204" customFormat="1" x14ac:dyDescent="0.2">
      <c r="A77" s="360"/>
      <c r="B77" s="360"/>
      <c r="C77" s="360"/>
      <c r="D77" s="360"/>
      <c r="E77" s="360"/>
      <c r="F77" s="360"/>
      <c r="G77" s="405"/>
      <c r="H77" s="363"/>
      <c r="I77" s="360"/>
      <c r="J77" s="362"/>
      <c r="K77" s="360"/>
      <c r="L77" s="360"/>
      <c r="M77" s="360"/>
      <c r="N77" s="360"/>
      <c r="O77" s="360"/>
      <c r="P77" s="360"/>
      <c r="Q77" s="369"/>
      <c r="R77" s="360"/>
      <c r="S77" s="360"/>
      <c r="T77" s="362">
        <v>45</v>
      </c>
      <c r="U77" s="362">
        <v>20</v>
      </c>
      <c r="V77" s="362">
        <v>22</v>
      </c>
      <c r="W77" s="362">
        <v>22</v>
      </c>
      <c r="X77" s="362">
        <v>24</v>
      </c>
      <c r="Y77" s="369"/>
      <c r="Z77" s="362"/>
      <c r="AA77" s="362"/>
      <c r="AB77" s="362"/>
      <c r="AC77" s="362"/>
      <c r="AD77" s="360"/>
      <c r="AE77" s="371"/>
    </row>
    <row r="78" spans="1:31" s="204" customFormat="1" x14ac:dyDescent="0.2">
      <c r="A78" s="360"/>
      <c r="B78" s="360"/>
      <c r="C78" s="360"/>
      <c r="D78" s="360"/>
      <c r="E78" s="360"/>
      <c r="F78" s="360"/>
      <c r="G78" s="360"/>
      <c r="H78" s="362"/>
      <c r="I78" s="360"/>
      <c r="J78" s="362"/>
      <c r="K78" s="360"/>
      <c r="L78" s="360"/>
      <c r="M78" s="360"/>
      <c r="N78" s="360"/>
      <c r="O78" s="360"/>
      <c r="P78" s="360"/>
      <c r="Q78" s="369"/>
      <c r="R78" s="360"/>
      <c r="S78" s="360"/>
      <c r="T78" s="362">
        <v>50</v>
      </c>
      <c r="U78" s="362">
        <v>20</v>
      </c>
      <c r="V78" s="362">
        <v>22</v>
      </c>
      <c r="W78" s="362">
        <v>22</v>
      </c>
      <c r="X78" s="362">
        <v>24</v>
      </c>
      <c r="Y78" s="369"/>
      <c r="Z78" s="362"/>
      <c r="AA78" s="362"/>
      <c r="AB78" s="362"/>
      <c r="AC78" s="362"/>
      <c r="AD78" s="360"/>
      <c r="AE78" s="371"/>
    </row>
    <row r="79" spans="1:31" s="204" customFormat="1" x14ac:dyDescent="0.2">
      <c r="A79" s="360"/>
      <c r="B79" s="360"/>
      <c r="C79" s="360"/>
      <c r="D79" s="360"/>
      <c r="E79" s="360"/>
      <c r="F79" s="360"/>
      <c r="G79" s="360"/>
      <c r="H79" s="362"/>
      <c r="I79" s="360"/>
      <c r="J79" s="362"/>
      <c r="K79" s="360"/>
      <c r="L79" s="360"/>
      <c r="M79" s="360"/>
      <c r="N79" s="360"/>
      <c r="O79" s="360"/>
      <c r="P79" s="360"/>
      <c r="Q79" s="369"/>
      <c r="R79" s="360"/>
      <c r="S79" s="360"/>
      <c r="T79" s="362">
        <v>55</v>
      </c>
      <c r="U79" s="362">
        <v>22</v>
      </c>
      <c r="V79" s="362">
        <v>22</v>
      </c>
      <c r="W79" s="362">
        <v>24</v>
      </c>
      <c r="X79" s="362">
        <v>24</v>
      </c>
      <c r="Y79" s="369"/>
      <c r="Z79" s="362"/>
      <c r="AA79" s="362"/>
      <c r="AB79" s="362"/>
      <c r="AC79" s="362"/>
      <c r="AD79" s="360"/>
      <c r="AE79" s="371"/>
    </row>
    <row r="80" spans="1:31" s="204" customFormat="1" x14ac:dyDescent="0.2">
      <c r="A80" s="360"/>
      <c r="B80" s="360"/>
      <c r="C80" s="360"/>
      <c r="D80" s="360"/>
      <c r="E80" s="360"/>
      <c r="F80" s="360"/>
      <c r="G80" s="360"/>
      <c r="H80" s="362"/>
      <c r="I80" s="360"/>
      <c r="J80" s="362"/>
      <c r="K80" s="360"/>
      <c r="L80" s="360"/>
      <c r="M80" s="360"/>
      <c r="N80" s="360"/>
      <c r="O80" s="360"/>
      <c r="P80" s="360"/>
      <c r="Q80" s="369"/>
      <c r="R80" s="360"/>
      <c r="S80" s="360"/>
      <c r="T80" s="362">
        <v>60</v>
      </c>
      <c r="U80" s="362">
        <v>22</v>
      </c>
      <c r="V80" s="362">
        <v>22</v>
      </c>
      <c r="W80" s="362">
        <v>24</v>
      </c>
      <c r="X80" s="362">
        <v>24</v>
      </c>
      <c r="Y80" s="369"/>
      <c r="Z80" s="362"/>
      <c r="AA80" s="362"/>
      <c r="AB80" s="362"/>
      <c r="AC80" s="362"/>
      <c r="AD80" s="360"/>
      <c r="AE80" s="371"/>
    </row>
    <row r="81" spans="1:31" s="204" customFormat="1" x14ac:dyDescent="0.2">
      <c r="A81" s="553"/>
      <c r="B81" s="360"/>
      <c r="C81" s="360"/>
      <c r="D81" s="360"/>
      <c r="E81" s="360"/>
      <c r="F81" s="360"/>
      <c r="G81" s="360"/>
      <c r="H81" s="362"/>
      <c r="I81" s="360"/>
      <c r="J81" s="362"/>
      <c r="K81" s="360"/>
      <c r="L81" s="360"/>
      <c r="M81" s="360"/>
      <c r="N81" s="360"/>
      <c r="O81" s="360"/>
      <c r="P81" s="360"/>
      <c r="Q81" s="369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71"/>
    </row>
    <row r="82" spans="1:31" s="204" customFormat="1" x14ac:dyDescent="0.2">
      <c r="A82" s="553"/>
      <c r="B82" s="360"/>
      <c r="C82" s="360"/>
      <c r="D82" s="360"/>
      <c r="E82" s="360"/>
      <c r="F82" s="360"/>
      <c r="G82" s="360"/>
      <c r="H82" s="362"/>
      <c r="I82" s="360"/>
      <c r="J82" s="362"/>
      <c r="K82" s="360"/>
      <c r="L82" s="360"/>
      <c r="M82" s="360"/>
      <c r="N82" s="360"/>
      <c r="O82" s="360"/>
      <c r="P82" s="360"/>
      <c r="Q82" s="369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71"/>
    </row>
    <row r="83" spans="1:31" s="204" customFormat="1" ht="19.5" x14ac:dyDescent="0.2">
      <c r="A83" s="553"/>
      <c r="B83" s="360"/>
      <c r="C83" s="360"/>
      <c r="D83" s="360"/>
      <c r="E83" s="360"/>
      <c r="F83" s="360"/>
      <c r="G83" s="360"/>
      <c r="H83" s="362"/>
      <c r="I83" s="360"/>
      <c r="J83" s="362"/>
      <c r="K83" s="360"/>
      <c r="L83" s="360"/>
      <c r="M83" s="360"/>
      <c r="N83" s="360"/>
      <c r="O83" s="360"/>
      <c r="P83" s="360"/>
      <c r="Q83" s="369"/>
      <c r="R83" s="360"/>
      <c r="S83" s="360"/>
      <c r="T83" s="360"/>
      <c r="U83" s="360"/>
      <c r="V83" s="360"/>
      <c r="W83" s="360"/>
      <c r="X83" s="545" t="s">
        <v>400</v>
      </c>
      <c r="Y83" s="545"/>
      <c r="Z83" s="360"/>
      <c r="AA83" s="360"/>
      <c r="AB83" s="360"/>
      <c r="AC83" s="360"/>
      <c r="AD83" s="360"/>
      <c r="AE83" s="371"/>
    </row>
    <row r="84" spans="1:31" s="204" customFormat="1" x14ac:dyDescent="0.2">
      <c r="A84" s="553"/>
      <c r="B84" s="408"/>
      <c r="C84" s="360"/>
      <c r="D84" s="360"/>
      <c r="E84" s="360"/>
      <c r="F84" s="360"/>
      <c r="G84" s="360"/>
      <c r="H84" s="362"/>
      <c r="I84" s="360"/>
      <c r="J84" s="362"/>
      <c r="K84" s="360"/>
      <c r="L84" s="360"/>
      <c r="M84" s="360"/>
      <c r="N84" s="360"/>
      <c r="O84" s="360"/>
      <c r="P84" s="360"/>
      <c r="Q84" s="369"/>
      <c r="R84" s="360"/>
      <c r="S84" s="360"/>
      <c r="T84" s="360"/>
      <c r="U84" s="362"/>
      <c r="V84" s="397" t="s">
        <v>228</v>
      </c>
      <c r="W84" s="362"/>
      <c r="X84" s="362"/>
      <c r="Y84" s="369"/>
      <c r="Z84" s="362"/>
      <c r="AA84" s="397" t="s">
        <v>228</v>
      </c>
      <c r="AB84" s="362"/>
      <c r="AC84" s="362"/>
      <c r="AD84" s="360"/>
      <c r="AE84" s="371"/>
    </row>
    <row r="85" spans="1:31" s="204" customFormat="1" x14ac:dyDescent="0.2">
      <c r="A85" s="553"/>
      <c r="B85" s="360"/>
      <c r="C85" s="360"/>
      <c r="D85" s="360"/>
      <c r="E85" s="360"/>
      <c r="F85" s="360"/>
      <c r="G85" s="360"/>
      <c r="H85" s="362"/>
      <c r="I85" s="360"/>
      <c r="J85" s="362"/>
      <c r="K85" s="360"/>
      <c r="L85" s="360"/>
      <c r="M85" s="360"/>
      <c r="N85" s="360"/>
      <c r="O85" s="360"/>
      <c r="P85" s="360"/>
      <c r="Q85" s="369"/>
      <c r="R85" s="360"/>
      <c r="S85" s="360"/>
      <c r="T85" s="360"/>
      <c r="U85" s="360"/>
      <c r="V85" s="360"/>
      <c r="W85" s="360"/>
      <c r="X85" s="360"/>
      <c r="Y85" s="369"/>
      <c r="Z85" s="360"/>
      <c r="AA85" s="360"/>
      <c r="AB85" s="360"/>
      <c r="AC85" s="360"/>
      <c r="AD85" s="360"/>
      <c r="AE85" s="371"/>
    </row>
    <row r="86" spans="1:31" s="204" customFormat="1" x14ac:dyDescent="0.2">
      <c r="A86" s="553"/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9"/>
      <c r="R86" s="360"/>
      <c r="S86" s="360"/>
      <c r="T86" s="375" t="s">
        <v>230</v>
      </c>
      <c r="U86" s="360"/>
      <c r="V86" s="362" t="s">
        <v>224</v>
      </c>
      <c r="W86" s="401"/>
      <c r="X86" s="401"/>
      <c r="Y86" s="403" t="s">
        <v>230</v>
      </c>
      <c r="Z86" s="360"/>
      <c r="AA86" s="362" t="s">
        <v>229</v>
      </c>
      <c r="AB86" s="401"/>
      <c r="AC86" s="401"/>
      <c r="AD86" s="360"/>
      <c r="AE86" s="371"/>
    </row>
    <row r="87" spans="1:31" s="204" customFormat="1" x14ac:dyDescent="0.2">
      <c r="A87" s="553"/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9"/>
      <c r="R87" s="360"/>
      <c r="S87" s="360"/>
      <c r="T87" s="375" t="s">
        <v>231</v>
      </c>
      <c r="U87" s="379" t="s">
        <v>155</v>
      </c>
      <c r="V87" s="379" t="s">
        <v>225</v>
      </c>
      <c r="W87" s="379" t="s">
        <v>226</v>
      </c>
      <c r="X87" s="379" t="s">
        <v>119</v>
      </c>
      <c r="Y87" s="403" t="s">
        <v>231</v>
      </c>
      <c r="Z87" s="379" t="s">
        <v>155</v>
      </c>
      <c r="AA87" s="379" t="s">
        <v>225</v>
      </c>
      <c r="AB87" s="379" t="s">
        <v>226</v>
      </c>
      <c r="AC87" s="379" t="s">
        <v>119</v>
      </c>
      <c r="AD87" s="360"/>
      <c r="AE87" s="371"/>
    </row>
    <row r="88" spans="1:31" s="204" customFormat="1" x14ac:dyDescent="0.2">
      <c r="A88" s="553"/>
      <c r="B88" s="360"/>
      <c r="C88" s="360"/>
      <c r="D88" s="360"/>
      <c r="E88" s="360"/>
      <c r="F88" s="360"/>
      <c r="G88" s="360"/>
      <c r="H88" s="362"/>
      <c r="I88" s="360"/>
      <c r="J88" s="362"/>
      <c r="K88" s="360"/>
      <c r="L88" s="360"/>
      <c r="M88" s="360"/>
      <c r="N88" s="360"/>
      <c r="O88" s="360"/>
      <c r="P88" s="360"/>
      <c r="Q88" s="369"/>
      <c r="R88" s="360"/>
      <c r="S88" s="360"/>
      <c r="T88" s="360"/>
      <c r="U88" s="360"/>
      <c r="V88" s="360"/>
      <c r="W88" s="360"/>
      <c r="X88" s="360"/>
      <c r="Y88" s="369"/>
      <c r="Z88" s="360"/>
      <c r="AA88" s="360"/>
      <c r="AB88" s="360"/>
      <c r="AC88" s="360"/>
      <c r="AD88" s="360"/>
      <c r="AE88" s="371"/>
    </row>
    <row r="89" spans="1:31" s="204" customFormat="1" x14ac:dyDescent="0.2">
      <c r="A89" s="553"/>
      <c r="B89" s="360"/>
      <c r="C89" s="360"/>
      <c r="D89" s="360"/>
      <c r="E89" s="360"/>
      <c r="F89" s="360"/>
      <c r="G89" s="360"/>
      <c r="H89" s="360"/>
      <c r="I89" s="360"/>
      <c r="J89" s="362"/>
      <c r="K89" s="360"/>
      <c r="L89" s="360"/>
      <c r="M89" s="360"/>
      <c r="N89" s="360"/>
      <c r="O89" s="360"/>
      <c r="P89" s="360"/>
      <c r="Q89" s="369"/>
      <c r="R89" s="360"/>
      <c r="S89" s="360"/>
      <c r="T89" s="362">
        <v>40</v>
      </c>
      <c r="U89" s="362">
        <v>22</v>
      </c>
      <c r="V89" s="362">
        <v>22</v>
      </c>
      <c r="W89" s="362">
        <v>22</v>
      </c>
      <c r="X89" s="362">
        <v>24</v>
      </c>
      <c r="Y89" s="544" t="s">
        <v>232</v>
      </c>
      <c r="Z89" s="362">
        <v>4</v>
      </c>
      <c r="AA89" s="362">
        <v>6</v>
      </c>
      <c r="AB89" s="362">
        <v>6</v>
      </c>
      <c r="AC89" s="362">
        <v>8</v>
      </c>
      <c r="AD89" s="360"/>
      <c r="AE89" s="371"/>
    </row>
    <row r="90" spans="1:31" s="204" customFormat="1" x14ac:dyDescent="0.2">
      <c r="A90" s="553"/>
      <c r="B90" s="360"/>
      <c r="C90" s="360"/>
      <c r="D90" s="360"/>
      <c r="E90" s="360"/>
      <c r="F90" s="360"/>
      <c r="G90" s="360"/>
      <c r="H90" s="362"/>
      <c r="I90" s="360"/>
      <c r="J90" s="360"/>
      <c r="K90" s="360"/>
      <c r="L90" s="360"/>
      <c r="M90" s="360"/>
      <c r="N90" s="360"/>
      <c r="O90" s="360"/>
      <c r="P90" s="360"/>
      <c r="Q90" s="369"/>
      <c r="R90" s="360"/>
      <c r="S90" s="360"/>
      <c r="T90" s="362">
        <v>45</v>
      </c>
      <c r="U90" s="362">
        <v>22</v>
      </c>
      <c r="V90" s="362">
        <v>22</v>
      </c>
      <c r="W90" s="362">
        <v>22</v>
      </c>
      <c r="X90" s="362">
        <v>24</v>
      </c>
      <c r="Y90" s="544"/>
      <c r="Z90" s="362"/>
      <c r="AA90" s="362"/>
      <c r="AB90" s="362"/>
      <c r="AC90" s="362"/>
      <c r="AD90" s="360"/>
      <c r="AE90" s="371"/>
    </row>
    <row r="91" spans="1:31" s="204" customFormat="1" x14ac:dyDescent="0.2">
      <c r="A91" s="553"/>
      <c r="B91" s="360"/>
      <c r="C91" s="360"/>
      <c r="D91" s="360"/>
      <c r="E91" s="360"/>
      <c r="F91" s="360"/>
      <c r="G91" s="360"/>
      <c r="H91" s="360"/>
      <c r="I91" s="360"/>
      <c r="J91" s="362"/>
      <c r="K91" s="360"/>
      <c r="L91" s="360"/>
      <c r="M91" s="360"/>
      <c r="N91" s="360"/>
      <c r="O91" s="360"/>
      <c r="P91" s="360"/>
      <c r="Q91" s="369"/>
      <c r="R91" s="360"/>
      <c r="S91" s="360"/>
      <c r="T91" s="362">
        <v>50</v>
      </c>
      <c r="U91" s="362">
        <v>22</v>
      </c>
      <c r="V91" s="362">
        <v>22</v>
      </c>
      <c r="W91" s="362">
        <v>24</v>
      </c>
      <c r="X91" s="362">
        <v>24</v>
      </c>
      <c r="Y91" s="369"/>
      <c r="Z91" s="362"/>
      <c r="AA91" s="362"/>
      <c r="AB91" s="362"/>
      <c r="AC91" s="362"/>
      <c r="AD91" s="360"/>
      <c r="AE91" s="371"/>
    </row>
    <row r="92" spans="1:31" s="204" customFormat="1" x14ac:dyDescent="0.2">
      <c r="A92" s="553"/>
      <c r="B92" s="360"/>
      <c r="C92" s="360"/>
      <c r="D92" s="409"/>
      <c r="E92" s="409"/>
      <c r="F92" s="410"/>
      <c r="G92" s="411"/>
      <c r="H92" s="409"/>
      <c r="I92" s="412"/>
      <c r="J92" s="360"/>
      <c r="K92" s="360"/>
      <c r="L92" s="360"/>
      <c r="M92" s="360"/>
      <c r="N92" s="360"/>
      <c r="O92" s="360"/>
      <c r="P92" s="360"/>
      <c r="Q92" s="369"/>
      <c r="R92" s="360"/>
      <c r="S92" s="360"/>
      <c r="T92" s="362">
        <v>55</v>
      </c>
      <c r="U92" s="362">
        <v>22</v>
      </c>
      <c r="V92" s="362">
        <v>22</v>
      </c>
      <c r="W92" s="362">
        <v>24</v>
      </c>
      <c r="X92" s="362">
        <v>24</v>
      </c>
      <c r="Y92" s="369"/>
      <c r="Z92" s="362"/>
      <c r="AA92" s="362"/>
      <c r="AB92" s="362"/>
      <c r="AC92" s="362"/>
      <c r="AD92" s="360"/>
      <c r="AE92" s="371"/>
    </row>
    <row r="93" spans="1:31" s="204" customFormat="1" x14ac:dyDescent="0.2">
      <c r="A93" s="553"/>
      <c r="B93" s="360"/>
      <c r="C93" s="360"/>
      <c r="D93" s="360"/>
      <c r="E93" s="409"/>
      <c r="F93" s="409"/>
      <c r="G93" s="409"/>
      <c r="H93" s="409"/>
      <c r="I93" s="412"/>
      <c r="J93" s="362"/>
      <c r="K93" s="360"/>
      <c r="L93" s="360"/>
      <c r="M93" s="360"/>
      <c r="N93" s="360"/>
      <c r="O93" s="360"/>
      <c r="P93" s="360"/>
      <c r="Q93" s="369"/>
      <c r="R93" s="360"/>
      <c r="S93" s="360"/>
      <c r="T93" s="362">
        <v>60</v>
      </c>
      <c r="U93" s="362">
        <v>24</v>
      </c>
      <c r="V93" s="362">
        <v>24</v>
      </c>
      <c r="W93" s="362">
        <v>24</v>
      </c>
      <c r="X93" s="362">
        <v>24</v>
      </c>
      <c r="Y93" s="369"/>
      <c r="Z93" s="362"/>
      <c r="AA93" s="362"/>
      <c r="AB93" s="362"/>
      <c r="AC93" s="362"/>
      <c r="AD93" s="360"/>
      <c r="AE93" s="371"/>
    </row>
    <row r="94" spans="1:31" s="204" customFormat="1" x14ac:dyDescent="0.2">
      <c r="A94" s="553"/>
      <c r="B94" s="360"/>
      <c r="C94" s="360"/>
      <c r="D94" s="360"/>
      <c r="E94" s="360"/>
      <c r="F94" s="360"/>
      <c r="G94" s="360"/>
      <c r="H94" s="362"/>
      <c r="I94" s="360"/>
      <c r="J94" s="362"/>
      <c r="K94" s="360"/>
      <c r="L94" s="360"/>
      <c r="M94" s="360"/>
      <c r="N94" s="360"/>
      <c r="O94" s="360"/>
      <c r="P94" s="360"/>
      <c r="Q94" s="369"/>
      <c r="R94" s="360"/>
      <c r="S94" s="360"/>
      <c r="T94" s="362">
        <v>65</v>
      </c>
      <c r="U94" s="362">
        <v>24</v>
      </c>
      <c r="V94" s="362">
        <v>24</v>
      </c>
      <c r="W94" s="362">
        <v>24</v>
      </c>
      <c r="X94" s="362">
        <v>24</v>
      </c>
      <c r="Y94" s="369"/>
      <c r="Z94" s="362"/>
      <c r="AA94" s="362"/>
      <c r="AB94" s="362"/>
      <c r="AC94" s="362"/>
      <c r="AD94" s="360"/>
      <c r="AE94" s="371"/>
    </row>
    <row r="95" spans="1:31" s="204" customFormat="1" x14ac:dyDescent="0.2">
      <c r="A95" s="553"/>
      <c r="B95" s="360"/>
      <c r="C95" s="401"/>
      <c r="D95" s="360"/>
      <c r="E95" s="360"/>
      <c r="F95" s="360"/>
      <c r="G95" s="360"/>
      <c r="H95" s="360"/>
      <c r="I95" s="360"/>
      <c r="J95" s="362"/>
      <c r="K95" s="360"/>
      <c r="L95" s="360"/>
      <c r="M95" s="360"/>
      <c r="N95" s="360"/>
      <c r="O95" s="360"/>
      <c r="P95" s="360"/>
      <c r="Q95" s="369"/>
      <c r="R95" s="360"/>
      <c r="S95" s="360"/>
      <c r="T95" s="362">
        <v>70</v>
      </c>
      <c r="U95" s="362">
        <v>24</v>
      </c>
      <c r="V95" s="362">
        <v>24</v>
      </c>
      <c r="W95" s="362">
        <v>24</v>
      </c>
      <c r="X95" s="362">
        <v>24</v>
      </c>
      <c r="Y95" s="369"/>
      <c r="Z95" s="362"/>
      <c r="AA95" s="362"/>
      <c r="AB95" s="362"/>
      <c r="AC95" s="362"/>
      <c r="AD95" s="360"/>
      <c r="AE95" s="371"/>
    </row>
    <row r="96" spans="1:31" s="315" customFormat="1" x14ac:dyDescent="0.2">
      <c r="A96" s="401"/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401"/>
      <c r="Q96" s="413"/>
      <c r="R96" s="414"/>
      <c r="S96" s="390"/>
      <c r="T96" s="390"/>
      <c r="U96" s="390"/>
      <c r="V96" s="390"/>
      <c r="W96" s="390"/>
      <c r="X96" s="390"/>
      <c r="Y96" s="414"/>
      <c r="Z96" s="414"/>
      <c r="AA96" s="414"/>
      <c r="AB96" s="414"/>
      <c r="AC96" s="414"/>
      <c r="AD96" s="414"/>
      <c r="AE96" s="415"/>
    </row>
    <row r="97" spans="1:18" s="315" customFormat="1" x14ac:dyDescent="0.2">
      <c r="A97" s="360"/>
      <c r="B97" s="360"/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204"/>
      <c r="R97" s="204"/>
    </row>
    <row r="98" spans="1:18" x14ac:dyDescent="0.2">
      <c r="C98" s="228"/>
      <c r="D98" s="228"/>
      <c r="E98" s="228"/>
      <c r="F98" s="228"/>
      <c r="G98" s="228"/>
      <c r="H98" s="228"/>
      <c r="I98" s="228"/>
      <c r="J98" s="229"/>
      <c r="K98" s="228"/>
      <c r="L98" s="228"/>
      <c r="M98" s="228"/>
      <c r="N98" s="228"/>
      <c r="O98" s="228"/>
      <c r="P98" s="227"/>
      <c r="Q98" s="227"/>
      <c r="R98" s="211"/>
    </row>
    <row r="99" spans="1:18" x14ac:dyDescent="0.2">
      <c r="B99" s="228"/>
      <c r="C99" s="228"/>
      <c r="D99" s="228"/>
      <c r="E99" s="228"/>
      <c r="F99" s="228"/>
      <c r="G99" s="228"/>
      <c r="H99" s="228"/>
      <c r="I99" s="229"/>
      <c r="J99" s="228"/>
      <c r="K99" s="228"/>
      <c r="L99" s="228"/>
      <c r="M99" s="228"/>
      <c r="N99" s="228"/>
      <c r="O99" s="227"/>
      <c r="P99" s="227"/>
      <c r="Q99" s="211"/>
    </row>
    <row r="100" spans="1:18" x14ac:dyDescent="0.2">
      <c r="B100" s="228"/>
      <c r="C100" s="228"/>
      <c r="D100" s="228"/>
      <c r="E100" s="228"/>
      <c r="F100" s="228"/>
      <c r="G100" s="228"/>
      <c r="H100" s="228"/>
      <c r="I100" s="229"/>
      <c r="J100" s="228"/>
      <c r="K100" s="228"/>
      <c r="L100" s="228"/>
      <c r="M100" s="228"/>
      <c r="N100" s="228"/>
      <c r="O100" s="227"/>
      <c r="P100" s="227"/>
      <c r="Q100" s="211"/>
    </row>
    <row r="101" spans="1:18" x14ac:dyDescent="0.2">
      <c r="B101" s="228"/>
      <c r="C101" s="228"/>
      <c r="D101" s="228"/>
      <c r="E101" s="228"/>
      <c r="F101" s="228"/>
      <c r="G101" s="228"/>
      <c r="H101" s="228"/>
      <c r="I101" s="229"/>
      <c r="J101" s="228"/>
      <c r="K101" s="228"/>
      <c r="L101" s="228"/>
      <c r="M101" s="228"/>
      <c r="N101" s="228"/>
      <c r="O101" s="227"/>
      <c r="P101" s="227"/>
      <c r="Q101" s="211"/>
    </row>
    <row r="102" spans="1:18" x14ac:dyDescent="0.2">
      <c r="B102" s="228"/>
      <c r="C102" s="228"/>
      <c r="D102" s="283"/>
      <c r="E102" s="283"/>
      <c r="F102" s="283"/>
      <c r="G102" s="283"/>
      <c r="H102" s="283"/>
      <c r="I102" s="283"/>
      <c r="J102" s="283"/>
      <c r="K102" s="228"/>
      <c r="L102" s="228"/>
      <c r="M102" s="228"/>
      <c r="N102" s="228"/>
    </row>
    <row r="103" spans="1:18" x14ac:dyDescent="0.2">
      <c r="B103" s="554" t="s">
        <v>331</v>
      </c>
      <c r="C103" s="554"/>
      <c r="D103" s="554"/>
      <c r="E103" s="554"/>
      <c r="F103" s="554"/>
      <c r="G103" s="557" t="s">
        <v>222</v>
      </c>
      <c r="H103" s="557"/>
      <c r="I103" s="557"/>
      <c r="J103" s="557"/>
      <c r="K103" s="557"/>
      <c r="L103" s="554" t="s">
        <v>157</v>
      </c>
      <c r="M103" s="554"/>
      <c r="N103" s="554"/>
      <c r="O103" s="554"/>
      <c r="P103" s="211"/>
    </row>
    <row r="104" spans="1:18" x14ac:dyDescent="0.2">
      <c r="B104" s="560" t="s">
        <v>474</v>
      </c>
      <c r="C104" s="560"/>
      <c r="D104" s="283"/>
      <c r="E104" s="283"/>
      <c r="F104" s="283"/>
      <c r="G104" s="560" t="s">
        <v>474</v>
      </c>
      <c r="H104" s="560"/>
      <c r="I104" s="283"/>
      <c r="J104" s="228"/>
      <c r="K104" s="228"/>
      <c r="L104" s="560" t="s">
        <v>303</v>
      </c>
      <c r="M104" s="560"/>
      <c r="N104" s="227"/>
      <c r="O104" s="211"/>
      <c r="P104" s="211"/>
    </row>
    <row r="105" spans="1:18" x14ac:dyDescent="0.2">
      <c r="B105" s="284">
        <f>Geometry!S143</f>
        <v>7</v>
      </c>
      <c r="C105" s="285" t="s">
        <v>296</v>
      </c>
      <c r="D105" s="227"/>
      <c r="E105" s="286"/>
      <c r="F105" s="228"/>
      <c r="G105" s="284">
        <f>Geometry!T167</f>
        <v>0</v>
      </c>
      <c r="H105" s="287" t="s">
        <v>334</v>
      </c>
      <c r="I105" s="228"/>
      <c r="J105" s="228"/>
      <c r="K105" s="228"/>
      <c r="L105" s="288">
        <f>Geometry!AA189</f>
        <v>0</v>
      </c>
      <c r="M105" s="287" t="s">
        <v>295</v>
      </c>
      <c r="N105" s="215"/>
      <c r="O105" s="215"/>
      <c r="P105" s="215"/>
    </row>
    <row r="106" spans="1:18" x14ac:dyDescent="0.2">
      <c r="B106" s="289">
        <f>IF(Geometry!K153*E120&gt;5,5,Geometry!K153*E120)</f>
        <v>0</v>
      </c>
      <c r="C106" s="286" t="s">
        <v>297</v>
      </c>
      <c r="D106" s="290"/>
      <c r="E106" s="291"/>
      <c r="F106" s="291"/>
      <c r="G106" s="289">
        <f>IF(Geometry!K181*J120&gt;5,5,Geometry!K181*J120)</f>
        <v>0</v>
      </c>
      <c r="H106" s="286" t="s">
        <v>297</v>
      </c>
      <c r="I106" s="228"/>
      <c r="J106" s="290"/>
      <c r="K106" s="228"/>
      <c r="L106" s="289">
        <f>IF(Geometry!J232*N120&gt;5,5,Geometry!J232*N120)</f>
        <v>0</v>
      </c>
      <c r="M106" s="286" t="s">
        <v>297</v>
      </c>
      <c r="N106" s="228"/>
    </row>
    <row r="107" spans="1:18" x14ac:dyDescent="0.2">
      <c r="B107" s="292"/>
      <c r="C107" s="286"/>
      <c r="D107" s="293"/>
      <c r="E107" s="228"/>
      <c r="F107" s="238"/>
      <c r="G107" s="287"/>
      <c r="H107" s="294"/>
      <c r="I107" s="228"/>
      <c r="J107" s="312"/>
      <c r="K107" s="228"/>
      <c r="L107" s="228"/>
      <c r="M107" s="227"/>
      <c r="N107" s="227"/>
      <c r="O107" s="211"/>
      <c r="P107" s="211"/>
    </row>
    <row r="108" spans="1:18" x14ac:dyDescent="0.2">
      <c r="B108" s="285" t="s">
        <v>144</v>
      </c>
      <c r="C108" s="285" t="s">
        <v>147</v>
      </c>
      <c r="D108" s="286" t="s">
        <v>300</v>
      </c>
      <c r="E108" s="216" t="s">
        <v>298</v>
      </c>
      <c r="F108" s="216"/>
      <c r="G108" s="285" t="s">
        <v>144</v>
      </c>
      <c r="H108" s="285" t="s">
        <v>147</v>
      </c>
      <c r="I108" s="285" t="s">
        <v>300</v>
      </c>
      <c r="J108" s="216" t="s">
        <v>298</v>
      </c>
      <c r="K108" s="216"/>
      <c r="L108" s="285" t="s">
        <v>144</v>
      </c>
      <c r="M108" s="285" t="s">
        <v>300</v>
      </c>
      <c r="N108" s="216" t="s">
        <v>298</v>
      </c>
      <c r="O108" s="216"/>
      <c r="P108" s="216"/>
    </row>
    <row r="109" spans="1:18" ht="13.5" thickBot="1" x14ac:dyDescent="0.25">
      <c r="B109" s="295" t="s">
        <v>160</v>
      </c>
      <c r="C109" s="296" t="s">
        <v>165</v>
      </c>
      <c r="D109" s="286" t="s">
        <v>159</v>
      </c>
      <c r="E109" s="217" t="s">
        <v>299</v>
      </c>
      <c r="F109" s="217"/>
      <c r="G109" s="295" t="s">
        <v>162</v>
      </c>
      <c r="H109" s="296" t="s">
        <v>165</v>
      </c>
      <c r="I109" s="295" t="s">
        <v>162</v>
      </c>
      <c r="J109" s="217" t="s">
        <v>299</v>
      </c>
      <c r="K109" s="217"/>
      <c r="L109" s="295" t="s">
        <v>148</v>
      </c>
      <c r="M109" s="295" t="s">
        <v>148</v>
      </c>
      <c r="N109" s="217" t="s">
        <v>299</v>
      </c>
      <c r="O109" s="217"/>
      <c r="P109" s="217"/>
    </row>
    <row r="110" spans="1:18" ht="13.5" thickTop="1" x14ac:dyDescent="0.2">
      <c r="B110" s="416">
        <f>D24</f>
        <v>0</v>
      </c>
      <c r="C110" s="417">
        <f>E24</f>
        <v>0</v>
      </c>
      <c r="D110" s="418">
        <f>F24</f>
        <v>0</v>
      </c>
      <c r="E110" s="297" t="str">
        <f>IF(AND(D110&lt;=B110,B110&gt;B105,D110&lt;&gt;0),F110*(C110/C120),"")</f>
        <v/>
      </c>
      <c r="F110" s="298">
        <f>IF(D110&lt;B105,1,(B110-D110)/(B110-B105))</f>
        <v>1</v>
      </c>
      <c r="G110" s="416">
        <f>H24</f>
        <v>0</v>
      </c>
      <c r="H110" s="417">
        <f>I24</f>
        <v>0</v>
      </c>
      <c r="I110" s="418">
        <f>J24</f>
        <v>0</v>
      </c>
      <c r="J110" s="297" t="str">
        <f>IF(AND(I110&gt;=G110,G110&lt;G105,I110&lt;&gt;0),K110*(H110/H120),"")</f>
        <v/>
      </c>
      <c r="K110" s="298" t="e">
        <f>IF(I110&gt;G105,1,(G110-I110)/(G110-G105))</f>
        <v>#DIV/0!</v>
      </c>
      <c r="L110" s="416">
        <f>L24</f>
        <v>0</v>
      </c>
      <c r="M110" s="419">
        <f>M24</f>
        <v>0</v>
      </c>
      <c r="N110" s="297" t="str">
        <f>IF(AND(M110&gt;=L110,L110&lt;L105,M110&lt;&gt;0),O110,"")</f>
        <v/>
      </c>
      <c r="O110" s="298" t="e">
        <f>IF(M110&gt;L105,1,(M110-L110)/(L105-L110))</f>
        <v>#DIV/0!</v>
      </c>
      <c r="P110" s="218"/>
    </row>
    <row r="111" spans="1:18" x14ac:dyDescent="0.2">
      <c r="B111" s="420">
        <f t="shared" ref="B111:D119" si="0">D25</f>
        <v>0</v>
      </c>
      <c r="C111" s="421">
        <f t="shared" si="0"/>
        <v>0</v>
      </c>
      <c r="D111" s="422">
        <f t="shared" si="0"/>
        <v>0</v>
      </c>
      <c r="E111" s="299" t="str">
        <f>IF(AND(D111&lt;=B111,B111&gt;B105,D111&lt;&gt;0),F111*(C111/C120),"")</f>
        <v/>
      </c>
      <c r="F111" s="300">
        <f>IF(D111&lt;B105,1,(B111-D111)/(B111-B105))</f>
        <v>1</v>
      </c>
      <c r="G111" s="420">
        <f t="shared" ref="G111:I119" si="1">H25</f>
        <v>0</v>
      </c>
      <c r="H111" s="421">
        <f t="shared" si="1"/>
        <v>0</v>
      </c>
      <c r="I111" s="422">
        <f t="shared" si="1"/>
        <v>0</v>
      </c>
      <c r="J111" s="299" t="str">
        <f>IF(AND(I111&gt;=G111,G111&lt;G105,I111&lt;&gt;0),K111*(H111/H120),"")</f>
        <v/>
      </c>
      <c r="K111" s="300" t="e">
        <f>IF(I111&gt;G105,1,(G111-I111)/(G111-G105))</f>
        <v>#DIV/0!</v>
      </c>
      <c r="L111" s="420">
        <f t="shared" ref="L111:M119" si="2">L25</f>
        <v>0</v>
      </c>
      <c r="M111" s="423">
        <f t="shared" si="2"/>
        <v>0</v>
      </c>
      <c r="N111" s="299" t="str">
        <f>IF(AND(M111&gt;=L111,L111&lt;L105,M111&lt;&gt;0),O111,"")</f>
        <v/>
      </c>
      <c r="O111" s="300" t="e">
        <f>IF(M111&gt;L105,1,(M111-L111)/(L105-L111))</f>
        <v>#DIV/0!</v>
      </c>
      <c r="P111" s="218"/>
    </row>
    <row r="112" spans="1:18" x14ac:dyDescent="0.2">
      <c r="B112" s="420">
        <f t="shared" si="0"/>
        <v>0</v>
      </c>
      <c r="C112" s="421">
        <f t="shared" si="0"/>
        <v>0</v>
      </c>
      <c r="D112" s="422">
        <f t="shared" si="0"/>
        <v>0</v>
      </c>
      <c r="E112" s="299" t="str">
        <f>IF(AND(D112&lt;=B112,B112&gt;B105,D112&lt;&gt;0),F112*(C112/C120),"")</f>
        <v/>
      </c>
      <c r="F112" s="300">
        <f>IF(D112&lt;B105,1,(B112-D112)/(B112-B105))</f>
        <v>1</v>
      </c>
      <c r="G112" s="420">
        <f t="shared" si="1"/>
        <v>0</v>
      </c>
      <c r="H112" s="421">
        <f t="shared" si="1"/>
        <v>0</v>
      </c>
      <c r="I112" s="422">
        <f t="shared" si="1"/>
        <v>0</v>
      </c>
      <c r="J112" s="299" t="str">
        <f>IF(AND(I112&gt;=G112,G112&lt;G105,I112&lt;&gt;0),K112*(H112/H120),"")</f>
        <v/>
      </c>
      <c r="K112" s="300" t="e">
        <f>IF(I112&gt;G105,1,(G112-I112)/(G112-G105))</f>
        <v>#DIV/0!</v>
      </c>
      <c r="L112" s="420">
        <f t="shared" si="2"/>
        <v>0</v>
      </c>
      <c r="M112" s="423">
        <f t="shared" si="2"/>
        <v>0</v>
      </c>
      <c r="N112" s="299" t="str">
        <f>IF(AND(M112&gt;=L112,L112&lt;L105,M112&lt;&gt;0),O112,"")</f>
        <v/>
      </c>
      <c r="O112" s="300" t="e">
        <f>IF(M112&gt;L105,1,(M112-L112)/(L105-L112))</f>
        <v>#DIV/0!</v>
      </c>
      <c r="P112" s="218"/>
    </row>
    <row r="113" spans="2:18" x14ac:dyDescent="0.2">
      <c r="B113" s="420">
        <f t="shared" si="0"/>
        <v>0</v>
      </c>
      <c r="C113" s="421">
        <f t="shared" si="0"/>
        <v>0</v>
      </c>
      <c r="D113" s="422">
        <f t="shared" si="0"/>
        <v>0</v>
      </c>
      <c r="E113" s="299" t="str">
        <f>IF(AND(D113&lt;=B113,B113&gt;B105,D113&lt;&gt;0),F113*(C113/C120),"")</f>
        <v/>
      </c>
      <c r="F113" s="300">
        <f>IF(D113&lt;B105,1,(B113-D113)/(B113-B105))</f>
        <v>1</v>
      </c>
      <c r="G113" s="420">
        <f t="shared" si="1"/>
        <v>0</v>
      </c>
      <c r="H113" s="421">
        <f t="shared" si="1"/>
        <v>0</v>
      </c>
      <c r="I113" s="422">
        <f t="shared" si="1"/>
        <v>0</v>
      </c>
      <c r="J113" s="299" t="str">
        <f>IF(AND(I113&gt;=G113,G113&lt;G105,I113&lt;&gt;0),K113*(H113/H120),"")</f>
        <v/>
      </c>
      <c r="K113" s="300" t="e">
        <f>IF(I113&gt;G105,1,(G113-I113)/(G113-G105))</f>
        <v>#DIV/0!</v>
      </c>
      <c r="L113" s="420">
        <f t="shared" si="2"/>
        <v>0</v>
      </c>
      <c r="M113" s="423">
        <f t="shared" si="2"/>
        <v>0</v>
      </c>
      <c r="N113" s="299" t="str">
        <f>IF(AND(M113&gt;=L113,L113&lt;L105,M113&lt;&gt;0),O113,"")</f>
        <v/>
      </c>
      <c r="O113" s="300" t="e">
        <f>IF(M113&gt;L105,1,(M113-L113)/(L105-L113))</f>
        <v>#DIV/0!</v>
      </c>
      <c r="P113" s="218"/>
    </row>
    <row r="114" spans="2:18" x14ac:dyDescent="0.2">
      <c r="B114" s="420">
        <f t="shared" si="0"/>
        <v>0</v>
      </c>
      <c r="C114" s="421">
        <f t="shared" si="0"/>
        <v>0</v>
      </c>
      <c r="D114" s="422">
        <f t="shared" si="0"/>
        <v>0</v>
      </c>
      <c r="E114" s="299" t="str">
        <f>IF(AND(D114&lt;=B114,B114&gt;B105,D114&lt;&gt;0),F114*(C114/C120),"")</f>
        <v/>
      </c>
      <c r="F114" s="300">
        <f>IF(D114&lt;B105,1,(B114-D114)/(B114-B105))</f>
        <v>1</v>
      </c>
      <c r="G114" s="420">
        <f t="shared" si="1"/>
        <v>0</v>
      </c>
      <c r="H114" s="421">
        <f t="shared" si="1"/>
        <v>0</v>
      </c>
      <c r="I114" s="422">
        <f t="shared" si="1"/>
        <v>0</v>
      </c>
      <c r="J114" s="299" t="str">
        <f>IF(AND(I114&gt;=G114,G114&lt;G105,I114&lt;&gt;0),K114*(H114/H120),"")</f>
        <v/>
      </c>
      <c r="K114" s="300" t="e">
        <f>IF(I114&gt;G105,1,(G114-I114)/(G114-G105))</f>
        <v>#DIV/0!</v>
      </c>
      <c r="L114" s="420">
        <f t="shared" si="2"/>
        <v>0</v>
      </c>
      <c r="M114" s="423">
        <f t="shared" si="2"/>
        <v>0</v>
      </c>
      <c r="N114" s="299" t="str">
        <f>IF(AND(M114&gt;=L114,L114&lt;L105,M114&lt;&gt;0),O114,"")</f>
        <v/>
      </c>
      <c r="O114" s="300" t="e">
        <f>IF(M114&gt;L105,1,(M114-L114)/(L105-L114))</f>
        <v>#DIV/0!</v>
      </c>
      <c r="P114" s="218"/>
    </row>
    <row r="115" spans="2:18" x14ac:dyDescent="0.2">
      <c r="B115" s="420">
        <f t="shared" si="0"/>
        <v>0</v>
      </c>
      <c r="C115" s="421">
        <f t="shared" si="0"/>
        <v>0</v>
      </c>
      <c r="D115" s="422">
        <f t="shared" si="0"/>
        <v>0</v>
      </c>
      <c r="E115" s="299" t="str">
        <f>IF(AND(D115&lt;=B115,B115&gt;B105,D115&lt;&gt;0),F115*(C115/C120),"")</f>
        <v/>
      </c>
      <c r="F115" s="300">
        <f>IF(D115&lt;B105,1,(B115-D115)/(B115-B105))</f>
        <v>1</v>
      </c>
      <c r="G115" s="420">
        <f t="shared" si="1"/>
        <v>0</v>
      </c>
      <c r="H115" s="421">
        <f t="shared" si="1"/>
        <v>0</v>
      </c>
      <c r="I115" s="422">
        <f t="shared" si="1"/>
        <v>0</v>
      </c>
      <c r="J115" s="299" t="str">
        <f>IF(AND(I115&gt;=G115,G115&lt;G105,I115&lt;&gt;0),K115*(H115/H120),"")</f>
        <v/>
      </c>
      <c r="K115" s="300" t="e">
        <f>IF(I115&gt;G105,1,(G115-I115)/(G115-G105))</f>
        <v>#DIV/0!</v>
      </c>
      <c r="L115" s="420">
        <f t="shared" si="2"/>
        <v>0</v>
      </c>
      <c r="M115" s="423">
        <f t="shared" si="2"/>
        <v>0</v>
      </c>
      <c r="N115" s="299" t="str">
        <f>IF(AND(M115&gt;=L115,L115&lt;L105,M115&lt;&gt;0),O115,"")</f>
        <v/>
      </c>
      <c r="O115" s="300" t="e">
        <f>IF(M115&gt;L105,1,(M115-L115)/(L105-L115))</f>
        <v>#DIV/0!</v>
      </c>
      <c r="P115" s="218"/>
    </row>
    <row r="116" spans="2:18" x14ac:dyDescent="0.2">
      <c r="B116" s="420">
        <f t="shared" si="0"/>
        <v>0</v>
      </c>
      <c r="C116" s="421">
        <f t="shared" si="0"/>
        <v>0</v>
      </c>
      <c r="D116" s="422">
        <f t="shared" si="0"/>
        <v>0</v>
      </c>
      <c r="E116" s="299" t="str">
        <f>IF(AND(D116&lt;=B116,B116&gt;B105,D116&lt;&gt;0),F116*(C116/C120),"")</f>
        <v/>
      </c>
      <c r="F116" s="300">
        <f>IF(D116&lt;B105,1,(B116-D116)/(B116-B105))</f>
        <v>1</v>
      </c>
      <c r="G116" s="420">
        <f t="shared" si="1"/>
        <v>0</v>
      </c>
      <c r="H116" s="421">
        <f t="shared" si="1"/>
        <v>0</v>
      </c>
      <c r="I116" s="422">
        <f t="shared" si="1"/>
        <v>0</v>
      </c>
      <c r="J116" s="299" t="str">
        <f>IF(AND(I116&gt;=G116,G116&lt;G105,I116&lt;&gt;0),K116*(H116/H120),"")</f>
        <v/>
      </c>
      <c r="K116" s="300" t="e">
        <f>IF(I116&gt;G105,1,(G116-I116)/(G116-G105))</f>
        <v>#DIV/0!</v>
      </c>
      <c r="L116" s="420">
        <f t="shared" si="2"/>
        <v>0</v>
      </c>
      <c r="M116" s="423">
        <f t="shared" si="2"/>
        <v>0</v>
      </c>
      <c r="N116" s="299" t="str">
        <f>IF(AND(M116&gt;=L116,L116&lt;L105,M116&lt;&gt;0),O116,"")</f>
        <v/>
      </c>
      <c r="O116" s="300" t="e">
        <f>IF(M116&gt;L105,1,(M116-L116)/(L105-L116))</f>
        <v>#DIV/0!</v>
      </c>
      <c r="P116" s="218"/>
    </row>
    <row r="117" spans="2:18" x14ac:dyDescent="0.2">
      <c r="B117" s="420">
        <f t="shared" si="0"/>
        <v>0</v>
      </c>
      <c r="C117" s="421">
        <f t="shared" si="0"/>
        <v>0</v>
      </c>
      <c r="D117" s="422">
        <f t="shared" si="0"/>
        <v>0</v>
      </c>
      <c r="E117" s="299" t="str">
        <f>IF(AND(D117&lt;=B117,B117&gt;B105,D117&lt;&gt;0),F117*(C117/C120),"")</f>
        <v/>
      </c>
      <c r="F117" s="300">
        <f>IF(D117&lt;B105,1,(B117-D117)/(B117-B105))</f>
        <v>1</v>
      </c>
      <c r="G117" s="420">
        <f t="shared" si="1"/>
        <v>0</v>
      </c>
      <c r="H117" s="421">
        <f t="shared" si="1"/>
        <v>0</v>
      </c>
      <c r="I117" s="422">
        <f t="shared" si="1"/>
        <v>0</v>
      </c>
      <c r="J117" s="299" t="str">
        <f>IF(AND(I117&gt;=G117,G117&lt;G105,I117&lt;&gt;0),K117*(H117/H120),"")</f>
        <v/>
      </c>
      <c r="K117" s="300" t="e">
        <f>IF(I117&gt;G105,1,(G117-I117)/(G117-G105))</f>
        <v>#DIV/0!</v>
      </c>
      <c r="L117" s="420">
        <f t="shared" si="2"/>
        <v>0</v>
      </c>
      <c r="M117" s="423">
        <f t="shared" si="2"/>
        <v>0</v>
      </c>
      <c r="N117" s="299" t="str">
        <f>IF(AND(M117&gt;=L117,L117&lt;L105,M117&lt;&gt;0),O117,"")</f>
        <v/>
      </c>
      <c r="O117" s="300" t="e">
        <f>IF(M117&gt;L105,1,(M117-L117)/(L105-L117))</f>
        <v>#DIV/0!</v>
      </c>
      <c r="P117" s="218"/>
    </row>
    <row r="118" spans="2:18" x14ac:dyDescent="0.2">
      <c r="B118" s="420">
        <f t="shared" si="0"/>
        <v>0</v>
      </c>
      <c r="C118" s="421">
        <f t="shared" si="0"/>
        <v>0</v>
      </c>
      <c r="D118" s="422">
        <f t="shared" si="0"/>
        <v>0</v>
      </c>
      <c r="E118" s="299" t="str">
        <f>IF(AND(D118&lt;=B118,B118&gt;B105,D118&lt;&gt;0),F118*(C118/C120),"")</f>
        <v/>
      </c>
      <c r="F118" s="300">
        <f>IF(D118&lt;B105,1,(B118-D118)/(B118-B105))</f>
        <v>1</v>
      </c>
      <c r="G118" s="420">
        <f t="shared" si="1"/>
        <v>0</v>
      </c>
      <c r="H118" s="421">
        <f t="shared" si="1"/>
        <v>0</v>
      </c>
      <c r="I118" s="422">
        <f t="shared" si="1"/>
        <v>0</v>
      </c>
      <c r="J118" s="299" t="str">
        <f>IF(AND(I118&gt;=G118,G118&lt;G105,I118&lt;&gt;0),K118*(H118/H120),"")</f>
        <v/>
      </c>
      <c r="K118" s="300" t="e">
        <f>IF(I118&gt;G105,1,(G118-I118)/(G118-G105))</f>
        <v>#DIV/0!</v>
      </c>
      <c r="L118" s="420">
        <f t="shared" si="2"/>
        <v>0</v>
      </c>
      <c r="M118" s="423">
        <f t="shared" si="2"/>
        <v>0</v>
      </c>
      <c r="N118" s="299" t="str">
        <f>IF(AND(M118&gt;=L118,L118&lt;L105,M118&lt;&gt;0),O118,"")</f>
        <v/>
      </c>
      <c r="O118" s="300" t="e">
        <f>IF(M118&gt;L105,1,(M118-L118)/(L105-L118))</f>
        <v>#DIV/0!</v>
      </c>
      <c r="P118" s="218"/>
    </row>
    <row r="119" spans="2:18" ht="13.5" thickBot="1" x14ac:dyDescent="0.25">
      <c r="B119" s="424">
        <f t="shared" si="0"/>
        <v>0</v>
      </c>
      <c r="C119" s="425">
        <f t="shared" si="0"/>
        <v>0</v>
      </c>
      <c r="D119" s="426">
        <f t="shared" si="0"/>
        <v>0</v>
      </c>
      <c r="E119" s="301" t="str">
        <f>IF(AND(D119&lt;=B119,B119&gt;B105,D119&lt;&gt;0),F119*(C119/C120),"")</f>
        <v/>
      </c>
      <c r="F119" s="302">
        <f>IF(D119&lt;B105,1,(B119-D119)/(B119-B105))</f>
        <v>1</v>
      </c>
      <c r="G119" s="424">
        <f t="shared" si="1"/>
        <v>0</v>
      </c>
      <c r="H119" s="425">
        <f t="shared" si="1"/>
        <v>0</v>
      </c>
      <c r="I119" s="426">
        <f t="shared" si="1"/>
        <v>0</v>
      </c>
      <c r="J119" s="301" t="str">
        <f>IF(AND(I119&gt;=G119,G119&lt;G105,I119&lt;&gt;0),K119*(H119/H120),"")</f>
        <v/>
      </c>
      <c r="K119" s="302" t="e">
        <f>IF(I119&gt;G105,1,(G119-I119)/(G119-G105))</f>
        <v>#DIV/0!</v>
      </c>
      <c r="L119" s="424">
        <f t="shared" si="2"/>
        <v>0</v>
      </c>
      <c r="M119" s="427">
        <f t="shared" si="2"/>
        <v>0</v>
      </c>
      <c r="N119" s="301" t="str">
        <f>IF(AND(M119&gt;=L119,L119&lt;L105,M119&lt;&gt;0),O119,"")</f>
        <v/>
      </c>
      <c r="O119" s="302" t="e">
        <f>IF(M119&gt;L105,1,(M119-L119)/(L105-L119))</f>
        <v>#DIV/0!</v>
      </c>
      <c r="P119" s="218"/>
    </row>
    <row r="120" spans="2:18" ht="13.5" thickTop="1" x14ac:dyDescent="0.2">
      <c r="B120" s="228"/>
      <c r="C120" s="303">
        <f>SUM(C110:C119)</f>
        <v>0</v>
      </c>
      <c r="D120" s="294" t="s">
        <v>343</v>
      </c>
      <c r="E120" s="219">
        <f>IF(SUM(E110:E119)=0,0,(SUM(E110:E119)))</f>
        <v>0</v>
      </c>
      <c r="F120" s="219"/>
      <c r="G120" s="228"/>
      <c r="H120" s="303">
        <f>SUM(H110:H119)</f>
        <v>0</v>
      </c>
      <c r="I120" s="294" t="s">
        <v>343</v>
      </c>
      <c r="J120" s="219">
        <f>IF(SUM(J110:J119)=0,0,(SUM(J110:J119)))</f>
        <v>0</v>
      </c>
      <c r="K120" s="219"/>
      <c r="L120" s="228"/>
      <c r="M120" s="294" t="s">
        <v>301</v>
      </c>
      <c r="N120" s="219">
        <f>IF(SUM(N110:N119)=0,0,(SUM(N110:N119)/(COUNT(N110:N119))))</f>
        <v>0</v>
      </c>
      <c r="O120" s="219"/>
      <c r="P120" s="219"/>
    </row>
    <row r="121" spans="2:18" x14ac:dyDescent="0.2">
      <c r="B121" s="228"/>
      <c r="C121" s="228"/>
      <c r="D121" s="228"/>
      <c r="E121" s="228"/>
      <c r="F121" s="228"/>
      <c r="G121" s="228"/>
      <c r="H121" s="228"/>
      <c r="I121" s="228"/>
      <c r="J121" s="238"/>
      <c r="K121" s="228"/>
      <c r="L121" s="228"/>
      <c r="M121" s="227"/>
      <c r="N121" s="227"/>
      <c r="O121" s="211"/>
      <c r="P121" s="211"/>
    </row>
    <row r="122" spans="2:18" x14ac:dyDescent="0.2"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7"/>
      <c r="N122" s="227"/>
      <c r="O122" s="211"/>
      <c r="P122" s="211"/>
    </row>
    <row r="123" spans="2:18" x14ac:dyDescent="0.2">
      <c r="B123" s="228"/>
      <c r="C123" s="228"/>
      <c r="D123" s="228"/>
      <c r="E123" s="228"/>
      <c r="F123" s="304"/>
      <c r="G123" s="228"/>
      <c r="H123" s="228"/>
      <c r="I123" s="228"/>
      <c r="J123" s="228"/>
      <c r="K123" s="228" t="s">
        <v>344</v>
      </c>
      <c r="L123" s="228"/>
      <c r="M123" s="227"/>
      <c r="N123" s="227"/>
      <c r="O123" s="211"/>
      <c r="P123" s="211"/>
    </row>
    <row r="124" spans="2:18" x14ac:dyDescent="0.2"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7"/>
      <c r="N124" s="227"/>
      <c r="O124" s="211"/>
      <c r="P124" s="211"/>
    </row>
    <row r="125" spans="2:18" x14ac:dyDescent="0.2">
      <c r="B125" s="305" t="s">
        <v>345</v>
      </c>
      <c r="C125" s="306"/>
      <c r="D125" s="306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7"/>
      <c r="P125" s="227"/>
      <c r="Q125" s="211"/>
      <c r="R125" s="211"/>
    </row>
    <row r="126" spans="2:18" x14ac:dyDescent="0.2">
      <c r="B126" s="306"/>
      <c r="C126" s="305" t="s">
        <v>346</v>
      </c>
      <c r="D126" s="306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7"/>
      <c r="P126" s="227"/>
      <c r="Q126" s="211"/>
      <c r="R126" s="211"/>
    </row>
    <row r="127" spans="2:18" x14ac:dyDescent="0.2">
      <c r="B127" s="228"/>
      <c r="C127" s="228"/>
      <c r="D127" s="228"/>
      <c r="E127" s="228"/>
      <c r="F127" s="228"/>
      <c r="G127" s="228"/>
      <c r="H127" s="229"/>
      <c r="I127" s="228"/>
      <c r="J127" s="228"/>
      <c r="K127" s="228"/>
      <c r="L127" s="228"/>
      <c r="M127" s="228"/>
      <c r="N127" s="228"/>
      <c r="O127" s="227"/>
      <c r="P127" s="227"/>
      <c r="Q127" s="211"/>
      <c r="R127" s="211"/>
    </row>
    <row r="133" spans="2:28" s="204" customFormat="1" x14ac:dyDescent="0.2">
      <c r="B133" s="204" t="s">
        <v>408</v>
      </c>
    </row>
    <row r="134" spans="2:28" s="204" customFormat="1" x14ac:dyDescent="0.2">
      <c r="J134" s="349"/>
      <c r="S134" s="539" t="s">
        <v>372</v>
      </c>
      <c r="T134" s="540"/>
      <c r="U134" s="540"/>
      <c r="V134" s="540"/>
      <c r="W134" s="540"/>
      <c r="X134" s="540"/>
      <c r="Y134" s="540"/>
      <c r="Z134" s="540"/>
      <c r="AA134" s="540"/>
      <c r="AB134" s="541"/>
    </row>
    <row r="135" spans="2:28" s="204" customFormat="1" x14ac:dyDescent="0.2">
      <c r="J135" s="349"/>
      <c r="L135" s="372"/>
      <c r="S135" s="428"/>
      <c r="T135" s="429"/>
      <c r="U135" s="429"/>
      <c r="V135" s="429"/>
      <c r="W135" s="429"/>
      <c r="X135" s="429"/>
      <c r="Y135" s="429"/>
      <c r="Z135" s="429"/>
      <c r="AA135" s="429"/>
      <c r="AB135" s="430"/>
    </row>
    <row r="136" spans="2:28" s="204" customFormat="1" x14ac:dyDescent="0.2">
      <c r="H136" s="349"/>
      <c r="J136" s="349"/>
      <c r="S136" s="369" t="s">
        <v>138</v>
      </c>
      <c r="T136" s="360"/>
      <c r="U136" s="431"/>
      <c r="V136" s="431"/>
      <c r="W136" s="431"/>
      <c r="X136" s="431"/>
      <c r="Y136" s="431"/>
      <c r="Z136" s="431"/>
      <c r="AA136" s="401"/>
      <c r="AB136" s="432"/>
    </row>
    <row r="137" spans="2:28" s="204" customFormat="1" x14ac:dyDescent="0.2">
      <c r="H137" s="349"/>
      <c r="J137" s="349"/>
      <c r="S137" s="496">
        <f>Geometry!E7</f>
        <v>0</v>
      </c>
      <c r="T137" s="360" t="s">
        <v>139</v>
      </c>
      <c r="U137" s="431"/>
      <c r="V137" s="434"/>
      <c r="W137" s="434" t="s">
        <v>144</v>
      </c>
      <c r="X137" s="431" t="s">
        <v>145</v>
      </c>
      <c r="Y137" s="362" t="s">
        <v>212</v>
      </c>
      <c r="Z137" s="362"/>
      <c r="AA137" s="431"/>
      <c r="AB137" s="435"/>
    </row>
    <row r="138" spans="2:28" s="204" customFormat="1" x14ac:dyDescent="0.2">
      <c r="H138" s="349"/>
      <c r="J138" s="349"/>
      <c r="S138" s="496">
        <f>Geometry!E8</f>
        <v>0</v>
      </c>
      <c r="T138" s="360" t="s">
        <v>140</v>
      </c>
      <c r="U138" s="431"/>
      <c r="V138" s="436" t="s">
        <v>146</v>
      </c>
      <c r="W138" s="437" t="s">
        <v>160</v>
      </c>
      <c r="X138" s="360" t="s">
        <v>161</v>
      </c>
      <c r="Y138" s="431" t="s">
        <v>147</v>
      </c>
      <c r="Z138" s="431"/>
      <c r="AA138" s="431"/>
      <c r="AB138" s="435"/>
    </row>
    <row r="139" spans="2:28" s="204" customFormat="1" x14ac:dyDescent="0.2">
      <c r="H139" s="349"/>
      <c r="J139" s="349"/>
      <c r="S139" s="496">
        <f>Geometry!E9</f>
        <v>0</v>
      </c>
      <c r="T139" s="360" t="s">
        <v>141</v>
      </c>
      <c r="U139" s="431"/>
      <c r="V139" s="362">
        <v>1</v>
      </c>
      <c r="W139" s="433">
        <f>Geometry!B110</f>
        <v>0</v>
      </c>
      <c r="X139" s="433">
        <f>Geometry!C110</f>
        <v>0</v>
      </c>
      <c r="Y139" s="431">
        <f>IF(AND(W139&lt;&gt;0,W139&gt;S143),X139,0)</f>
        <v>0</v>
      </c>
      <c r="Z139" s="431"/>
      <c r="AA139" s="431"/>
      <c r="AB139" s="435"/>
    </row>
    <row r="140" spans="2:28" s="204" customFormat="1" x14ac:dyDescent="0.2">
      <c r="B140" s="204" t="s">
        <v>111</v>
      </c>
      <c r="S140" s="438"/>
      <c r="T140" s="431"/>
      <c r="U140" s="431"/>
      <c r="V140" s="362">
        <v>2</v>
      </c>
      <c r="W140" s="433">
        <f>Geometry!B111</f>
        <v>0</v>
      </c>
      <c r="X140" s="433">
        <f>Geometry!C111</f>
        <v>0</v>
      </c>
      <c r="Y140" s="431">
        <f>IF(AND(W140&lt;&gt;0,W140&gt;S143),X140,0)</f>
        <v>0</v>
      </c>
      <c r="Z140" s="409" t="s">
        <v>191</v>
      </c>
      <c r="AA140" s="431"/>
      <c r="AB140" s="435"/>
    </row>
    <row r="141" spans="2:28" s="204" customFormat="1" x14ac:dyDescent="0.2">
      <c r="B141" s="204" t="s">
        <v>112</v>
      </c>
      <c r="S141" s="439">
        <f>'Traffic &amp; Accidents'!C9</f>
        <v>0</v>
      </c>
      <c r="T141" s="409" t="s">
        <v>213</v>
      </c>
      <c r="U141" s="431"/>
      <c r="V141" s="362">
        <v>3</v>
      </c>
      <c r="W141" s="433">
        <f>Geometry!B112</f>
        <v>0</v>
      </c>
      <c r="X141" s="433">
        <f>Geometry!C112</f>
        <v>0</v>
      </c>
      <c r="Y141" s="431">
        <f>IF(AND(W141&lt;&gt;0,W141&gt;S143),X141,0)</f>
        <v>0</v>
      </c>
      <c r="Z141" s="431"/>
      <c r="AA141" s="431"/>
      <c r="AB141" s="435"/>
    </row>
    <row r="142" spans="2:28" s="204" customFormat="1" x14ac:dyDescent="0.2">
      <c r="B142" s="204" t="s">
        <v>113</v>
      </c>
      <c r="S142" s="440"/>
      <c r="T142" s="431"/>
      <c r="U142" s="431"/>
      <c r="V142" s="362">
        <v>4</v>
      </c>
      <c r="W142" s="433">
        <f>Geometry!B113</f>
        <v>0</v>
      </c>
      <c r="X142" s="433">
        <f>Geometry!C113</f>
        <v>0</v>
      </c>
      <c r="Y142" s="431">
        <f>IF(AND(W142&lt;&gt;0,W142&gt;S143),X142,0)</f>
        <v>0</v>
      </c>
      <c r="Z142" s="441">
        <f>IF(OR(W153=0,Y150=0),0,Y150/W153)</f>
        <v>0</v>
      </c>
      <c r="AA142" s="431"/>
      <c r="AB142" s="435"/>
    </row>
    <row r="143" spans="2:28" s="204" customFormat="1" x14ac:dyDescent="0.2">
      <c r="H143" s="349"/>
      <c r="J143" s="349"/>
      <c r="S143" s="433">
        <f>IF(OR(S141=2,S141=6),S146,S151)</f>
        <v>7</v>
      </c>
      <c r="T143" s="360" t="s">
        <v>214</v>
      </c>
      <c r="U143" s="401"/>
      <c r="V143" s="362">
        <v>5</v>
      </c>
      <c r="W143" s="433">
        <f>Geometry!B114</f>
        <v>0</v>
      </c>
      <c r="X143" s="433">
        <f>Geometry!C114</f>
        <v>0</v>
      </c>
      <c r="Y143" s="431">
        <f>IF(AND(W143&lt;&gt;0,W143&gt;S143),X143,0)</f>
        <v>0</v>
      </c>
      <c r="Z143" s="431"/>
      <c r="AA143" s="431"/>
      <c r="AB143" s="435"/>
    </row>
    <row r="144" spans="2:28" s="204" customFormat="1" x14ac:dyDescent="0.2">
      <c r="H144" s="349"/>
      <c r="J144" s="349"/>
      <c r="Q144" s="204" t="s">
        <v>214</v>
      </c>
      <c r="S144" s="442"/>
      <c r="T144" s="401"/>
      <c r="U144" s="401"/>
      <c r="V144" s="362">
        <v>6</v>
      </c>
      <c r="W144" s="433">
        <f>Geometry!B115</f>
        <v>0</v>
      </c>
      <c r="X144" s="433">
        <f>Geometry!C115</f>
        <v>0</v>
      </c>
      <c r="Y144" s="431">
        <f>IF(AND(W144&lt;&gt;0,W144&gt;S143),X144,0)</f>
        <v>0</v>
      </c>
      <c r="Z144" s="431"/>
      <c r="AA144" s="431"/>
      <c r="AB144" s="435"/>
    </row>
    <row r="145" spans="1:28" s="204" customFormat="1" x14ac:dyDescent="0.2">
      <c r="A145" s="513"/>
      <c r="H145" s="349"/>
      <c r="J145" s="349"/>
      <c r="S145" s="438"/>
      <c r="T145" s="431" t="s">
        <v>215</v>
      </c>
      <c r="U145" s="431"/>
      <c r="V145" s="362">
        <v>7</v>
      </c>
      <c r="W145" s="433">
        <f>Geometry!B116</f>
        <v>0</v>
      </c>
      <c r="X145" s="433">
        <f>Geometry!C116</f>
        <v>0</v>
      </c>
      <c r="Y145" s="431">
        <f>IF(AND(W145&lt;&gt;0,W145&gt;S143),X145,0)</f>
        <v>0</v>
      </c>
      <c r="Z145" s="431"/>
      <c r="AA145" s="431"/>
      <c r="AB145" s="435"/>
    </row>
    <row r="146" spans="1:28" s="204" customFormat="1" x14ac:dyDescent="0.2">
      <c r="A146" s="513"/>
      <c r="H146" s="349"/>
      <c r="J146" s="349"/>
      <c r="Q146" s="370">
        <f>IF(AND(E7=0,E8=0,E9=0),0,S146)</f>
        <v>0</v>
      </c>
      <c r="S146" s="443">
        <f>IF(S137&lt;&gt;0,T146,S147)</f>
        <v>8</v>
      </c>
      <c r="T146" s="393">
        <f>IF('Traffic &amp; Accidents'!E33&lt;400,5,U146)</f>
        <v>5</v>
      </c>
      <c r="U146" s="395">
        <f>IF('Traffic &amp; Accidents'!E33&lt;2001,4,3)</f>
        <v>4</v>
      </c>
      <c r="V146" s="362">
        <v>8</v>
      </c>
      <c r="W146" s="433">
        <f>Geometry!B117</f>
        <v>0</v>
      </c>
      <c r="X146" s="433">
        <f>Geometry!C117</f>
        <v>0</v>
      </c>
      <c r="Y146" s="431">
        <f>IF(AND(W146&lt;&gt;0,W146&gt;S143),X146,0)</f>
        <v>0</v>
      </c>
      <c r="Z146" s="431"/>
      <c r="AA146" s="431"/>
      <c r="AB146" s="435"/>
    </row>
    <row r="147" spans="1:28" s="204" customFormat="1" x14ac:dyDescent="0.2">
      <c r="A147" s="513"/>
      <c r="B147" s="374" t="s">
        <v>373</v>
      </c>
      <c r="H147" s="349"/>
      <c r="J147" s="349"/>
      <c r="S147" s="369">
        <f>IF(S138&lt;&gt;0,T147,S148)</f>
        <v>8</v>
      </c>
      <c r="T147" s="360">
        <f>IF('Traffic &amp; Accidents'!E33&lt;400,6,U147)</f>
        <v>6</v>
      </c>
      <c r="U147" s="371">
        <f>IF('Traffic &amp; Accidents'!E33&lt;2001,5,4)</f>
        <v>5</v>
      </c>
      <c r="V147" s="362">
        <v>9</v>
      </c>
      <c r="W147" s="433">
        <f>Geometry!B118</f>
        <v>0</v>
      </c>
      <c r="X147" s="433">
        <f>Geometry!C118</f>
        <v>0</v>
      </c>
      <c r="Y147" s="431">
        <f>IF(AND(W147&lt;&gt;0,W147&gt;S143),X147,0)</f>
        <v>0</v>
      </c>
      <c r="Z147" s="431"/>
      <c r="AA147" s="431"/>
      <c r="AB147" s="435"/>
    </row>
    <row r="148" spans="1:28" s="204" customFormat="1" x14ac:dyDescent="0.2">
      <c r="A148" s="513"/>
      <c r="H148" s="349"/>
      <c r="J148" s="349"/>
      <c r="S148" s="389">
        <f>T148</f>
        <v>8</v>
      </c>
      <c r="T148" s="390">
        <f>IF('Traffic &amp; Accidents'!E33&lt;400,8,U148)</f>
        <v>8</v>
      </c>
      <c r="U148" s="391">
        <f>IF('Traffic &amp; Accidents'!E33&lt;2001,7,6)</f>
        <v>7</v>
      </c>
      <c r="V148" s="362">
        <v>10</v>
      </c>
      <c r="W148" s="433">
        <f>Geometry!B119</f>
        <v>0</v>
      </c>
      <c r="X148" s="433">
        <f>Geometry!C119</f>
        <v>0</v>
      </c>
      <c r="Y148" s="431">
        <f>IF(AND(W148&lt;&gt;0,W148&gt;S143),X148,0)</f>
        <v>0</v>
      </c>
      <c r="Z148" s="431"/>
      <c r="AA148" s="431"/>
      <c r="AB148" s="435"/>
    </row>
    <row r="149" spans="1:28" s="204" customFormat="1" x14ac:dyDescent="0.2">
      <c r="A149" s="513"/>
      <c r="C149" s="513" t="s">
        <v>114</v>
      </c>
      <c r="D149" s="513"/>
      <c r="E149" s="513"/>
      <c r="F149" s="513"/>
      <c r="G149" s="513"/>
      <c r="H149" s="513"/>
      <c r="I149" s="513"/>
      <c r="J149" s="349"/>
      <c r="S149" s="442"/>
      <c r="T149" s="431"/>
      <c r="U149" s="431"/>
      <c r="V149" s="431"/>
      <c r="W149" s="401"/>
      <c r="X149" s="431"/>
      <c r="Y149" s="431"/>
      <c r="Z149" s="431"/>
      <c r="AA149" s="431" t="s">
        <v>253</v>
      </c>
      <c r="AB149" s="435"/>
    </row>
    <row r="150" spans="1:28" s="204" customFormat="1" ht="13.5" thickBot="1" x14ac:dyDescent="0.25">
      <c r="A150" s="513"/>
      <c r="B150" s="315"/>
      <c r="D150" s="513" t="s">
        <v>206</v>
      </c>
      <c r="E150" s="513"/>
      <c r="F150" s="513"/>
      <c r="G150" s="513"/>
      <c r="H150" s="513"/>
      <c r="I150" s="513"/>
      <c r="J150" s="349"/>
      <c r="S150" s="438"/>
      <c r="T150" s="431" t="s">
        <v>216</v>
      </c>
      <c r="U150" s="431"/>
      <c r="V150" s="401"/>
      <c r="W150" s="401"/>
      <c r="X150" s="411" t="s">
        <v>217</v>
      </c>
      <c r="Y150" s="444">
        <f>SUM(Y139:Y148)</f>
        <v>0</v>
      </c>
      <c r="Z150" s="431"/>
      <c r="AA150" s="431" t="s">
        <v>5</v>
      </c>
      <c r="AB150" s="435"/>
    </row>
    <row r="151" spans="1:28" s="204" customFormat="1" ht="13.5" thickBot="1" x14ac:dyDescent="0.25">
      <c r="A151" s="513"/>
      <c r="B151" s="204" t="s">
        <v>115</v>
      </c>
      <c r="H151" s="349"/>
      <c r="J151" s="349"/>
      <c r="S151" s="443">
        <f>IF(S137&lt;&gt;"",T151,S152)</f>
        <v>7</v>
      </c>
      <c r="T151" s="393">
        <f>IF('Traffic &amp; Accidents'!E33&lt;400,7,U151)</f>
        <v>7</v>
      </c>
      <c r="U151" s="395">
        <f>IF('Traffic &amp; Accidents'!E33&lt;2001,6,5)</f>
        <v>6</v>
      </c>
      <c r="V151" s="431"/>
      <c r="W151" s="431"/>
      <c r="X151" s="401"/>
      <c r="Y151" s="401"/>
      <c r="Z151" s="401"/>
      <c r="AA151" s="445">
        <f>IF(Z142&lt;0.02,0,AA152)</f>
        <v>0</v>
      </c>
      <c r="AB151" s="435"/>
    </row>
    <row r="152" spans="1:28" s="204" customFormat="1" ht="13.5" thickBot="1" x14ac:dyDescent="0.25">
      <c r="A152" s="513"/>
      <c r="B152" s="446"/>
      <c r="C152" s="446"/>
      <c r="D152" s="446"/>
      <c r="E152" s="446"/>
      <c r="F152" s="447" t="s">
        <v>149</v>
      </c>
      <c r="H152" s="448"/>
      <c r="I152" s="446"/>
      <c r="J152" s="446"/>
      <c r="K152" s="446"/>
      <c r="L152" s="447"/>
      <c r="S152" s="369">
        <f>IF(S138&lt;&gt;"",T152,S153)</f>
        <v>9</v>
      </c>
      <c r="T152" s="360">
        <f>IF('Traffic &amp; Accidents'!E33&lt;400,9,U152)</f>
        <v>9</v>
      </c>
      <c r="U152" s="371">
        <f>IF('Traffic &amp; Accidents'!E33&lt;2001,8,7)</f>
        <v>8</v>
      </c>
      <c r="V152" s="431"/>
      <c r="W152" s="431"/>
      <c r="X152" s="401"/>
      <c r="Y152" s="401"/>
      <c r="Z152" s="401"/>
      <c r="AA152" s="412">
        <f>IF(AND(Z142&gt;=0.02,Z142&lt;=0.05),2,AA153)</f>
        <v>0</v>
      </c>
      <c r="AB152" s="435"/>
    </row>
    <row r="153" spans="1:28" s="204" customFormat="1" ht="13.5" thickBot="1" x14ac:dyDescent="0.25">
      <c r="A153" s="513"/>
      <c r="B153" s="446"/>
      <c r="C153" s="446"/>
      <c r="D153" s="446"/>
      <c r="E153" s="446"/>
      <c r="F153" s="449" t="s">
        <v>150</v>
      </c>
      <c r="H153" s="446"/>
      <c r="I153" s="446"/>
      <c r="J153" s="450" t="s">
        <v>252</v>
      </c>
      <c r="K153" s="451">
        <f>AA151</f>
        <v>0</v>
      </c>
      <c r="L153" s="447"/>
      <c r="S153" s="389">
        <f>T153</f>
        <v>12</v>
      </c>
      <c r="T153" s="390">
        <f>IF('Traffic &amp; Accidents'!E33&lt;400,12,U153)</f>
        <v>12</v>
      </c>
      <c r="U153" s="391">
        <f>IF('Traffic &amp; Accidents'!E33&lt;2001,10,"")</f>
        <v>10</v>
      </c>
      <c r="V153" s="431"/>
      <c r="W153" s="452">
        <f>'3R RATING SUMMARY'!E6</f>
        <v>0</v>
      </c>
      <c r="X153" s="409" t="s">
        <v>218</v>
      </c>
      <c r="Y153" s="401"/>
      <c r="Z153" s="401"/>
      <c r="AA153" s="412">
        <f>IF(Z142&gt;0.05,5,0)</f>
        <v>0</v>
      </c>
      <c r="AB153" s="435"/>
    </row>
    <row r="154" spans="1:28" s="204" customFormat="1" x14ac:dyDescent="0.2">
      <c r="A154" s="513"/>
      <c r="B154" s="446"/>
      <c r="C154" s="446"/>
      <c r="D154" s="448"/>
      <c r="E154" s="448"/>
      <c r="F154" s="448"/>
      <c r="G154" s="448"/>
      <c r="H154" s="448"/>
      <c r="I154" s="446"/>
      <c r="J154" s="446"/>
      <c r="K154" s="446"/>
      <c r="L154" s="447"/>
      <c r="S154" s="438"/>
      <c r="T154" s="431"/>
      <c r="U154" s="431"/>
      <c r="V154" s="431"/>
      <c r="W154" s="431"/>
      <c r="X154" s="431"/>
      <c r="Y154" s="431"/>
      <c r="Z154" s="431"/>
      <c r="AA154" s="431"/>
      <c r="AB154" s="435"/>
    </row>
    <row r="155" spans="1:28" s="204" customFormat="1" x14ac:dyDescent="0.2">
      <c r="A155" s="513"/>
      <c r="B155" s="446"/>
      <c r="C155" s="446"/>
      <c r="D155" s="446"/>
      <c r="E155" s="453" t="s">
        <v>151</v>
      </c>
      <c r="F155" s="446"/>
      <c r="H155" s="360"/>
      <c r="I155" s="453" t="s">
        <v>152</v>
      </c>
      <c r="J155" s="360"/>
      <c r="S155" s="438"/>
      <c r="T155" s="431"/>
      <c r="U155" s="431"/>
      <c r="V155" s="431"/>
      <c r="W155" s="431"/>
      <c r="X155" s="431"/>
      <c r="Y155" s="431"/>
      <c r="Z155" s="431"/>
      <c r="AA155" s="431"/>
      <c r="AB155" s="435"/>
    </row>
    <row r="156" spans="1:28" s="204" customFormat="1" x14ac:dyDescent="0.2">
      <c r="A156" s="513"/>
      <c r="B156" s="446" t="s">
        <v>138</v>
      </c>
      <c r="C156" s="446"/>
      <c r="D156" s="446"/>
      <c r="E156" s="453" t="s">
        <v>153</v>
      </c>
      <c r="F156" s="446"/>
      <c r="H156" s="360"/>
      <c r="I156" s="453" t="s">
        <v>154</v>
      </c>
      <c r="J156" s="360"/>
      <c r="S156" s="454"/>
      <c r="T156" s="455"/>
      <c r="U156" s="455"/>
      <c r="V156" s="455"/>
      <c r="W156" s="455"/>
      <c r="X156" s="455"/>
      <c r="Y156" s="455"/>
      <c r="Z156" s="455"/>
      <c r="AA156" s="455"/>
      <c r="AB156" s="456"/>
    </row>
    <row r="157" spans="1:28" s="204" customFormat="1" x14ac:dyDescent="0.2">
      <c r="A157" s="513"/>
      <c r="B157" s="446"/>
      <c r="C157" s="448"/>
      <c r="D157" s="447" t="s">
        <v>155</v>
      </c>
      <c r="E157" s="447" t="s">
        <v>156</v>
      </c>
      <c r="F157" s="447" t="s">
        <v>119</v>
      </c>
      <c r="H157" s="362" t="s">
        <v>117</v>
      </c>
      <c r="I157" s="362" t="s">
        <v>118</v>
      </c>
      <c r="J157" s="362" t="s">
        <v>119</v>
      </c>
    </row>
    <row r="158" spans="1:28" s="204" customFormat="1" x14ac:dyDescent="0.2">
      <c r="A158" s="513"/>
      <c r="B158" s="446" t="s">
        <v>139</v>
      </c>
      <c r="C158" s="446"/>
      <c r="D158" s="447">
        <v>7</v>
      </c>
      <c r="E158" s="447">
        <v>6</v>
      </c>
      <c r="F158" s="449">
        <v>5</v>
      </c>
      <c r="H158" s="449">
        <v>5</v>
      </c>
      <c r="I158" s="449">
        <v>4</v>
      </c>
      <c r="J158" s="449">
        <v>3</v>
      </c>
    </row>
    <row r="159" spans="1:28" s="204" customFormat="1" x14ac:dyDescent="0.2">
      <c r="A159" s="513"/>
      <c r="B159" s="446" t="s">
        <v>140</v>
      </c>
      <c r="C159" s="446"/>
      <c r="D159" s="447">
        <v>9</v>
      </c>
      <c r="E159" s="447">
        <v>8</v>
      </c>
      <c r="F159" s="447">
        <v>7</v>
      </c>
      <c r="H159" s="449">
        <v>6</v>
      </c>
      <c r="I159" s="449">
        <v>5</v>
      </c>
      <c r="J159" s="449">
        <v>4</v>
      </c>
    </row>
    <row r="160" spans="1:28" s="204" customFormat="1" x14ac:dyDescent="0.2">
      <c r="A160" s="513"/>
      <c r="B160" s="446" t="s">
        <v>141</v>
      </c>
      <c r="C160" s="446"/>
      <c r="D160" s="447">
        <v>12</v>
      </c>
      <c r="E160" s="447">
        <v>10</v>
      </c>
      <c r="F160" s="447">
        <v>10</v>
      </c>
      <c r="H160" s="449">
        <v>8</v>
      </c>
      <c r="I160" s="449">
        <v>7</v>
      </c>
      <c r="J160" s="449">
        <v>6</v>
      </c>
    </row>
    <row r="161" spans="1:28" s="204" customFormat="1" x14ac:dyDescent="0.2">
      <c r="A161" s="513"/>
      <c r="H161" s="349"/>
      <c r="J161" s="349"/>
    </row>
    <row r="162" spans="1:28" s="204" customFormat="1" x14ac:dyDescent="0.2">
      <c r="A162" s="513"/>
      <c r="E162" s="457" t="s">
        <v>189</v>
      </c>
      <c r="H162" s="349"/>
      <c r="J162" s="349"/>
      <c r="S162" s="539" t="s">
        <v>223</v>
      </c>
      <c r="T162" s="540"/>
      <c r="U162" s="540"/>
      <c r="V162" s="540"/>
      <c r="W162" s="540"/>
      <c r="X162" s="540"/>
      <c r="Y162" s="540"/>
      <c r="Z162" s="540"/>
      <c r="AA162" s="540"/>
      <c r="AB162" s="541"/>
    </row>
    <row r="163" spans="1:28" s="204" customFormat="1" x14ac:dyDescent="0.2">
      <c r="A163" s="513"/>
      <c r="H163" s="349"/>
      <c r="J163" s="349"/>
      <c r="S163" s="458"/>
      <c r="T163" s="459"/>
      <c r="U163" s="459"/>
      <c r="V163" s="459"/>
      <c r="W163" s="459"/>
      <c r="X163" s="459"/>
      <c r="Y163" s="459"/>
      <c r="Z163" s="459"/>
      <c r="AA163" s="459"/>
      <c r="AB163" s="460"/>
    </row>
    <row r="164" spans="1:28" s="204" customFormat="1" x14ac:dyDescent="0.2">
      <c r="A164" s="513"/>
      <c r="C164" s="204" t="s">
        <v>177</v>
      </c>
      <c r="D164" s="204" t="s">
        <v>178</v>
      </c>
      <c r="F164" s="450" t="s">
        <v>177</v>
      </c>
      <c r="G164" s="204" t="s">
        <v>178</v>
      </c>
      <c r="S164" s="438"/>
      <c r="T164" s="431"/>
      <c r="U164" s="431"/>
      <c r="V164" s="431"/>
      <c r="W164" s="431"/>
      <c r="X164" s="431"/>
      <c r="Y164" s="431"/>
      <c r="Z164" s="431"/>
      <c r="AA164" s="461" t="s">
        <v>243</v>
      </c>
      <c r="AB164" s="435"/>
    </row>
    <row r="165" spans="1:28" s="204" customFormat="1" x14ac:dyDescent="0.2">
      <c r="A165" s="513"/>
      <c r="C165" s="462" t="s">
        <v>179</v>
      </c>
      <c r="D165" s="462" t="s">
        <v>180</v>
      </c>
      <c r="E165" s="349"/>
      <c r="F165" s="462" t="s">
        <v>179</v>
      </c>
      <c r="G165" s="462" t="s">
        <v>180</v>
      </c>
      <c r="I165" s="463" t="s">
        <v>181</v>
      </c>
      <c r="J165" s="463"/>
      <c r="S165" s="438"/>
      <c r="T165" s="431"/>
      <c r="U165" s="431"/>
      <c r="V165" s="431"/>
      <c r="W165" s="431"/>
      <c r="X165" s="431"/>
      <c r="Y165" s="464" t="s">
        <v>220</v>
      </c>
      <c r="Z165" s="431"/>
      <c r="AA165" s="461" t="s">
        <v>244</v>
      </c>
      <c r="AB165" s="435"/>
    </row>
    <row r="166" spans="1:28" s="204" customFormat="1" x14ac:dyDescent="0.2">
      <c r="A166" s="513"/>
      <c r="C166" s="349">
        <v>10</v>
      </c>
      <c r="D166" s="465" t="s">
        <v>182</v>
      </c>
      <c r="E166" s="349"/>
      <c r="F166" s="349">
        <v>35</v>
      </c>
      <c r="G166" s="465">
        <v>250</v>
      </c>
      <c r="I166" s="463" t="s">
        <v>183</v>
      </c>
      <c r="J166" s="463"/>
      <c r="S166" s="438"/>
      <c r="T166" s="431"/>
      <c r="U166" s="431" t="s">
        <v>221</v>
      </c>
      <c r="V166" s="431"/>
      <c r="W166" s="431"/>
      <c r="X166" s="431"/>
      <c r="Y166" s="431"/>
      <c r="Z166" s="431"/>
      <c r="AA166" s="431"/>
      <c r="AB166" s="435"/>
    </row>
    <row r="167" spans="1:28" s="204" customFormat="1" x14ac:dyDescent="0.2">
      <c r="A167" s="513"/>
      <c r="B167" s="204" t="s">
        <v>15</v>
      </c>
      <c r="C167" s="349">
        <v>15</v>
      </c>
      <c r="D167" s="465">
        <v>80</v>
      </c>
      <c r="E167" s="349"/>
      <c r="F167" s="349">
        <v>40</v>
      </c>
      <c r="G167" s="465">
        <v>305</v>
      </c>
      <c r="I167" s="463" t="s">
        <v>184</v>
      </c>
      <c r="J167" s="463"/>
      <c r="S167" s="438" t="s">
        <v>158</v>
      </c>
      <c r="T167" s="466">
        <f>AA167</f>
        <v>0</v>
      </c>
      <c r="U167" s="409" t="s">
        <v>241</v>
      </c>
      <c r="V167" s="431"/>
      <c r="W167" s="431"/>
      <c r="X167" s="431"/>
      <c r="Y167" s="370">
        <f>Y189</f>
        <v>0</v>
      </c>
      <c r="Z167" s="431"/>
      <c r="AA167" s="466">
        <f>IF(Y167=20,115,AA168)</f>
        <v>0</v>
      </c>
      <c r="AB167" s="371"/>
    </row>
    <row r="168" spans="1:28" s="204" customFormat="1" x14ac:dyDescent="0.2">
      <c r="A168" s="513"/>
      <c r="C168" s="349">
        <v>20</v>
      </c>
      <c r="D168" s="465">
        <v>115</v>
      </c>
      <c r="E168" s="349"/>
      <c r="F168" s="349">
        <v>45</v>
      </c>
      <c r="G168" s="465">
        <v>360</v>
      </c>
      <c r="I168" s="319"/>
      <c r="J168" s="467" t="s">
        <v>185</v>
      </c>
      <c r="S168" s="438"/>
      <c r="T168" s="431"/>
      <c r="U168" s="431"/>
      <c r="V168" s="431"/>
      <c r="W168" s="431"/>
      <c r="X168" s="431"/>
      <c r="Y168" s="431"/>
      <c r="Z168" s="431"/>
      <c r="AA168" s="431">
        <f>IF(Y167=30,200,AA169)</f>
        <v>0</v>
      </c>
      <c r="AB168" s="435"/>
    </row>
    <row r="169" spans="1:28" s="204" customFormat="1" x14ac:dyDescent="0.2">
      <c r="A169" s="513"/>
      <c r="C169" s="349">
        <v>25</v>
      </c>
      <c r="D169" s="465">
        <v>155</v>
      </c>
      <c r="E169" s="349"/>
      <c r="F169" s="349">
        <v>50</v>
      </c>
      <c r="G169" s="465">
        <v>425</v>
      </c>
      <c r="I169" s="319"/>
      <c r="J169" s="467" t="s">
        <v>186</v>
      </c>
      <c r="S169" s="438"/>
      <c r="T169" s="431"/>
      <c r="U169" s="431"/>
      <c r="V169" s="431"/>
      <c r="W169" s="431"/>
      <c r="X169" s="431"/>
      <c r="Y169" s="431"/>
      <c r="Z169" s="431"/>
      <c r="AA169" s="431">
        <f>IF(Y167=40,305,AA170)</f>
        <v>0</v>
      </c>
      <c r="AB169" s="435"/>
    </row>
    <row r="170" spans="1:28" s="204" customFormat="1" x14ac:dyDescent="0.2">
      <c r="A170" s="513"/>
      <c r="C170" s="349">
        <v>30</v>
      </c>
      <c r="D170" s="465">
        <v>200</v>
      </c>
      <c r="E170" s="349"/>
      <c r="F170" s="349">
        <v>55</v>
      </c>
      <c r="G170" s="465">
        <v>495</v>
      </c>
      <c r="I170" s="319"/>
      <c r="J170" s="467" t="s">
        <v>187</v>
      </c>
      <c r="S170" s="468"/>
      <c r="T170" s="434" t="s">
        <v>144</v>
      </c>
      <c r="U170" s="431"/>
      <c r="V170" s="431" t="s">
        <v>212</v>
      </c>
      <c r="W170" s="431"/>
      <c r="X170" s="431"/>
      <c r="Y170" s="431"/>
      <c r="Z170" s="431"/>
      <c r="AA170" s="431">
        <f>IF(Y167=50,425,AA171)</f>
        <v>0</v>
      </c>
      <c r="AB170" s="435"/>
    </row>
    <row r="171" spans="1:28" s="204" customFormat="1" x14ac:dyDescent="0.2">
      <c r="A171" s="513"/>
      <c r="F171" s="349">
        <v>60</v>
      </c>
      <c r="G171" s="465">
        <v>570</v>
      </c>
      <c r="I171" s="319"/>
      <c r="J171" s="467" t="s">
        <v>188</v>
      </c>
      <c r="S171" s="469" t="s">
        <v>146</v>
      </c>
      <c r="T171" s="437" t="s">
        <v>162</v>
      </c>
      <c r="U171" s="360" t="s">
        <v>163</v>
      </c>
      <c r="V171" s="401" t="s">
        <v>147</v>
      </c>
      <c r="W171" s="431"/>
      <c r="X171" s="401"/>
      <c r="Y171" s="431"/>
      <c r="Z171" s="431"/>
      <c r="AA171" s="431">
        <f>IF(Y167=60,570,Y172)</f>
        <v>0</v>
      </c>
      <c r="AB171" s="435"/>
    </row>
    <row r="172" spans="1:28" s="204" customFormat="1" x14ac:dyDescent="0.2">
      <c r="A172" s="513"/>
      <c r="S172" s="470">
        <v>1</v>
      </c>
      <c r="T172" s="433">
        <f>Geometry!G110</f>
        <v>0</v>
      </c>
      <c r="U172" s="452">
        <f>Geometry!H110</f>
        <v>0</v>
      </c>
      <c r="V172" s="431">
        <f>IF(AND(T172&lt;&gt;0,T172&lt;T167),U172,0)</f>
        <v>0</v>
      </c>
      <c r="W172" s="431"/>
      <c r="X172" s="431"/>
      <c r="Y172" s="431"/>
      <c r="Z172" s="431"/>
      <c r="AA172" s="431"/>
      <c r="AB172" s="435"/>
    </row>
    <row r="173" spans="1:28" s="204" customFormat="1" x14ac:dyDescent="0.2">
      <c r="A173" s="513"/>
      <c r="C173" s="204" t="s">
        <v>5</v>
      </c>
      <c r="D173" s="204" t="s">
        <v>123</v>
      </c>
      <c r="H173" s="349"/>
      <c r="J173" s="349"/>
      <c r="S173" s="470">
        <v>2</v>
      </c>
      <c r="T173" s="433">
        <f>Geometry!G111</f>
        <v>0</v>
      </c>
      <c r="U173" s="452">
        <f>Geometry!H111</f>
        <v>0</v>
      </c>
      <c r="V173" s="431">
        <f>IF(AND(T173&lt;&gt;0,T173&lt;T167),U173,0)</f>
        <v>0</v>
      </c>
      <c r="W173" s="431"/>
      <c r="X173" s="431"/>
      <c r="Y173" s="431" t="s">
        <v>245</v>
      </c>
      <c r="Z173" s="431"/>
      <c r="AA173" s="431"/>
      <c r="AB173" s="435"/>
    </row>
    <row r="174" spans="1:28" s="204" customFormat="1" x14ac:dyDescent="0.2">
      <c r="A174" s="513"/>
      <c r="H174" s="349"/>
      <c r="J174" s="349"/>
      <c r="S174" s="470">
        <v>3</v>
      </c>
      <c r="T174" s="433">
        <f>Geometry!G112</f>
        <v>0</v>
      </c>
      <c r="U174" s="452">
        <f>Geometry!H112</f>
        <v>0</v>
      </c>
      <c r="V174" s="431">
        <f>IF(AND(T174&lt;&gt;0,T174&lt;T167),U174,0)</f>
        <v>0</v>
      </c>
      <c r="W174" s="409" t="s">
        <v>242</v>
      </c>
      <c r="X174" s="431"/>
      <c r="Y174" s="471" t="s">
        <v>5</v>
      </c>
      <c r="Z174" s="431"/>
      <c r="AA174" s="431"/>
      <c r="AB174" s="435"/>
    </row>
    <row r="175" spans="1:28" s="204" customFormat="1" ht="13.5" thickBot="1" x14ac:dyDescent="0.25">
      <c r="A175" s="513"/>
      <c r="C175" s="349">
        <v>0</v>
      </c>
      <c r="D175" s="204" t="s">
        <v>124</v>
      </c>
      <c r="J175" s="349"/>
      <c r="S175" s="470">
        <v>4</v>
      </c>
      <c r="T175" s="433">
        <f>Geometry!G113</f>
        <v>0</v>
      </c>
      <c r="U175" s="452">
        <f>Geometry!H113</f>
        <v>0</v>
      </c>
      <c r="V175" s="431">
        <f>IF(AND(T175&lt;&gt;0,T175&lt;T167),U175,0)</f>
        <v>0</v>
      </c>
      <c r="W175" s="431"/>
      <c r="X175" s="431"/>
      <c r="Y175" s="431"/>
      <c r="Z175" s="431"/>
      <c r="AA175" s="431"/>
      <c r="AB175" s="435"/>
    </row>
    <row r="176" spans="1:28" s="204" customFormat="1" ht="13.5" thickBot="1" x14ac:dyDescent="0.25">
      <c r="A176" s="513"/>
      <c r="C176" s="349"/>
      <c r="H176" s="349"/>
      <c r="J176" s="349"/>
      <c r="S176" s="470">
        <v>5</v>
      </c>
      <c r="T176" s="433">
        <f>Geometry!G114</f>
        <v>0</v>
      </c>
      <c r="U176" s="452">
        <f>Geometry!H114</f>
        <v>0</v>
      </c>
      <c r="V176" s="431">
        <f>IF(AND(T176&lt;&gt;0,T176&lt;T167),U176,0)</f>
        <v>0</v>
      </c>
      <c r="W176" s="472">
        <f>IF(V182=0,100,((W153-V182)*100)/W153)</f>
        <v>100</v>
      </c>
      <c r="X176" s="431"/>
      <c r="Y176" s="473">
        <f>IF(W176&gt;98,0,Y177)</f>
        <v>0</v>
      </c>
      <c r="Z176" s="431"/>
      <c r="AA176" s="431"/>
      <c r="AB176" s="435"/>
    </row>
    <row r="177" spans="1:29" s="204" customFormat="1" x14ac:dyDescent="0.2">
      <c r="A177" s="513"/>
      <c r="B177" s="204">
        <v>5</v>
      </c>
      <c r="C177" s="384">
        <v>3</v>
      </c>
      <c r="D177" s="204" t="s">
        <v>125</v>
      </c>
      <c r="H177" s="349"/>
      <c r="J177" s="349"/>
      <c r="S177" s="470">
        <v>6</v>
      </c>
      <c r="T177" s="433">
        <f>Geometry!G115</f>
        <v>0</v>
      </c>
      <c r="U177" s="452">
        <f>Geometry!H115</f>
        <v>0</v>
      </c>
      <c r="V177" s="431">
        <f>IF(AND(T177&lt;&gt;0,T177&lt;T167),U177,0)</f>
        <v>0</v>
      </c>
      <c r="W177" s="431"/>
      <c r="X177" s="431"/>
      <c r="Y177" s="431">
        <f>IF(W176&gt;=95,3,Y178)</f>
        <v>3</v>
      </c>
      <c r="Z177" s="431"/>
      <c r="AA177" s="431"/>
      <c r="AB177" s="435"/>
    </row>
    <row r="178" spans="1:29" s="204" customFormat="1" x14ac:dyDescent="0.2">
      <c r="A178" s="513"/>
      <c r="C178" s="349"/>
      <c r="S178" s="470">
        <v>7</v>
      </c>
      <c r="T178" s="433">
        <f>Geometry!G116</f>
        <v>0</v>
      </c>
      <c r="U178" s="452">
        <f>Geometry!H116</f>
        <v>0</v>
      </c>
      <c r="V178" s="431">
        <f>IF(AND(T178&lt;&gt;0,T178&lt;T167),U178,0)</f>
        <v>0</v>
      </c>
      <c r="W178" s="431"/>
      <c r="X178" s="431"/>
      <c r="Y178" s="431">
        <f>IF(W176&lt;95,5,0)</f>
        <v>0</v>
      </c>
      <c r="Z178" s="431"/>
      <c r="AA178" s="431"/>
      <c r="AB178" s="435"/>
    </row>
    <row r="179" spans="1:29" s="204" customFormat="1" x14ac:dyDescent="0.2">
      <c r="A179" s="513"/>
      <c r="B179" s="204">
        <v>10</v>
      </c>
      <c r="C179" s="384">
        <v>5</v>
      </c>
      <c r="D179" s="204" t="s">
        <v>126</v>
      </c>
      <c r="H179" s="349"/>
      <c r="J179" s="349"/>
      <c r="S179" s="470">
        <v>8</v>
      </c>
      <c r="T179" s="433">
        <f>Geometry!G117</f>
        <v>0</v>
      </c>
      <c r="U179" s="452">
        <f>Geometry!H117</f>
        <v>0</v>
      </c>
      <c r="V179" s="431">
        <f>IF(AND(T179&lt;&gt;0,T179&lt;T167),U179,0)</f>
        <v>0</v>
      </c>
      <c r="W179" s="431"/>
      <c r="X179" s="431"/>
      <c r="Y179" s="431"/>
      <c r="Z179" s="431"/>
      <c r="AA179" s="431"/>
      <c r="AB179" s="435"/>
    </row>
    <row r="180" spans="1:29" s="204" customFormat="1" ht="13.5" thickBot="1" x14ac:dyDescent="0.25">
      <c r="A180" s="513"/>
      <c r="H180" s="349"/>
      <c r="J180" s="349"/>
      <c r="S180" s="470">
        <v>9</v>
      </c>
      <c r="T180" s="433">
        <f>Geometry!G118</f>
        <v>0</v>
      </c>
      <c r="U180" s="452">
        <f>Geometry!H118</f>
        <v>0</v>
      </c>
      <c r="V180" s="431">
        <f>IF(AND(T180&lt;&gt;0,T180&lt;T167),U180,0)</f>
        <v>0</v>
      </c>
      <c r="W180" s="431"/>
      <c r="X180" s="431"/>
      <c r="Y180" s="431"/>
      <c r="Z180" s="431"/>
      <c r="AA180" s="431"/>
      <c r="AB180" s="435"/>
    </row>
    <row r="181" spans="1:29" s="204" customFormat="1" ht="13.5" thickBot="1" x14ac:dyDescent="0.25">
      <c r="A181" s="513"/>
      <c r="J181" s="450" t="s">
        <v>254</v>
      </c>
      <c r="K181" s="451">
        <f>Y176</f>
        <v>0</v>
      </c>
      <c r="S181" s="470">
        <v>10</v>
      </c>
      <c r="T181" s="433">
        <f>Geometry!G119</f>
        <v>0</v>
      </c>
      <c r="U181" s="452">
        <f>Geometry!H119</f>
        <v>0</v>
      </c>
      <c r="V181" s="431">
        <f>IF(AND(T181&lt;&gt;0,T181&lt;T167),U181,0)</f>
        <v>0</v>
      </c>
      <c r="W181" s="431"/>
      <c r="X181" s="431"/>
      <c r="Y181" s="431"/>
      <c r="Z181" s="431"/>
      <c r="AA181" s="431"/>
      <c r="AB181" s="435"/>
    </row>
    <row r="182" spans="1:29" s="204" customFormat="1" x14ac:dyDescent="0.2">
      <c r="A182" s="513"/>
      <c r="B182" s="204" t="s">
        <v>15</v>
      </c>
      <c r="H182" s="349"/>
      <c r="J182" s="349"/>
      <c r="S182" s="454"/>
      <c r="T182" s="455"/>
      <c r="U182" s="455" t="s">
        <v>33</v>
      </c>
      <c r="V182" s="474">
        <f>SUM(V172:V181)</f>
        <v>0</v>
      </c>
      <c r="W182" s="455" t="s">
        <v>165</v>
      </c>
      <c r="X182" s="455"/>
      <c r="Y182" s="455"/>
      <c r="Z182" s="455"/>
      <c r="AA182" s="455"/>
      <c r="AB182" s="456"/>
    </row>
    <row r="183" spans="1:29" s="204" customFormat="1" x14ac:dyDescent="0.2">
      <c r="A183" s="513"/>
      <c r="B183" s="475" t="s">
        <v>127</v>
      </c>
      <c r="C183" s="475"/>
      <c r="D183" s="475"/>
      <c r="E183" s="475"/>
      <c r="F183" s="475"/>
      <c r="G183" s="475"/>
      <c r="H183" s="475"/>
      <c r="I183" s="475"/>
      <c r="J183" s="475"/>
      <c r="K183" s="475"/>
      <c r="L183" s="475"/>
    </row>
    <row r="184" spans="1:29" s="204" customFormat="1" x14ac:dyDescent="0.2">
      <c r="A184" s="513"/>
      <c r="H184" s="349"/>
      <c r="J184" s="349"/>
    </row>
    <row r="185" spans="1:29" s="204" customFormat="1" x14ac:dyDescent="0.2">
      <c r="H185" s="349"/>
      <c r="J185" s="450"/>
      <c r="K185" s="362"/>
    </row>
    <row r="186" spans="1:29" s="204" customFormat="1" x14ac:dyDescent="0.2">
      <c r="H186" s="349"/>
      <c r="J186" s="349"/>
    </row>
    <row r="187" spans="1:29" s="204" customFormat="1" x14ac:dyDescent="0.2">
      <c r="H187" s="349"/>
      <c r="J187" s="349"/>
    </row>
    <row r="188" spans="1:29" s="204" customFormat="1" x14ac:dyDescent="0.2">
      <c r="L188" s="204" t="s">
        <v>0</v>
      </c>
      <c r="S188" s="392"/>
      <c r="T188" s="393"/>
      <c r="U188" s="393"/>
      <c r="V188" s="393"/>
      <c r="W188" s="393"/>
      <c r="X188" s="393"/>
      <c r="Y188" s="393"/>
      <c r="Z188" s="476" t="s">
        <v>207</v>
      </c>
      <c r="AA188" s="393"/>
      <c r="AB188" s="393"/>
      <c r="AC188" s="395"/>
    </row>
    <row r="189" spans="1:29" s="204" customFormat="1" x14ac:dyDescent="0.2">
      <c r="J189" s="349"/>
      <c r="L189" s="204" t="s">
        <v>2</v>
      </c>
      <c r="S189" s="369"/>
      <c r="T189" s="360" t="s">
        <v>138</v>
      </c>
      <c r="U189" s="360"/>
      <c r="V189" s="360"/>
      <c r="W189" s="360"/>
      <c r="X189" s="375" t="s">
        <v>142</v>
      </c>
      <c r="Y189" s="370">
        <f>IF(AND(E7=0,E8=0,E9=0),0,W192)</f>
        <v>0</v>
      </c>
      <c r="Z189" s="360"/>
      <c r="AA189" s="466">
        <f>IF(Y189=I204,J204,AA190)</f>
        <v>0</v>
      </c>
      <c r="AB189" s="360"/>
      <c r="AC189" s="371"/>
    </row>
    <row r="190" spans="1:29" s="204" customFormat="1" x14ac:dyDescent="0.2">
      <c r="A190" s="513"/>
      <c r="B190" s="204" t="s">
        <v>128</v>
      </c>
      <c r="J190" s="349"/>
      <c r="L190" s="372" t="s">
        <v>473</v>
      </c>
      <c r="S190" s="369"/>
      <c r="T190" s="439">
        <f>Geometry!E7</f>
        <v>0</v>
      </c>
      <c r="U190" s="360" t="s">
        <v>139</v>
      </c>
      <c r="V190" s="431"/>
      <c r="W190" s="360"/>
      <c r="X190" s="360"/>
      <c r="Y190" s="360"/>
      <c r="Z190" s="360"/>
      <c r="AA190" s="431">
        <f>IF(Y189=I205,J205,AA191)</f>
        <v>0</v>
      </c>
      <c r="AB190" s="360"/>
      <c r="AC190" s="371"/>
    </row>
    <row r="191" spans="1:29" s="204" customFormat="1" x14ac:dyDescent="0.2">
      <c r="A191" s="513"/>
      <c r="J191" s="349"/>
      <c r="S191" s="369"/>
      <c r="T191" s="433">
        <f>Geometry!E8</f>
        <v>0</v>
      </c>
      <c r="U191" s="360" t="s">
        <v>140</v>
      </c>
      <c r="V191" s="431"/>
      <c r="W191" s="477" t="s">
        <v>143</v>
      </c>
      <c r="X191" s="477"/>
      <c r="Y191" s="477"/>
      <c r="Z191" s="360"/>
      <c r="AA191" s="431">
        <f>IF(Y189=I206,J206,AA192)</f>
        <v>0</v>
      </c>
      <c r="AB191" s="360"/>
      <c r="AC191" s="371"/>
    </row>
    <row r="192" spans="1:29" s="204" customFormat="1" x14ac:dyDescent="0.2">
      <c r="A192" s="513"/>
      <c r="J192" s="349"/>
      <c r="S192" s="369"/>
      <c r="T192" s="433">
        <f>Geometry!E9</f>
        <v>0</v>
      </c>
      <c r="U192" s="360" t="s">
        <v>141</v>
      </c>
      <c r="V192" s="360"/>
      <c r="W192" s="360">
        <f>IF(T190&lt;&gt;0,X192,W193)</f>
        <v>20</v>
      </c>
      <c r="X192" s="360">
        <f>IF('Traffic &amp; Accidents'!E33&lt;(400),40,Y192)</f>
        <v>40</v>
      </c>
      <c r="Y192" s="360">
        <f>IF('Traffic &amp; Accidents'!E33&lt;(2001),50,60)</f>
        <v>50</v>
      </c>
      <c r="Z192" s="360"/>
      <c r="AA192" s="431">
        <f>IF(Y189=I207,J207,AA193)</f>
        <v>0</v>
      </c>
      <c r="AB192" s="478"/>
      <c r="AC192" s="371"/>
    </row>
    <row r="193" spans="1:32" s="204" customFormat="1" x14ac:dyDescent="0.2">
      <c r="A193" s="513"/>
      <c r="B193" s="374" t="s">
        <v>374</v>
      </c>
      <c r="H193" s="349"/>
      <c r="J193" s="349"/>
      <c r="S193" s="369"/>
      <c r="T193" s="360"/>
      <c r="U193" s="431"/>
      <c r="V193" s="360"/>
      <c r="W193" s="360">
        <f>IF(T191&lt;&gt;0,X193,W194)</f>
        <v>20</v>
      </c>
      <c r="X193" s="360">
        <f>IF('Traffic &amp; Accidents'!E33&lt;(400),30,Y193)</f>
        <v>30</v>
      </c>
      <c r="Y193" s="360">
        <f>IF('Traffic &amp; Accidents'!E33&lt;(2001),40,50)</f>
        <v>40</v>
      </c>
      <c r="Z193" s="405"/>
      <c r="AA193" s="431">
        <f>IF(Y189=I208,K208,0)</f>
        <v>0</v>
      </c>
      <c r="AB193" s="362"/>
      <c r="AC193" s="371"/>
    </row>
    <row r="194" spans="1:32" s="204" customFormat="1" x14ac:dyDescent="0.2">
      <c r="A194" s="513"/>
      <c r="H194" s="349"/>
      <c r="J194" s="349"/>
      <c r="S194" s="369"/>
      <c r="T194" s="360"/>
      <c r="U194" s="431"/>
      <c r="V194" s="360"/>
      <c r="W194" s="360">
        <f>X194</f>
        <v>20</v>
      </c>
      <c r="X194" s="360">
        <f>IF('Traffic &amp; Accidents'!E33&lt;(400),20,Y194)</f>
        <v>20</v>
      </c>
      <c r="Y194" s="360">
        <f>IF('Traffic &amp; Accidents'!E33&lt;(2001),30,40)</f>
        <v>30</v>
      </c>
      <c r="Z194" s="360"/>
      <c r="AA194" s="360"/>
      <c r="AB194" s="362"/>
      <c r="AC194" s="371"/>
    </row>
    <row r="195" spans="1:32" s="204" customFormat="1" x14ac:dyDescent="0.2">
      <c r="A195" s="513"/>
      <c r="C195" s="204" t="s">
        <v>246</v>
      </c>
      <c r="J195" s="349"/>
      <c r="S195" s="369"/>
      <c r="T195" s="360"/>
      <c r="U195" s="431"/>
      <c r="V195" s="360"/>
      <c r="W195" s="360"/>
      <c r="X195" s="360"/>
      <c r="Y195" s="431"/>
      <c r="Z195" s="360"/>
      <c r="AA195" s="360"/>
      <c r="AB195" s="360"/>
      <c r="AC195" s="371"/>
    </row>
    <row r="196" spans="1:32" s="204" customFormat="1" x14ac:dyDescent="0.2">
      <c r="A196" s="513"/>
      <c r="H196" s="349"/>
      <c r="J196" s="349"/>
      <c r="S196" s="438"/>
      <c r="T196" s="360"/>
      <c r="U196" s="479" t="s">
        <v>192</v>
      </c>
      <c r="V196" s="479" t="s">
        <v>175</v>
      </c>
      <c r="W196" s="479" t="s">
        <v>193</v>
      </c>
      <c r="X196" s="479" t="s">
        <v>194</v>
      </c>
      <c r="Y196" s="479" t="s">
        <v>202</v>
      </c>
      <c r="Z196" s="479" t="s">
        <v>202</v>
      </c>
      <c r="AA196" s="479" t="s">
        <v>202</v>
      </c>
      <c r="AB196" s="479" t="s">
        <v>202</v>
      </c>
      <c r="AC196" s="480" t="s">
        <v>202</v>
      </c>
      <c r="AF196" s="349"/>
    </row>
    <row r="197" spans="1:32" s="204" customFormat="1" x14ac:dyDescent="0.2">
      <c r="A197" s="513"/>
      <c r="H197" s="349"/>
      <c r="J197" s="349"/>
      <c r="S197" s="438"/>
      <c r="T197" s="431" t="s">
        <v>144</v>
      </c>
      <c r="U197" s="479" t="s">
        <v>129</v>
      </c>
      <c r="V197" s="479" t="s">
        <v>195</v>
      </c>
      <c r="W197" s="479" t="s">
        <v>196</v>
      </c>
      <c r="X197" s="479" t="s">
        <v>197</v>
      </c>
      <c r="Y197" s="479" t="s">
        <v>197</v>
      </c>
      <c r="Z197" s="479" t="s">
        <v>208</v>
      </c>
      <c r="AA197" s="479" t="s">
        <v>209</v>
      </c>
      <c r="AB197" s="479" t="s">
        <v>210</v>
      </c>
      <c r="AC197" s="480" t="s">
        <v>211</v>
      </c>
      <c r="AF197" s="349"/>
    </row>
    <row r="198" spans="1:32" s="204" customFormat="1" ht="13.5" thickBot="1" x14ac:dyDescent="0.25">
      <c r="A198" s="513"/>
      <c r="H198" s="349"/>
      <c r="J198" s="349"/>
      <c r="S198" s="481" t="s">
        <v>146</v>
      </c>
      <c r="T198" s="471" t="s">
        <v>148</v>
      </c>
      <c r="U198" s="482" t="s">
        <v>175</v>
      </c>
      <c r="V198" s="482" t="s">
        <v>198</v>
      </c>
      <c r="W198" s="482" t="s">
        <v>158</v>
      </c>
      <c r="X198" s="482" t="s">
        <v>199</v>
      </c>
      <c r="Y198" s="482" t="s">
        <v>199</v>
      </c>
      <c r="Z198" s="482" t="s">
        <v>199</v>
      </c>
      <c r="AA198" s="482" t="s">
        <v>199</v>
      </c>
      <c r="AB198" s="482" t="s">
        <v>199</v>
      </c>
      <c r="AC198" s="483" t="s">
        <v>199</v>
      </c>
      <c r="AF198" s="349"/>
    </row>
    <row r="199" spans="1:32" s="204" customFormat="1" ht="13.5" thickBot="1" x14ac:dyDescent="0.25">
      <c r="A199" s="513"/>
      <c r="C199" s="446"/>
      <c r="D199" s="446"/>
      <c r="E199" s="446"/>
      <c r="F199" s="447" t="s">
        <v>171</v>
      </c>
      <c r="G199" s="446"/>
      <c r="H199" s="446"/>
      <c r="I199" s="453" t="s">
        <v>150</v>
      </c>
      <c r="J199" s="446"/>
      <c r="S199" s="470">
        <v>1</v>
      </c>
      <c r="T199" s="445">
        <f>Geometry!L110</f>
        <v>0</v>
      </c>
      <c r="U199" s="412">
        <f t="shared" ref="U199:U208" si="3">T214</f>
        <v>90</v>
      </c>
      <c r="V199" s="412">
        <f>IF(Y189&gt;U199,Y189-U199,0)</f>
        <v>0</v>
      </c>
      <c r="W199" s="412">
        <f t="shared" ref="W199:W208" si="4">IF(V199&lt;0,1,X199)</f>
        <v>0</v>
      </c>
      <c r="X199" s="412">
        <f t="shared" ref="X199:X208" si="5">IF(AND(V199&lt;=5,V199&gt;0),1,Y199)</f>
        <v>0</v>
      </c>
      <c r="Y199" s="412">
        <f t="shared" ref="Y199:Y208" si="6">IF(AND(V199&gt;5,V199&lt;=6),1,Z199)</f>
        <v>0</v>
      </c>
      <c r="Z199" s="412">
        <f t="shared" ref="Z199:Z208" si="7">IF(AND(V199&gt;6,V199&lt;=7),1,AA199)</f>
        <v>0</v>
      </c>
      <c r="AA199" s="412">
        <f t="shared" ref="AA199:AA208" si="8">IF(AND(V199&gt;7,V199&lt;=8),1,AB199)</f>
        <v>0</v>
      </c>
      <c r="AB199" s="412">
        <f t="shared" ref="AB199:AB208" si="9">IF(AND(V199&gt;8,V199&lt;=9),1,AC199)</f>
        <v>0</v>
      </c>
      <c r="AC199" s="484">
        <f t="shared" ref="AC199:AC208" si="10">IF(V199&gt;9,1,AF199)</f>
        <v>0</v>
      </c>
      <c r="AF199" s="349"/>
    </row>
    <row r="200" spans="1:32" s="204" customFormat="1" ht="13.5" thickBot="1" x14ac:dyDescent="0.25">
      <c r="A200" s="513"/>
      <c r="B200" s="315"/>
      <c r="C200" s="446"/>
      <c r="D200" s="446"/>
      <c r="E200" s="446"/>
      <c r="F200" s="446"/>
      <c r="G200" s="446"/>
      <c r="H200" s="446"/>
      <c r="I200" s="453" t="s">
        <v>172</v>
      </c>
      <c r="J200" s="446"/>
      <c r="S200" s="470">
        <v>2</v>
      </c>
      <c r="T200" s="445">
        <f>Geometry!L111</f>
        <v>0</v>
      </c>
      <c r="U200" s="412">
        <f t="shared" si="3"/>
        <v>90</v>
      </c>
      <c r="V200" s="412">
        <f>IF(Y189&gt;U200,Y189-U200,0)</f>
        <v>0</v>
      </c>
      <c r="W200" s="412">
        <f t="shared" si="4"/>
        <v>0</v>
      </c>
      <c r="X200" s="412">
        <f t="shared" si="5"/>
        <v>0</v>
      </c>
      <c r="Y200" s="412">
        <f t="shared" si="6"/>
        <v>0</v>
      </c>
      <c r="Z200" s="412">
        <f t="shared" si="7"/>
        <v>0</v>
      </c>
      <c r="AA200" s="412">
        <f t="shared" si="8"/>
        <v>0</v>
      </c>
      <c r="AB200" s="412">
        <f t="shared" si="9"/>
        <v>0</v>
      </c>
      <c r="AC200" s="484">
        <f t="shared" si="10"/>
        <v>0</v>
      </c>
      <c r="AF200" s="349"/>
    </row>
    <row r="201" spans="1:32" s="204" customFormat="1" ht="13.5" thickBot="1" x14ac:dyDescent="0.25">
      <c r="A201" s="513"/>
      <c r="C201" s="446"/>
      <c r="D201" s="446"/>
      <c r="E201" s="446"/>
      <c r="F201" s="447" t="s">
        <v>116</v>
      </c>
      <c r="G201" s="446"/>
      <c r="H201" s="446"/>
      <c r="I201" s="446"/>
      <c r="J201" s="446"/>
      <c r="S201" s="470">
        <v>3</v>
      </c>
      <c r="T201" s="445">
        <f>Geometry!L112</f>
        <v>0</v>
      </c>
      <c r="U201" s="412">
        <f t="shared" si="3"/>
        <v>90</v>
      </c>
      <c r="V201" s="412">
        <f>IF(Y189&gt;U201,Y189-U201,0)</f>
        <v>0</v>
      </c>
      <c r="W201" s="412">
        <f t="shared" si="4"/>
        <v>0</v>
      </c>
      <c r="X201" s="412">
        <f t="shared" si="5"/>
        <v>0</v>
      </c>
      <c r="Y201" s="412">
        <f t="shared" si="6"/>
        <v>0</v>
      </c>
      <c r="Z201" s="412">
        <f t="shared" si="7"/>
        <v>0</v>
      </c>
      <c r="AA201" s="412">
        <f t="shared" si="8"/>
        <v>0</v>
      </c>
      <c r="AB201" s="412">
        <f t="shared" si="9"/>
        <v>0</v>
      </c>
      <c r="AC201" s="484">
        <f t="shared" si="10"/>
        <v>0</v>
      </c>
      <c r="AF201" s="349"/>
    </row>
    <row r="202" spans="1:32" s="204" customFormat="1" ht="13.5" thickBot="1" x14ac:dyDescent="0.25">
      <c r="A202" s="513"/>
      <c r="C202" s="446"/>
      <c r="D202" s="446"/>
      <c r="E202" s="446"/>
      <c r="F202" s="448"/>
      <c r="G202" s="446"/>
      <c r="H202" s="446"/>
      <c r="I202" s="446"/>
      <c r="J202" s="446" t="s">
        <v>173</v>
      </c>
      <c r="S202" s="470">
        <v>4</v>
      </c>
      <c r="T202" s="445">
        <f>Geometry!L113</f>
        <v>0</v>
      </c>
      <c r="U202" s="412">
        <f t="shared" si="3"/>
        <v>90</v>
      </c>
      <c r="V202" s="412">
        <f>IF(Y189&gt;U202,Y189-U202,0)</f>
        <v>0</v>
      </c>
      <c r="W202" s="412">
        <f t="shared" si="4"/>
        <v>0</v>
      </c>
      <c r="X202" s="412">
        <f t="shared" si="5"/>
        <v>0</v>
      </c>
      <c r="Y202" s="412">
        <f t="shared" si="6"/>
        <v>0</v>
      </c>
      <c r="Z202" s="412">
        <f t="shared" si="7"/>
        <v>0</v>
      </c>
      <c r="AA202" s="412">
        <f t="shared" si="8"/>
        <v>0</v>
      </c>
      <c r="AB202" s="412">
        <f t="shared" si="9"/>
        <v>0</v>
      </c>
      <c r="AC202" s="484">
        <f t="shared" si="10"/>
        <v>0</v>
      </c>
      <c r="AF202" s="349"/>
    </row>
    <row r="203" spans="1:32" s="204" customFormat="1" ht="13.5" thickBot="1" x14ac:dyDescent="0.25">
      <c r="A203" s="513"/>
      <c r="C203" s="485" t="s">
        <v>138</v>
      </c>
      <c r="D203" s="485"/>
      <c r="E203" s="486" t="s">
        <v>174</v>
      </c>
      <c r="F203" s="486" t="s">
        <v>156</v>
      </c>
      <c r="G203" s="486" t="s">
        <v>119</v>
      </c>
      <c r="H203" s="446"/>
      <c r="I203" s="486" t="s">
        <v>175</v>
      </c>
      <c r="J203" s="485" t="s">
        <v>176</v>
      </c>
      <c r="S203" s="470">
        <v>5</v>
      </c>
      <c r="T203" s="445">
        <f>Geometry!L114</f>
        <v>0</v>
      </c>
      <c r="U203" s="412">
        <f t="shared" si="3"/>
        <v>90</v>
      </c>
      <c r="V203" s="412">
        <f>IF(Y189&gt;U203,Y189-U203,0)</f>
        <v>0</v>
      </c>
      <c r="W203" s="412">
        <f t="shared" si="4"/>
        <v>0</v>
      </c>
      <c r="X203" s="412">
        <f t="shared" si="5"/>
        <v>0</v>
      </c>
      <c r="Y203" s="412">
        <f t="shared" si="6"/>
        <v>0</v>
      </c>
      <c r="Z203" s="412">
        <f t="shared" si="7"/>
        <v>0</v>
      </c>
      <c r="AA203" s="412">
        <f t="shared" si="8"/>
        <v>0</v>
      </c>
      <c r="AB203" s="412">
        <f t="shared" si="9"/>
        <v>0</v>
      </c>
      <c r="AC203" s="484">
        <f t="shared" si="10"/>
        <v>0</v>
      </c>
      <c r="AF203" s="349"/>
    </row>
    <row r="204" spans="1:32" s="204" customFormat="1" ht="13.5" thickBot="1" x14ac:dyDescent="0.25">
      <c r="A204" s="513"/>
      <c r="C204" s="446" t="s">
        <v>15</v>
      </c>
      <c r="D204" s="448"/>
      <c r="E204" s="448"/>
      <c r="F204" s="448"/>
      <c r="G204" s="448"/>
      <c r="H204" s="446"/>
      <c r="I204" s="487">
        <v>60</v>
      </c>
      <c r="J204" s="487">
        <v>1340</v>
      </c>
      <c r="S204" s="470">
        <v>6</v>
      </c>
      <c r="T204" s="445">
        <f>Geometry!L115</f>
        <v>0</v>
      </c>
      <c r="U204" s="412">
        <f t="shared" si="3"/>
        <v>90</v>
      </c>
      <c r="V204" s="412">
        <f>IF(Y189&gt;U204,Y189-U204,0)</f>
        <v>0</v>
      </c>
      <c r="W204" s="412">
        <f t="shared" si="4"/>
        <v>0</v>
      </c>
      <c r="X204" s="412">
        <f t="shared" si="5"/>
        <v>0</v>
      </c>
      <c r="Y204" s="412">
        <f t="shared" si="6"/>
        <v>0</v>
      </c>
      <c r="Z204" s="412">
        <f t="shared" si="7"/>
        <v>0</v>
      </c>
      <c r="AA204" s="412">
        <f t="shared" si="8"/>
        <v>0</v>
      </c>
      <c r="AB204" s="412">
        <f t="shared" si="9"/>
        <v>0</v>
      </c>
      <c r="AC204" s="484">
        <f t="shared" si="10"/>
        <v>0</v>
      </c>
      <c r="AF204" s="349"/>
    </row>
    <row r="205" spans="1:32" s="204" customFormat="1" ht="13.5" thickBot="1" x14ac:dyDescent="0.25">
      <c r="A205" s="513"/>
      <c r="C205" s="446" t="s">
        <v>139</v>
      </c>
      <c r="D205" s="448"/>
      <c r="E205" s="487">
        <v>40</v>
      </c>
      <c r="F205" s="487">
        <v>50</v>
      </c>
      <c r="G205" s="487">
        <v>60</v>
      </c>
      <c r="H205" s="446"/>
      <c r="I205" s="487">
        <v>50</v>
      </c>
      <c r="J205" s="487">
        <v>835</v>
      </c>
      <c r="S205" s="470">
        <v>7</v>
      </c>
      <c r="T205" s="445">
        <f>Geometry!L116</f>
        <v>0</v>
      </c>
      <c r="U205" s="412">
        <f t="shared" si="3"/>
        <v>90</v>
      </c>
      <c r="V205" s="412">
        <f>IF(Y189&gt;U205,Y189-U205,0)</f>
        <v>0</v>
      </c>
      <c r="W205" s="412">
        <f t="shared" si="4"/>
        <v>0</v>
      </c>
      <c r="X205" s="412">
        <f t="shared" si="5"/>
        <v>0</v>
      </c>
      <c r="Y205" s="412">
        <f t="shared" si="6"/>
        <v>0</v>
      </c>
      <c r="Z205" s="412">
        <f t="shared" si="7"/>
        <v>0</v>
      </c>
      <c r="AA205" s="412">
        <f t="shared" si="8"/>
        <v>0</v>
      </c>
      <c r="AB205" s="412">
        <f t="shared" si="9"/>
        <v>0</v>
      </c>
      <c r="AC205" s="484">
        <f t="shared" si="10"/>
        <v>0</v>
      </c>
      <c r="AF205" s="349"/>
    </row>
    <row r="206" spans="1:32" s="204" customFormat="1" ht="13.5" thickBot="1" x14ac:dyDescent="0.25">
      <c r="A206" s="513"/>
      <c r="C206" s="446" t="s">
        <v>140</v>
      </c>
      <c r="D206" s="446"/>
      <c r="E206" s="487">
        <v>30</v>
      </c>
      <c r="F206" s="487">
        <v>40</v>
      </c>
      <c r="G206" s="487">
        <v>50</v>
      </c>
      <c r="H206" s="446"/>
      <c r="I206" s="487">
        <v>40</v>
      </c>
      <c r="J206" s="487">
        <v>510</v>
      </c>
      <c r="S206" s="470">
        <v>8</v>
      </c>
      <c r="T206" s="445">
        <f>Geometry!L117</f>
        <v>0</v>
      </c>
      <c r="U206" s="412">
        <f t="shared" si="3"/>
        <v>90</v>
      </c>
      <c r="V206" s="412">
        <f>IF(Y189&gt;U206,Y189-U206,0)</f>
        <v>0</v>
      </c>
      <c r="W206" s="412">
        <f t="shared" si="4"/>
        <v>0</v>
      </c>
      <c r="X206" s="412">
        <f t="shared" si="5"/>
        <v>0</v>
      </c>
      <c r="Y206" s="412">
        <f t="shared" si="6"/>
        <v>0</v>
      </c>
      <c r="Z206" s="412">
        <f t="shared" si="7"/>
        <v>0</v>
      </c>
      <c r="AA206" s="412">
        <f t="shared" si="8"/>
        <v>0</v>
      </c>
      <c r="AB206" s="412">
        <f t="shared" si="9"/>
        <v>0</v>
      </c>
      <c r="AC206" s="484">
        <f t="shared" si="10"/>
        <v>0</v>
      </c>
      <c r="AF206" s="349"/>
    </row>
    <row r="207" spans="1:32" s="204" customFormat="1" ht="13.5" thickBot="1" x14ac:dyDescent="0.25">
      <c r="A207" s="513"/>
      <c r="C207" s="446" t="s">
        <v>141</v>
      </c>
      <c r="D207" s="446"/>
      <c r="E207" s="487">
        <v>20</v>
      </c>
      <c r="F207" s="487">
        <v>30</v>
      </c>
      <c r="G207" s="487">
        <v>40</v>
      </c>
      <c r="H207" s="446"/>
      <c r="I207" s="487">
        <v>30</v>
      </c>
      <c r="J207" s="487">
        <v>275</v>
      </c>
      <c r="S207" s="470">
        <v>9</v>
      </c>
      <c r="T207" s="445">
        <f>Geometry!L118</f>
        <v>0</v>
      </c>
      <c r="U207" s="412">
        <f t="shared" si="3"/>
        <v>90</v>
      </c>
      <c r="V207" s="412">
        <f>IF(Y189&gt;U207,Y189-U207,0)</f>
        <v>0</v>
      </c>
      <c r="W207" s="412">
        <f t="shared" si="4"/>
        <v>0</v>
      </c>
      <c r="X207" s="412">
        <f t="shared" si="5"/>
        <v>0</v>
      </c>
      <c r="Y207" s="412">
        <f t="shared" si="6"/>
        <v>0</v>
      </c>
      <c r="Z207" s="412">
        <f t="shared" si="7"/>
        <v>0</v>
      </c>
      <c r="AA207" s="412">
        <f t="shared" si="8"/>
        <v>0</v>
      </c>
      <c r="AB207" s="412">
        <f t="shared" si="9"/>
        <v>0</v>
      </c>
      <c r="AC207" s="484">
        <f t="shared" si="10"/>
        <v>0</v>
      </c>
      <c r="AF207" s="349"/>
    </row>
    <row r="208" spans="1:32" s="204" customFormat="1" ht="13.5" thickBot="1" x14ac:dyDescent="0.25">
      <c r="A208" s="513"/>
      <c r="C208" s="446"/>
      <c r="D208" s="448"/>
      <c r="E208" s="448"/>
      <c r="F208" s="448"/>
      <c r="G208" s="448"/>
      <c r="H208" s="446"/>
      <c r="I208" s="487">
        <v>20</v>
      </c>
      <c r="J208" s="487">
        <v>115</v>
      </c>
      <c r="S208" s="470">
        <v>10</v>
      </c>
      <c r="T208" s="445">
        <f>Geometry!L119</f>
        <v>0</v>
      </c>
      <c r="U208" s="412">
        <f t="shared" si="3"/>
        <v>90</v>
      </c>
      <c r="V208" s="412">
        <f>IF(Y189&gt;U208,Y189-U208,0)</f>
        <v>0</v>
      </c>
      <c r="W208" s="412">
        <f t="shared" si="4"/>
        <v>0</v>
      </c>
      <c r="X208" s="412">
        <f t="shared" si="5"/>
        <v>0</v>
      </c>
      <c r="Y208" s="412">
        <f t="shared" si="6"/>
        <v>0</v>
      </c>
      <c r="Z208" s="412">
        <f t="shared" si="7"/>
        <v>0</v>
      </c>
      <c r="AA208" s="412">
        <f t="shared" si="8"/>
        <v>0</v>
      </c>
      <c r="AB208" s="412">
        <f t="shared" si="9"/>
        <v>0</v>
      </c>
      <c r="AC208" s="484">
        <f t="shared" si="10"/>
        <v>0</v>
      </c>
      <c r="AF208" s="349"/>
    </row>
    <row r="209" spans="1:32" s="204" customFormat="1" x14ac:dyDescent="0.2">
      <c r="A209" s="513"/>
      <c r="H209" s="349"/>
      <c r="J209" s="349"/>
      <c r="S209" s="438"/>
      <c r="T209" s="431"/>
      <c r="U209" s="431"/>
      <c r="V209" s="431"/>
      <c r="W209" s="488">
        <f>IF(SUM(W199:W208)&gt;0,0,0)</f>
        <v>0</v>
      </c>
      <c r="X209" s="488">
        <f>IF(SUM(X199:X208)&gt;0,0,W209)</f>
        <v>0</v>
      </c>
      <c r="Y209" s="488">
        <f>IF(SUM(Y199:Y208)&gt;0,1,X209)</f>
        <v>0</v>
      </c>
      <c r="Z209" s="362">
        <f>IF(SUM(Z199:Z208)&gt;0,2,Y209)</f>
        <v>0</v>
      </c>
      <c r="AA209" s="362">
        <f>IF(SUM(AA199:AA208)&gt;0,3,Z209)</f>
        <v>0</v>
      </c>
      <c r="AB209" s="362">
        <f>IF(SUM(AB199:AB208)&gt;0,4,AA209)</f>
        <v>0</v>
      </c>
      <c r="AC209" s="370">
        <f>IF(SUM(AC199:AC208)&gt;0,5,AB209)</f>
        <v>0</v>
      </c>
      <c r="AF209" s="362"/>
    </row>
    <row r="210" spans="1:32" s="204" customFormat="1" x14ac:dyDescent="0.2">
      <c r="A210" s="513"/>
      <c r="H210" s="349"/>
      <c r="J210" s="349"/>
      <c r="S210" s="438"/>
      <c r="T210" s="431"/>
      <c r="U210" s="431"/>
      <c r="V210" s="431"/>
      <c r="W210" s="431"/>
      <c r="X210" s="431"/>
      <c r="Y210" s="431"/>
      <c r="Z210" s="431"/>
      <c r="AA210" s="360"/>
      <c r="AB210" s="360"/>
      <c r="AC210" s="435" t="s">
        <v>200</v>
      </c>
    </row>
    <row r="211" spans="1:32" s="204" customFormat="1" x14ac:dyDescent="0.2">
      <c r="A211" s="513"/>
      <c r="C211" s="204" t="s">
        <v>5</v>
      </c>
      <c r="D211" s="204" t="s">
        <v>123</v>
      </c>
      <c r="H211" s="349"/>
      <c r="J211" s="349"/>
      <c r="S211" s="369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71" t="s">
        <v>203</v>
      </c>
    </row>
    <row r="212" spans="1:32" s="204" customFormat="1" x14ac:dyDescent="0.2">
      <c r="A212" s="513"/>
      <c r="H212" s="349"/>
      <c r="J212" s="349"/>
      <c r="S212" s="489" t="s">
        <v>146</v>
      </c>
      <c r="T212" s="490" t="s">
        <v>201</v>
      </c>
      <c r="U212" s="431"/>
      <c r="V212" s="431"/>
      <c r="W212" s="431"/>
      <c r="X212" s="431"/>
      <c r="Y212" s="431"/>
      <c r="Z212" s="360"/>
      <c r="AA212" s="360"/>
      <c r="AB212" s="360"/>
      <c r="AC212" s="371"/>
    </row>
    <row r="213" spans="1:32" s="204" customFormat="1" x14ac:dyDescent="0.2">
      <c r="A213" s="513"/>
      <c r="J213" s="349"/>
      <c r="S213" s="438"/>
      <c r="T213" s="431"/>
      <c r="U213" s="431"/>
      <c r="V213" s="431"/>
      <c r="W213" s="431"/>
      <c r="X213" s="431"/>
      <c r="Y213" s="431"/>
      <c r="Z213" s="360"/>
      <c r="AA213" s="360"/>
      <c r="AB213" s="360"/>
      <c r="AC213" s="371"/>
    </row>
    <row r="214" spans="1:32" s="204" customFormat="1" x14ac:dyDescent="0.2">
      <c r="A214" s="513"/>
      <c r="C214" s="349">
        <v>0</v>
      </c>
      <c r="D214" s="204" t="s">
        <v>130</v>
      </c>
      <c r="H214" s="349"/>
      <c r="J214" s="349"/>
      <c r="S214" s="470">
        <v>1</v>
      </c>
      <c r="T214" s="370">
        <f t="shared" ref="T214:T223" si="11">IF(AND(T199&gt;0,T199&lt;=115),(T199/115)*20,U214)</f>
        <v>90</v>
      </c>
      <c r="U214" s="362">
        <f t="shared" ref="U214:U223" si="12">IF(AND(T199&gt;115,T199&lt;=275),20+((T199-115)/160)*10,V214)</f>
        <v>90</v>
      </c>
      <c r="V214" s="362">
        <f t="shared" ref="V214:V223" si="13">IF(AND(T199&gt;275,T199&lt;=510),30+((T199-275)/235)*10,W214)</f>
        <v>90</v>
      </c>
      <c r="W214" s="362">
        <f t="shared" ref="W214:W223" si="14">IF(AND(T199&gt;510,T199&lt;=835),40+((T199-510)/325)*10,X214)</f>
        <v>90</v>
      </c>
      <c r="X214" s="362">
        <f t="shared" ref="X214:X223" si="15">IF(AND(T199&gt;835,T199&lt;=1340),50+((T199-835)/505)*10,Y214)</f>
        <v>90</v>
      </c>
      <c r="Y214" s="362">
        <f t="shared" ref="Y214:Y223" si="16">IF(T199&gt;1340,65,90)</f>
        <v>90</v>
      </c>
      <c r="Z214" s="360"/>
      <c r="AA214" s="360"/>
      <c r="AB214" s="360"/>
      <c r="AC214" s="371"/>
    </row>
    <row r="215" spans="1:32" s="204" customFormat="1" x14ac:dyDescent="0.2">
      <c r="A215" s="513"/>
      <c r="C215" s="349" t="s">
        <v>131</v>
      </c>
      <c r="H215" s="349"/>
      <c r="J215" s="349"/>
      <c r="S215" s="470">
        <v>2</v>
      </c>
      <c r="T215" s="370">
        <f t="shared" si="11"/>
        <v>90</v>
      </c>
      <c r="U215" s="362">
        <f t="shared" si="12"/>
        <v>90</v>
      </c>
      <c r="V215" s="362">
        <f t="shared" si="13"/>
        <v>90</v>
      </c>
      <c r="W215" s="362">
        <f t="shared" si="14"/>
        <v>90</v>
      </c>
      <c r="X215" s="362">
        <f t="shared" si="15"/>
        <v>90</v>
      </c>
      <c r="Y215" s="362">
        <f t="shared" si="16"/>
        <v>90</v>
      </c>
      <c r="Z215" s="360"/>
      <c r="AA215" s="360"/>
      <c r="AB215" s="360"/>
      <c r="AC215" s="371"/>
    </row>
    <row r="216" spans="1:32" s="204" customFormat="1" x14ac:dyDescent="0.2">
      <c r="A216" s="513"/>
      <c r="C216" s="384">
        <v>0</v>
      </c>
      <c r="D216" s="204" t="s">
        <v>375</v>
      </c>
      <c r="S216" s="470">
        <v>3</v>
      </c>
      <c r="T216" s="370">
        <f t="shared" si="11"/>
        <v>90</v>
      </c>
      <c r="U216" s="362">
        <f t="shared" si="12"/>
        <v>90</v>
      </c>
      <c r="V216" s="362">
        <f t="shared" si="13"/>
        <v>90</v>
      </c>
      <c r="W216" s="362">
        <f t="shared" si="14"/>
        <v>90</v>
      </c>
      <c r="X216" s="362">
        <f t="shared" si="15"/>
        <v>90</v>
      </c>
      <c r="Y216" s="362">
        <f t="shared" si="16"/>
        <v>90</v>
      </c>
      <c r="Z216" s="360"/>
      <c r="AA216" s="360"/>
      <c r="AB216" s="360"/>
      <c r="AC216" s="371"/>
    </row>
    <row r="217" spans="1:32" s="204" customFormat="1" x14ac:dyDescent="0.2">
      <c r="A217" s="513"/>
      <c r="C217" s="349"/>
      <c r="H217" s="349"/>
      <c r="J217" s="349"/>
      <c r="S217" s="470">
        <v>4</v>
      </c>
      <c r="T217" s="370">
        <f t="shared" si="11"/>
        <v>90</v>
      </c>
      <c r="U217" s="362">
        <f t="shared" si="12"/>
        <v>90</v>
      </c>
      <c r="V217" s="362">
        <f t="shared" si="13"/>
        <v>90</v>
      </c>
      <c r="W217" s="362">
        <f t="shared" si="14"/>
        <v>90</v>
      </c>
      <c r="X217" s="362">
        <f t="shared" si="15"/>
        <v>90</v>
      </c>
      <c r="Y217" s="362">
        <f t="shared" si="16"/>
        <v>90</v>
      </c>
      <c r="Z217" s="360"/>
      <c r="AA217" s="360"/>
      <c r="AB217" s="360"/>
      <c r="AC217" s="371"/>
    </row>
    <row r="218" spans="1:32" s="204" customFormat="1" x14ac:dyDescent="0.2">
      <c r="A218" s="513"/>
      <c r="C218" s="384">
        <v>1</v>
      </c>
      <c r="D218" s="204" t="s">
        <v>376</v>
      </c>
      <c r="H218" s="349"/>
      <c r="J218" s="349"/>
      <c r="S218" s="470">
        <v>5</v>
      </c>
      <c r="T218" s="370">
        <f t="shared" si="11"/>
        <v>90</v>
      </c>
      <c r="U218" s="362">
        <f t="shared" si="12"/>
        <v>90</v>
      </c>
      <c r="V218" s="362">
        <f t="shared" si="13"/>
        <v>90</v>
      </c>
      <c r="W218" s="362">
        <f t="shared" si="14"/>
        <v>90</v>
      </c>
      <c r="X218" s="362">
        <f t="shared" si="15"/>
        <v>90</v>
      </c>
      <c r="Y218" s="362">
        <f t="shared" si="16"/>
        <v>90</v>
      </c>
      <c r="Z218" s="360"/>
      <c r="AA218" s="360"/>
      <c r="AB218" s="360"/>
      <c r="AC218" s="371"/>
    </row>
    <row r="219" spans="1:32" s="204" customFormat="1" x14ac:dyDescent="0.2">
      <c r="A219" s="513"/>
      <c r="C219" s="384"/>
      <c r="J219" s="349"/>
      <c r="S219" s="470">
        <v>6</v>
      </c>
      <c r="T219" s="370">
        <f t="shared" si="11"/>
        <v>90</v>
      </c>
      <c r="U219" s="362">
        <f t="shared" si="12"/>
        <v>90</v>
      </c>
      <c r="V219" s="362">
        <f t="shared" si="13"/>
        <v>90</v>
      </c>
      <c r="W219" s="362">
        <f t="shared" si="14"/>
        <v>90</v>
      </c>
      <c r="X219" s="362">
        <f t="shared" si="15"/>
        <v>90</v>
      </c>
      <c r="Y219" s="362">
        <f t="shared" si="16"/>
        <v>90</v>
      </c>
      <c r="Z219" s="360"/>
      <c r="AA219" s="360"/>
      <c r="AB219" s="360"/>
      <c r="AC219" s="371"/>
    </row>
    <row r="220" spans="1:32" s="204" customFormat="1" x14ac:dyDescent="0.2">
      <c r="C220" s="384">
        <v>2</v>
      </c>
      <c r="D220" s="204" t="s">
        <v>377</v>
      </c>
      <c r="H220" s="349"/>
      <c r="J220" s="349"/>
      <c r="S220" s="470">
        <v>7</v>
      </c>
      <c r="T220" s="370">
        <f t="shared" si="11"/>
        <v>90</v>
      </c>
      <c r="U220" s="362">
        <f t="shared" si="12"/>
        <v>90</v>
      </c>
      <c r="V220" s="362">
        <f t="shared" si="13"/>
        <v>90</v>
      </c>
      <c r="W220" s="362">
        <f t="shared" si="14"/>
        <v>90</v>
      </c>
      <c r="X220" s="362">
        <f t="shared" si="15"/>
        <v>90</v>
      </c>
      <c r="Y220" s="362">
        <f t="shared" si="16"/>
        <v>90</v>
      </c>
      <c r="Z220" s="360"/>
      <c r="AA220" s="360"/>
      <c r="AB220" s="360"/>
      <c r="AC220" s="371"/>
    </row>
    <row r="221" spans="1:32" s="204" customFormat="1" x14ac:dyDescent="0.2">
      <c r="C221" s="384"/>
      <c r="H221" s="349"/>
      <c r="J221" s="349"/>
      <c r="S221" s="470">
        <v>8</v>
      </c>
      <c r="T221" s="370">
        <f t="shared" si="11"/>
        <v>90</v>
      </c>
      <c r="U221" s="362">
        <f t="shared" si="12"/>
        <v>90</v>
      </c>
      <c r="V221" s="362">
        <f t="shared" si="13"/>
        <v>90</v>
      </c>
      <c r="W221" s="362">
        <f t="shared" si="14"/>
        <v>90</v>
      </c>
      <c r="X221" s="362">
        <f t="shared" si="15"/>
        <v>90</v>
      </c>
      <c r="Y221" s="362">
        <f t="shared" si="16"/>
        <v>90</v>
      </c>
      <c r="Z221" s="360"/>
      <c r="AA221" s="360"/>
      <c r="AB221" s="360"/>
      <c r="AC221" s="371"/>
    </row>
    <row r="222" spans="1:32" s="204" customFormat="1" x14ac:dyDescent="0.2">
      <c r="C222" s="384">
        <v>3</v>
      </c>
      <c r="D222" s="204" t="s">
        <v>378</v>
      </c>
      <c r="S222" s="470">
        <v>9</v>
      </c>
      <c r="T222" s="370">
        <f t="shared" si="11"/>
        <v>90</v>
      </c>
      <c r="U222" s="362">
        <f t="shared" si="12"/>
        <v>90</v>
      </c>
      <c r="V222" s="362">
        <f t="shared" si="13"/>
        <v>90</v>
      </c>
      <c r="W222" s="362">
        <f t="shared" si="14"/>
        <v>90</v>
      </c>
      <c r="X222" s="362">
        <f t="shared" si="15"/>
        <v>90</v>
      </c>
      <c r="Y222" s="362">
        <f t="shared" si="16"/>
        <v>90</v>
      </c>
      <c r="Z222" s="360"/>
      <c r="AA222" s="360"/>
      <c r="AB222" s="360"/>
      <c r="AC222" s="371"/>
    </row>
    <row r="223" spans="1:32" s="204" customFormat="1" x14ac:dyDescent="0.2">
      <c r="B223" s="315"/>
      <c r="S223" s="470">
        <v>10</v>
      </c>
      <c r="T223" s="370">
        <f t="shared" si="11"/>
        <v>90</v>
      </c>
      <c r="U223" s="362">
        <f t="shared" si="12"/>
        <v>90</v>
      </c>
      <c r="V223" s="362">
        <f t="shared" si="13"/>
        <v>90</v>
      </c>
      <c r="W223" s="362">
        <f t="shared" si="14"/>
        <v>90</v>
      </c>
      <c r="X223" s="362">
        <f t="shared" si="15"/>
        <v>90</v>
      </c>
      <c r="Y223" s="362">
        <f t="shared" si="16"/>
        <v>90</v>
      </c>
      <c r="Z223" s="360"/>
      <c r="AA223" s="360"/>
      <c r="AB223" s="360"/>
      <c r="AC223" s="371"/>
    </row>
    <row r="224" spans="1:32" s="204" customFormat="1" x14ac:dyDescent="0.2">
      <c r="B224" s="315"/>
      <c r="C224" s="384">
        <v>4</v>
      </c>
      <c r="D224" s="204" t="s">
        <v>379</v>
      </c>
      <c r="J224" s="349"/>
      <c r="S224" s="389"/>
      <c r="T224" s="390"/>
      <c r="U224" s="390"/>
      <c r="V224" s="390"/>
      <c r="W224" s="390"/>
      <c r="X224" s="390"/>
      <c r="Y224" s="390"/>
      <c r="Z224" s="390"/>
      <c r="AA224" s="390"/>
      <c r="AB224" s="390"/>
      <c r="AC224" s="391"/>
    </row>
    <row r="225" spans="1:22" s="315" customFormat="1" x14ac:dyDescent="0.2">
      <c r="A225" s="204"/>
      <c r="C225" s="204"/>
      <c r="D225" s="204"/>
      <c r="E225" s="204"/>
      <c r="F225" s="204"/>
      <c r="G225" s="204"/>
      <c r="H225" s="349"/>
      <c r="I225" s="204"/>
      <c r="J225" s="349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</row>
    <row r="226" spans="1:22" s="315" customFormat="1" x14ac:dyDescent="0.2">
      <c r="A226" s="204"/>
      <c r="B226" s="204"/>
      <c r="C226" s="384">
        <v>5</v>
      </c>
      <c r="D226" s="204" t="s">
        <v>132</v>
      </c>
      <c r="E226" s="204"/>
      <c r="F226" s="204"/>
      <c r="G226" s="204"/>
      <c r="H226" s="349"/>
      <c r="I226" s="204"/>
      <c r="J226" s="349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</row>
    <row r="227" spans="1:22" s="315" customFormat="1" x14ac:dyDescent="0.2">
      <c r="A227" s="204"/>
      <c r="B227" s="204"/>
      <c r="C227" s="204"/>
      <c r="D227" s="204"/>
      <c r="E227" s="204"/>
      <c r="F227" s="204"/>
      <c r="G227" s="204"/>
      <c r="H227" s="349"/>
      <c r="I227" s="204"/>
      <c r="J227" s="349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</row>
    <row r="228" spans="1:22" s="315" customFormat="1" x14ac:dyDescent="0.2">
      <c r="A228" s="204"/>
      <c r="B228" s="204"/>
      <c r="C228" s="204"/>
      <c r="D228" s="204"/>
      <c r="E228" s="204"/>
      <c r="F228" s="204"/>
      <c r="G228" s="204"/>
      <c r="H228" s="349"/>
      <c r="I228" s="204"/>
      <c r="J228" s="349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</row>
    <row r="229" spans="1:22" s="315" customFormat="1" x14ac:dyDescent="0.2">
      <c r="A229" s="204"/>
      <c r="B229" s="204"/>
      <c r="C229" s="204"/>
      <c r="D229" s="204"/>
      <c r="E229" s="204"/>
      <c r="F229" s="204"/>
      <c r="G229" s="204"/>
      <c r="H229" s="349"/>
      <c r="I229" s="204"/>
      <c r="J229" s="349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</row>
    <row r="230" spans="1:22" s="315" customFormat="1" x14ac:dyDescent="0.2">
      <c r="A230" s="204"/>
      <c r="B230" s="204"/>
      <c r="C230" s="204"/>
      <c r="D230" s="204"/>
      <c r="E230" s="204"/>
      <c r="F230" s="204"/>
      <c r="G230" s="204"/>
      <c r="H230" s="349"/>
      <c r="I230" s="204"/>
      <c r="J230" s="349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</row>
    <row r="231" spans="1:22" s="315" customFormat="1" ht="13.5" thickBot="1" x14ac:dyDescent="0.25">
      <c r="A231" s="204"/>
      <c r="B231" s="204"/>
      <c r="C231" s="204"/>
      <c r="D231" s="204"/>
      <c r="E231" s="204"/>
      <c r="F231" s="204"/>
      <c r="G231" s="204"/>
      <c r="H231" s="349"/>
      <c r="I231" s="204"/>
      <c r="J231" s="349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</row>
    <row r="232" spans="1:22" s="315" customFormat="1" ht="13.5" thickBot="1" x14ac:dyDescent="0.25">
      <c r="A232" s="204"/>
      <c r="B232" s="204"/>
      <c r="C232" s="204"/>
      <c r="D232" s="204"/>
      <c r="E232" s="204"/>
      <c r="F232" s="204" t="s">
        <v>133</v>
      </c>
      <c r="G232" s="204"/>
      <c r="H232" s="204"/>
      <c r="I232" s="204"/>
      <c r="J232" s="491">
        <f>AC209</f>
        <v>0</v>
      </c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</row>
    <row r="233" spans="1:22" s="315" customFormat="1" x14ac:dyDescent="0.2">
      <c r="A233" s="204"/>
      <c r="B233" s="204" t="s">
        <v>15</v>
      </c>
      <c r="C233" s="204"/>
      <c r="D233" s="204"/>
      <c r="E233" s="204"/>
      <c r="F233" s="204"/>
      <c r="G233" s="204"/>
      <c r="H233" s="349"/>
      <c r="I233" s="204"/>
      <c r="J233" s="349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</row>
    <row r="234" spans="1:22" s="315" customFormat="1" x14ac:dyDescent="0.2">
      <c r="A234" s="204"/>
      <c r="B234" s="204"/>
      <c r="C234" s="204"/>
      <c r="D234" s="204"/>
      <c r="E234" s="204"/>
      <c r="F234" s="204"/>
      <c r="G234" s="204"/>
      <c r="H234" s="349"/>
      <c r="I234" s="204"/>
      <c r="J234" s="349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</row>
    <row r="235" spans="1:22" s="315" customFormat="1" x14ac:dyDescent="0.2">
      <c r="A235" s="204"/>
      <c r="B235" s="204"/>
      <c r="C235" s="204"/>
      <c r="D235" s="204"/>
      <c r="E235" s="204"/>
      <c r="F235" s="204"/>
      <c r="G235" s="204"/>
      <c r="H235" s="349"/>
      <c r="I235" s="204"/>
      <c r="J235" s="349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</row>
    <row r="236" spans="1:22" s="315" customFormat="1" x14ac:dyDescent="0.2">
      <c r="A236" s="204"/>
      <c r="B236" s="204"/>
      <c r="C236" s="204"/>
      <c r="D236" s="204"/>
      <c r="E236" s="204"/>
      <c r="F236" s="204"/>
      <c r="G236" s="204"/>
      <c r="H236" s="349"/>
      <c r="I236" s="204"/>
      <c r="J236" s="349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</row>
    <row r="237" spans="1:22" s="315" customFormat="1" x14ac:dyDescent="0.2">
      <c r="A237" s="204"/>
      <c r="B237" s="204"/>
      <c r="C237" s="204"/>
      <c r="D237" s="204"/>
      <c r="E237" s="204"/>
      <c r="F237" s="204"/>
      <c r="G237" s="204"/>
      <c r="H237" s="349"/>
      <c r="I237" s="204"/>
      <c r="J237" s="349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</row>
    <row r="238" spans="1:22" s="315" customFormat="1" x14ac:dyDescent="0.2">
      <c r="A238" s="204"/>
      <c r="B238" s="204"/>
      <c r="C238" s="475" t="s">
        <v>190</v>
      </c>
      <c r="D238" s="475"/>
      <c r="E238" s="475"/>
      <c r="F238" s="475"/>
      <c r="G238" s="475"/>
      <c r="H238" s="475"/>
      <c r="I238" s="475"/>
      <c r="J238" s="475"/>
      <c r="K238" s="475"/>
      <c r="L238" s="475"/>
      <c r="M238" s="475"/>
      <c r="N238" s="475"/>
      <c r="O238" s="475"/>
      <c r="P238" s="475"/>
      <c r="Q238" s="475"/>
      <c r="R238" s="204"/>
      <c r="S238" s="204"/>
      <c r="T238" s="204"/>
      <c r="U238" s="204"/>
      <c r="V238" s="204"/>
    </row>
    <row r="239" spans="1:22" s="315" customFormat="1" x14ac:dyDescent="0.2">
      <c r="A239" s="204"/>
      <c r="B239" s="204"/>
      <c r="C239" s="475" t="s">
        <v>127</v>
      </c>
      <c r="D239" s="475"/>
      <c r="E239" s="475"/>
      <c r="F239" s="475"/>
      <c r="G239" s="475"/>
      <c r="H239" s="475"/>
      <c r="I239" s="475"/>
      <c r="J239" s="349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</row>
    <row r="240" spans="1:22" s="315" customFormat="1" x14ac:dyDescent="0.2">
      <c r="A240" s="204"/>
      <c r="B240" s="204"/>
      <c r="C240" s="204"/>
      <c r="D240" s="204"/>
      <c r="E240" s="204"/>
      <c r="F240" s="204"/>
      <c r="G240" s="204"/>
      <c r="H240" s="349"/>
      <c r="I240" s="204"/>
      <c r="J240" s="349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</row>
    <row r="241" spans="1:10" s="204" customFormat="1" x14ac:dyDescent="0.2">
      <c r="H241" s="349"/>
      <c r="J241" s="349"/>
    </row>
    <row r="242" spans="1:10" s="204" customFormat="1" x14ac:dyDescent="0.2">
      <c r="H242" s="349"/>
      <c r="J242" s="349"/>
    </row>
    <row r="243" spans="1:10" s="204" customFormat="1" x14ac:dyDescent="0.2">
      <c r="A243" s="315"/>
    </row>
  </sheetData>
  <sheetProtection password="EC65" sheet="1" selectLockedCells="1"/>
  <mergeCells count="41">
    <mergeCell ref="C9:D9"/>
    <mergeCell ref="G103:K103"/>
    <mergeCell ref="S134:AB134"/>
    <mergeCell ref="T40:V40"/>
    <mergeCell ref="D5:F5"/>
    <mergeCell ref="J5:K5"/>
    <mergeCell ref="L104:M104"/>
    <mergeCell ref="G104:H104"/>
    <mergeCell ref="D15:F15"/>
    <mergeCell ref="C7:D7"/>
    <mergeCell ref="C8:D8"/>
    <mergeCell ref="B104:C104"/>
    <mergeCell ref="AB55:AE55"/>
    <mergeCell ref="F47:H47"/>
    <mergeCell ref="F44:I44"/>
    <mergeCell ref="AB40:AD40"/>
    <mergeCell ref="A190:A219"/>
    <mergeCell ref="A81:A95"/>
    <mergeCell ref="A145:A160"/>
    <mergeCell ref="L103:O103"/>
    <mergeCell ref="B103:F103"/>
    <mergeCell ref="S162:AB162"/>
    <mergeCell ref="C149:I149"/>
    <mergeCell ref="A161:A184"/>
    <mergeCell ref="D150:I150"/>
    <mergeCell ref="Y45:Y47"/>
    <mergeCell ref="Y89:Y90"/>
    <mergeCell ref="X83:Y83"/>
    <mergeCell ref="X65:Y65"/>
    <mergeCell ref="W64:Z64"/>
    <mergeCell ref="Y72:Y73"/>
    <mergeCell ref="W60:Z62"/>
    <mergeCell ref="T45:U45"/>
    <mergeCell ref="AB45:AD45"/>
    <mergeCell ref="T55:U55"/>
    <mergeCell ref="X54:Z56"/>
    <mergeCell ref="D16:F17"/>
    <mergeCell ref="L16:N17"/>
    <mergeCell ref="H16:J17"/>
    <mergeCell ref="C21:C23"/>
    <mergeCell ref="V37:Y38"/>
  </mergeCells>
  <conditionalFormatting sqref="N120:P120 F120 K120">
    <cfRule type="expression" dxfId="4" priority="18" stopIfTrue="1">
      <formula>ISERROR($F$290)</formula>
    </cfRule>
  </conditionalFormatting>
  <conditionalFormatting sqref="E110:E119">
    <cfRule type="expression" dxfId="3" priority="19" stopIfTrue="1">
      <formula>ISERROR($AF$260)</formula>
    </cfRule>
  </conditionalFormatting>
  <conditionalFormatting sqref="E120 J120">
    <cfRule type="expression" dxfId="2" priority="20" stopIfTrue="1">
      <formula>ISERROR($G$290)</formula>
    </cfRule>
  </conditionalFormatting>
  <conditionalFormatting sqref="J110:J119">
    <cfRule type="expression" dxfId="1" priority="5" stopIfTrue="1">
      <formula>ISERROR($AF$260)</formula>
    </cfRule>
  </conditionalFormatting>
  <conditionalFormatting sqref="N110:N119">
    <cfRule type="expression" dxfId="0" priority="3" stopIfTrue="1">
      <formula>ISERROR($AF$260)</formula>
    </cfRule>
  </conditionalFormatting>
  <hyperlinks>
    <hyperlink ref="B104:C104" location="'3R WORKSHEETS'!A319" display="See Sheet 8"/>
    <hyperlink ref="G104:H104" location="'3R WORKSHEETS'!A335" display="See Sheet 8"/>
    <hyperlink ref="L104:M104" location="'3R WORKSHEETS'!A364" display="See Sheet 9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2:AJ54"/>
  <sheetViews>
    <sheetView showGridLines="0" workbookViewId="0">
      <selection activeCell="F38" sqref="F38"/>
    </sheetView>
  </sheetViews>
  <sheetFormatPr defaultColWidth="7.7109375" defaultRowHeight="12.75" x14ac:dyDescent="0.2"/>
  <cols>
    <col min="1" max="16384" width="7.7109375" style="203"/>
  </cols>
  <sheetData>
    <row r="2" spans="3:36" x14ac:dyDescent="0.2">
      <c r="Q2" s="211"/>
      <c r="R2" s="211"/>
      <c r="S2" s="211"/>
      <c r="T2" s="211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3:36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211"/>
      <c r="R3" s="211"/>
      <c r="S3" s="211"/>
      <c r="T3" s="211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</row>
    <row r="4" spans="3:36" x14ac:dyDescent="0.2">
      <c r="C4" s="1"/>
      <c r="D4" s="34"/>
      <c r="E4" s="50"/>
      <c r="F4" s="50"/>
      <c r="G4" s="34"/>
      <c r="H4" s="34"/>
      <c r="I4" s="110" t="s">
        <v>347</v>
      </c>
      <c r="J4" s="34"/>
      <c r="K4" s="34"/>
      <c r="L4" s="34"/>
      <c r="M4" s="34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</row>
    <row r="5" spans="3:36" x14ac:dyDescent="0.2">
      <c r="C5" s="1"/>
      <c r="D5" s="50"/>
      <c r="E5" s="50"/>
      <c r="F5" s="50"/>
      <c r="G5" s="34"/>
      <c r="H5" s="34"/>
      <c r="I5" s="34"/>
      <c r="J5" s="34"/>
      <c r="K5" s="34"/>
      <c r="L5" s="34"/>
      <c r="M5" s="34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</row>
    <row r="6" spans="3:36" x14ac:dyDescent="0.2">
      <c r="C6" s="111" t="s">
        <v>404</v>
      </c>
      <c r="D6" s="34"/>
      <c r="E6" s="50"/>
      <c r="F6" s="50"/>
      <c r="G6" s="34"/>
      <c r="H6" s="34"/>
      <c r="I6" s="34"/>
      <c r="J6" s="34"/>
      <c r="K6" s="34"/>
      <c r="L6" s="34"/>
      <c r="M6" s="34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</row>
    <row r="7" spans="3:36" x14ac:dyDescent="0.2">
      <c r="C7" s="1"/>
      <c r="D7" s="50"/>
      <c r="E7" s="50"/>
      <c r="F7" s="50"/>
      <c r="G7" s="34"/>
      <c r="H7" s="34"/>
      <c r="I7" s="34"/>
      <c r="J7" s="34"/>
      <c r="K7" s="34"/>
      <c r="L7" s="34"/>
      <c r="M7" s="4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</row>
    <row r="8" spans="3:36" x14ac:dyDescent="0.2">
      <c r="C8" s="1"/>
      <c r="D8" s="34"/>
      <c r="E8" s="34"/>
      <c r="F8" s="112"/>
      <c r="G8" s="34"/>
      <c r="H8" s="34"/>
      <c r="I8" s="34"/>
      <c r="J8" s="34"/>
      <c r="K8" s="34"/>
      <c r="L8" s="4"/>
      <c r="M8" s="4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</row>
    <row r="9" spans="3:36" x14ac:dyDescent="0.2">
      <c r="C9" s="1"/>
      <c r="D9" s="34"/>
      <c r="E9" s="34"/>
      <c r="F9" s="99" t="s">
        <v>348</v>
      </c>
      <c r="G9" s="34"/>
      <c r="H9" s="34"/>
      <c r="I9" s="34"/>
      <c r="J9" s="34"/>
      <c r="K9" s="34"/>
      <c r="L9" s="4"/>
      <c r="M9" s="4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</row>
    <row r="10" spans="3:36" x14ac:dyDescent="0.2">
      <c r="C10" s="1"/>
      <c r="D10" s="34"/>
      <c r="E10" s="34"/>
      <c r="F10" s="113" t="s">
        <v>349</v>
      </c>
      <c r="G10" s="34" t="s">
        <v>350</v>
      </c>
      <c r="H10" s="34"/>
      <c r="I10" s="34"/>
      <c r="J10" s="34"/>
      <c r="K10" s="34"/>
      <c r="L10" s="4"/>
      <c r="M10" s="4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</row>
    <row r="11" spans="3:36" x14ac:dyDescent="0.2">
      <c r="C11" s="1"/>
      <c r="D11" s="34"/>
      <c r="E11" s="34"/>
      <c r="F11" s="34"/>
      <c r="G11" s="34"/>
      <c r="H11" s="34"/>
      <c r="I11" s="34"/>
      <c r="J11" s="34"/>
      <c r="K11" s="34"/>
      <c r="L11" s="4"/>
      <c r="M11" s="4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</row>
    <row r="12" spans="3:36" x14ac:dyDescent="0.2">
      <c r="C12" s="1"/>
      <c r="D12" s="50"/>
      <c r="E12" s="241" t="s">
        <v>351</v>
      </c>
      <c r="F12" s="202"/>
      <c r="G12" s="114" t="str">
        <f>IF(F12&lt;&gt;"",3,"")</f>
        <v/>
      </c>
      <c r="H12" s="239" t="s">
        <v>495</v>
      </c>
      <c r="I12" s="34"/>
      <c r="J12" s="34"/>
      <c r="K12" s="34"/>
      <c r="L12" s="4"/>
      <c r="M12" s="4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</row>
    <row r="13" spans="3:36" x14ac:dyDescent="0.2">
      <c r="C13" s="1"/>
      <c r="D13" s="34"/>
      <c r="E13" s="242"/>
      <c r="F13" s="4"/>
      <c r="G13" s="116"/>
      <c r="H13" s="240" t="s">
        <v>496</v>
      </c>
      <c r="I13" s="34"/>
      <c r="J13" s="34"/>
      <c r="K13" s="34"/>
      <c r="L13" s="4"/>
      <c r="M13" s="4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</row>
    <row r="14" spans="3:36" x14ac:dyDescent="0.2">
      <c r="C14" s="1"/>
      <c r="D14" s="34"/>
      <c r="E14" s="242"/>
      <c r="F14" s="4"/>
      <c r="G14" s="116"/>
      <c r="H14" s="240" t="s">
        <v>497</v>
      </c>
      <c r="I14" s="34"/>
      <c r="J14" s="34"/>
      <c r="K14" s="34"/>
      <c r="L14" s="4"/>
      <c r="M14" s="4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</row>
    <row r="15" spans="3:36" x14ac:dyDescent="0.2">
      <c r="C15" s="1"/>
      <c r="D15" s="34"/>
      <c r="E15" s="242"/>
      <c r="F15" s="4"/>
      <c r="G15" s="116"/>
      <c r="H15" s="240"/>
      <c r="I15" s="34"/>
      <c r="J15" s="34"/>
      <c r="K15" s="34"/>
      <c r="L15" s="4"/>
      <c r="M15" s="4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</row>
    <row r="16" spans="3:36" x14ac:dyDescent="0.2">
      <c r="C16" s="1"/>
      <c r="D16" s="34"/>
      <c r="E16" s="243"/>
      <c r="F16" s="4"/>
      <c r="G16" s="116"/>
      <c r="H16" s="154"/>
      <c r="I16" s="34"/>
      <c r="J16" s="34"/>
      <c r="K16" s="34"/>
      <c r="L16" s="4"/>
      <c r="M16" s="4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</row>
    <row r="17" spans="3:36" x14ac:dyDescent="0.2">
      <c r="C17" s="1"/>
      <c r="D17" s="34"/>
      <c r="E17" s="241" t="s">
        <v>524</v>
      </c>
      <c r="F17" s="202"/>
      <c r="G17" s="114" t="str">
        <f>IF(F17&lt;&gt;"",2,"")</f>
        <v/>
      </c>
      <c r="H17" s="244" t="s">
        <v>315</v>
      </c>
      <c r="I17" s="34"/>
      <c r="J17" s="34"/>
      <c r="K17" s="34"/>
      <c r="L17" s="4"/>
      <c r="M17" s="4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</row>
    <row r="18" spans="3:36" x14ac:dyDescent="0.2">
      <c r="C18" s="1"/>
      <c r="D18" s="34"/>
      <c r="E18" s="241" t="s">
        <v>318</v>
      </c>
      <c r="F18" s="503"/>
      <c r="G18" s="114" t="str">
        <f>IF(F18&lt;&gt;"",5,"")</f>
        <v/>
      </c>
      <c r="H18" s="244" t="s">
        <v>315</v>
      </c>
      <c r="I18" s="34"/>
      <c r="J18" s="34"/>
      <c r="K18" s="34"/>
      <c r="L18" s="4"/>
      <c r="M18" s="4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</row>
    <row r="19" spans="3:36" x14ac:dyDescent="0.2">
      <c r="C19" s="1"/>
      <c r="D19" s="34"/>
      <c r="E19" s="242"/>
      <c r="F19" s="1"/>
      <c r="G19" s="34"/>
      <c r="H19" s="34"/>
      <c r="I19" s="34"/>
      <c r="J19" s="34"/>
      <c r="K19" s="34"/>
      <c r="L19" s="4"/>
      <c r="M19" s="4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</row>
    <row r="20" spans="3:36" x14ac:dyDescent="0.2">
      <c r="C20" s="4"/>
      <c r="D20" s="4"/>
      <c r="E20" s="38"/>
      <c r="F20" s="38" t="s">
        <v>490</v>
      </c>
      <c r="G20" s="117">
        <f>SUM(G12,G17:G18)</f>
        <v>0</v>
      </c>
      <c r="H20" s="34"/>
      <c r="I20" s="34"/>
      <c r="J20" s="34"/>
      <c r="K20" s="34"/>
      <c r="L20" s="4"/>
      <c r="M20" s="4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</row>
    <row r="21" spans="3:36" x14ac:dyDescent="0.2">
      <c r="C21" s="4"/>
      <c r="D21" s="4"/>
      <c r="E21" s="4"/>
      <c r="F21" s="4"/>
      <c r="G21" s="4"/>
      <c r="H21" s="34"/>
      <c r="I21" s="34"/>
      <c r="J21" s="34"/>
      <c r="K21" s="34"/>
      <c r="L21" s="4"/>
      <c r="M21" s="4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</row>
    <row r="22" spans="3:36" x14ac:dyDescent="0.2">
      <c r="C22" s="4"/>
      <c r="D22" s="4"/>
      <c r="E22" s="4"/>
      <c r="F22" s="4"/>
      <c r="G22" s="4"/>
      <c r="H22" s="34"/>
      <c r="I22" s="34"/>
      <c r="J22" s="34"/>
      <c r="K22" s="34"/>
      <c r="L22" s="4"/>
      <c r="M22" s="4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</row>
    <row r="23" spans="3:36" x14ac:dyDescent="0.2">
      <c r="C23" s="115" t="s">
        <v>405</v>
      </c>
      <c r="D23" s="34"/>
      <c r="E23" s="34"/>
      <c r="F23" s="87"/>
      <c r="G23" s="64"/>
      <c r="H23" s="495"/>
      <c r="I23" s="34"/>
      <c r="J23" s="34"/>
      <c r="K23" s="34"/>
      <c r="L23" s="34"/>
      <c r="M23" s="34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</row>
    <row r="24" spans="3:36" x14ac:dyDescent="0.2">
      <c r="C24" s="115"/>
      <c r="D24" s="34"/>
      <c r="E24" s="34"/>
      <c r="F24" s="87"/>
      <c r="G24" s="64"/>
      <c r="H24" s="495"/>
      <c r="I24" s="34"/>
      <c r="J24" s="34"/>
      <c r="K24" s="34"/>
      <c r="L24" s="34"/>
      <c r="M24" s="34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</row>
    <row r="25" spans="3:36" x14ac:dyDescent="0.2">
      <c r="C25" s="1"/>
      <c r="D25" s="118">
        <v>1</v>
      </c>
      <c r="E25" s="82" t="s">
        <v>320</v>
      </c>
      <c r="F25" s="50"/>
      <c r="G25" s="34"/>
      <c r="H25" s="4"/>
      <c r="I25" s="34"/>
      <c r="J25" s="34"/>
      <c r="K25" s="34"/>
      <c r="L25" s="34"/>
      <c r="M25" s="34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</row>
    <row r="26" spans="3:36" ht="12.75" customHeight="1" x14ac:dyDescent="0.2">
      <c r="C26" s="50"/>
      <c r="D26" s="118">
        <v>2</v>
      </c>
      <c r="E26" s="82" t="s">
        <v>322</v>
      </c>
      <c r="F26" s="50"/>
      <c r="G26" s="34"/>
      <c r="H26" s="4"/>
      <c r="I26" s="34"/>
      <c r="J26" s="34"/>
      <c r="K26" s="34"/>
      <c r="L26" s="34"/>
      <c r="M26" s="34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</row>
    <row r="27" spans="3:36" x14ac:dyDescent="0.2">
      <c r="C27" s="50"/>
      <c r="D27" s="118"/>
      <c r="E27" s="82"/>
      <c r="F27" s="50"/>
      <c r="G27" s="34"/>
      <c r="H27" s="4"/>
      <c r="I27" s="34"/>
      <c r="J27" s="34"/>
      <c r="K27" s="34"/>
      <c r="L27" s="34"/>
      <c r="M27" s="34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</row>
    <row r="28" spans="3:36" x14ac:dyDescent="0.2">
      <c r="C28" s="50"/>
      <c r="D28" s="34"/>
      <c r="E28" s="82"/>
      <c r="F28" s="50"/>
      <c r="G28" s="34"/>
      <c r="H28" s="4"/>
      <c r="I28" s="34"/>
      <c r="J28" s="34"/>
      <c r="K28" s="34"/>
      <c r="L28" s="34"/>
      <c r="M28" s="34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</row>
    <row r="29" spans="3:36" x14ac:dyDescent="0.2">
      <c r="C29" s="1"/>
      <c r="D29" s="119" t="s">
        <v>325</v>
      </c>
      <c r="E29" s="50"/>
      <c r="F29" s="87"/>
      <c r="G29" s="251"/>
      <c r="H29" s="1"/>
      <c r="I29" s="35"/>
      <c r="J29" s="34"/>
      <c r="K29" s="34"/>
      <c r="L29" s="34"/>
      <c r="M29" s="34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</row>
    <row r="30" spans="3:36" x14ac:dyDescent="0.2">
      <c r="C30" s="1"/>
      <c r="D30" s="119"/>
      <c r="E30" s="50"/>
      <c r="F30" s="87"/>
      <c r="G30" s="120"/>
      <c r="H30" s="1"/>
      <c r="I30" s="35"/>
      <c r="J30" s="34"/>
      <c r="K30" s="34"/>
      <c r="L30" s="34"/>
      <c r="M30" s="34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</row>
    <row r="31" spans="3:36" x14ac:dyDescent="0.2">
      <c r="C31" s="1"/>
      <c r="D31" s="119"/>
      <c r="E31" s="565" t="s">
        <v>498</v>
      </c>
      <c r="F31" s="565"/>
      <c r="G31" s="565"/>
      <c r="H31" s="1"/>
      <c r="I31" s="35"/>
      <c r="J31" s="34"/>
      <c r="K31" s="34"/>
      <c r="L31" s="34"/>
      <c r="M31" s="34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</row>
    <row r="32" spans="3:36" x14ac:dyDescent="0.2">
      <c r="C32" s="1"/>
      <c r="D32" s="50" t="s">
        <v>327</v>
      </c>
      <c r="E32" s="121"/>
      <c r="F32" s="122"/>
      <c r="G32" s="245" t="s">
        <v>328</v>
      </c>
      <c r="H32" s="246"/>
      <c r="I32" s="246"/>
      <c r="J32" s="34"/>
      <c r="K32" s="34"/>
      <c r="L32" s="34"/>
      <c r="M32" s="4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</row>
    <row r="33" spans="3:36" x14ac:dyDescent="0.2">
      <c r="C33" s="1"/>
      <c r="D33" s="50" t="s">
        <v>329</v>
      </c>
      <c r="E33" s="86"/>
      <c r="F33" s="122"/>
      <c r="G33" s="245" t="s">
        <v>330</v>
      </c>
      <c r="H33" s="246"/>
      <c r="I33" s="246"/>
      <c r="J33" s="34"/>
      <c r="K33" s="34"/>
      <c r="L33" s="34"/>
      <c r="M33" s="4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</row>
    <row r="34" spans="3:36" ht="15" x14ac:dyDescent="0.2">
      <c r="C34" s="1"/>
      <c r="D34" s="34" t="s">
        <v>332</v>
      </c>
      <c r="E34" s="50"/>
      <c r="F34" s="122"/>
      <c r="G34" s="245" t="s">
        <v>491</v>
      </c>
      <c r="H34" s="247"/>
      <c r="I34" s="247"/>
      <c r="J34" s="34"/>
      <c r="K34" s="34"/>
      <c r="L34" s="34"/>
      <c r="M34" s="4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</row>
    <row r="35" spans="3:36" x14ac:dyDescent="0.2">
      <c r="C35" s="1"/>
      <c r="D35" s="50" t="s">
        <v>333</v>
      </c>
      <c r="E35" s="50"/>
      <c r="F35" s="122"/>
      <c r="G35" s="245" t="s">
        <v>492</v>
      </c>
      <c r="H35" s="247"/>
      <c r="I35" s="247"/>
      <c r="J35" s="34"/>
      <c r="K35" s="34"/>
      <c r="L35" s="34"/>
      <c r="M35" s="4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</row>
    <row r="36" spans="3:36" ht="15" x14ac:dyDescent="0.2">
      <c r="C36" s="1"/>
      <c r="D36" s="36" t="s">
        <v>335</v>
      </c>
      <c r="E36" s="86"/>
      <c r="F36" s="122"/>
      <c r="G36" s="245" t="s">
        <v>493</v>
      </c>
      <c r="H36" s="247"/>
      <c r="I36" s="247"/>
      <c r="J36" s="34"/>
      <c r="K36" s="34"/>
      <c r="L36" s="34"/>
      <c r="M36" s="4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</row>
    <row r="37" spans="3:36" x14ac:dyDescent="0.2">
      <c r="C37" s="1"/>
      <c r="D37" s="36" t="s">
        <v>336</v>
      </c>
      <c r="E37" s="86"/>
      <c r="F37" s="122"/>
      <c r="G37" s="245" t="s">
        <v>494</v>
      </c>
      <c r="H37" s="247"/>
      <c r="I37" s="247"/>
      <c r="J37" s="34"/>
      <c r="K37" s="34"/>
      <c r="L37" s="34"/>
      <c r="M37" s="4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</row>
    <row r="38" spans="3:36" x14ac:dyDescent="0.2">
      <c r="C38" s="1"/>
      <c r="D38" s="36" t="s">
        <v>337</v>
      </c>
      <c r="E38" s="34"/>
      <c r="F38" s="122"/>
      <c r="G38" s="245" t="s">
        <v>338</v>
      </c>
      <c r="H38" s="247"/>
      <c r="I38" s="247"/>
      <c r="J38" s="34"/>
      <c r="K38" s="34"/>
      <c r="L38" s="34"/>
      <c r="M38" s="4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</row>
    <row r="39" spans="3:36" x14ac:dyDescent="0.2">
      <c r="C39" s="1"/>
      <c r="D39" s="36" t="s">
        <v>339</v>
      </c>
      <c r="E39" s="50"/>
      <c r="F39" s="122"/>
      <c r="G39" s="245" t="s">
        <v>340</v>
      </c>
      <c r="H39" s="248"/>
      <c r="I39" s="248"/>
      <c r="J39" s="34"/>
      <c r="K39" s="34"/>
      <c r="L39" s="34"/>
      <c r="M39" s="4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</row>
    <row r="40" spans="3:36" x14ac:dyDescent="0.2">
      <c r="C40" s="1"/>
      <c r="D40" s="36"/>
      <c r="E40" s="34"/>
      <c r="F40" s="123">
        <f>SUM(F32:F39)</f>
        <v>0</v>
      </c>
      <c r="G40" s="249" t="s">
        <v>31</v>
      </c>
      <c r="H40" s="250" t="e">
        <f>F40/'3R RATING SUMMARY'!E6</f>
        <v>#DIV/0!</v>
      </c>
      <c r="I40" s="247" t="s">
        <v>341</v>
      </c>
      <c r="J40" s="34"/>
      <c r="K40" s="34"/>
      <c r="L40" s="99"/>
      <c r="M40" s="6"/>
      <c r="N40" s="237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</row>
    <row r="41" spans="3:36" x14ac:dyDescent="0.2">
      <c r="C41" s="251"/>
      <c r="D41" s="4"/>
      <c r="E41" s="38"/>
      <c r="F41" s="4"/>
      <c r="G41" s="252"/>
      <c r="H41" s="253"/>
      <c r="I41" s="6"/>
      <c r="J41" s="254"/>
      <c r="K41" s="4"/>
      <c r="L41" s="4"/>
      <c r="M41" s="4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</row>
    <row r="42" spans="3:36" x14ac:dyDescent="0.2">
      <c r="C42" s="251"/>
      <c r="D42" s="4"/>
      <c r="E42" s="4"/>
      <c r="F42" s="4"/>
      <c r="G42" s="4"/>
      <c r="H42" s="4"/>
      <c r="I42" s="4"/>
      <c r="J42" s="253"/>
      <c r="K42" s="4"/>
      <c r="L42" s="4"/>
      <c r="M42" s="4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</row>
    <row r="43" spans="3:36" x14ac:dyDescent="0.2">
      <c r="C43" s="251"/>
      <c r="D43" s="36"/>
      <c r="E43" s="36"/>
      <c r="F43" s="255"/>
      <c r="G43" s="495"/>
      <c r="H43" s="256"/>
      <c r="I43" s="4"/>
      <c r="J43" s="253"/>
      <c r="K43" s="4"/>
      <c r="L43" s="4"/>
      <c r="M43" s="4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</row>
    <row r="44" spans="3:36" x14ac:dyDescent="0.2">
      <c r="C44" s="251"/>
      <c r="D44" s="36"/>
      <c r="E44" s="36"/>
      <c r="F44" s="255"/>
      <c r="G44" s="495"/>
      <c r="H44" s="256"/>
      <c r="I44" s="4"/>
      <c r="J44" s="4"/>
      <c r="K44" s="4"/>
      <c r="L44" s="4"/>
      <c r="M44" s="4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</row>
    <row r="45" spans="3:36" x14ac:dyDescent="0.2"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</row>
    <row r="46" spans="3:36" x14ac:dyDescent="0.2"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</row>
    <row r="47" spans="3:36" x14ac:dyDescent="0.2"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</row>
    <row r="48" spans="3:36" x14ac:dyDescent="0.2"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</row>
    <row r="49" spans="4:36" x14ac:dyDescent="0.2"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</row>
    <row r="50" spans="4:36" x14ac:dyDescent="0.2"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</row>
    <row r="51" spans="4:36" x14ac:dyDescent="0.2"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</row>
    <row r="52" spans="4:36" x14ac:dyDescent="0.2"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</row>
    <row r="53" spans="4:36" x14ac:dyDescent="0.2"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</row>
    <row r="54" spans="4:36" x14ac:dyDescent="0.2"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</row>
  </sheetData>
  <sheetProtection password="EC65" sheet="1" objects="1" scenarios="1" selectLockedCells="1"/>
  <mergeCells count="1">
    <mergeCell ref="E31:G3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8"/>
  <sheetViews>
    <sheetView workbookViewId="0">
      <selection activeCell="J19" sqref="J19"/>
    </sheetView>
  </sheetViews>
  <sheetFormatPr defaultRowHeight="15" x14ac:dyDescent="0.2"/>
  <cols>
    <col min="1" max="1" width="3.28515625" style="25" customWidth="1"/>
    <col min="2" max="2" width="12" style="25" customWidth="1"/>
    <col min="3" max="3" width="3.7109375" style="25" customWidth="1"/>
    <col min="4" max="4" width="4.140625" style="25" customWidth="1"/>
    <col min="5" max="11" width="9.140625" style="25"/>
    <col min="12" max="12" width="3.28515625" style="25" customWidth="1"/>
    <col min="13" max="16384" width="9.140625" style="25"/>
  </cols>
  <sheetData>
    <row r="1" spans="1:12" ht="18.75" x14ac:dyDescent="0.3">
      <c r="A1" s="566" t="s">
        <v>255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8.75" x14ac:dyDescent="0.3">
      <c r="A2" s="566" t="s">
        <v>256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ht="18.75" customHeight="1" x14ac:dyDescent="0.25">
      <c r="A3" s="567" t="s">
        <v>257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7" spans="1:12" x14ac:dyDescent="0.2">
      <c r="A7" s="25" t="s">
        <v>258</v>
      </c>
      <c r="D7" s="568"/>
      <c r="E7" s="568"/>
      <c r="F7" s="568"/>
    </row>
    <row r="8" spans="1:12" x14ac:dyDescent="0.2">
      <c r="A8" s="25" t="s">
        <v>259</v>
      </c>
      <c r="D8" s="568"/>
      <c r="E8" s="568"/>
      <c r="F8" s="568"/>
      <c r="G8" s="568"/>
      <c r="H8" s="568"/>
    </row>
    <row r="9" spans="1:12" x14ac:dyDescent="0.2">
      <c r="A9" s="25" t="s">
        <v>260</v>
      </c>
      <c r="D9" s="571"/>
      <c r="E9" s="571"/>
      <c r="F9" s="571"/>
    </row>
    <row r="13" spans="1:12" x14ac:dyDescent="0.2">
      <c r="A13" s="25" t="s">
        <v>261</v>
      </c>
    </row>
    <row r="14" spans="1:12" x14ac:dyDescent="0.2">
      <c r="A14" s="25" t="s">
        <v>262</v>
      </c>
      <c r="E14" s="572"/>
      <c r="F14" s="572"/>
      <c r="G14" s="25" t="s">
        <v>263</v>
      </c>
    </row>
    <row r="15" spans="1:12" x14ac:dyDescent="0.2">
      <c r="A15" s="25" t="s">
        <v>264</v>
      </c>
    </row>
    <row r="17" spans="1:2" x14ac:dyDescent="0.2">
      <c r="A17" s="25" t="s">
        <v>265</v>
      </c>
    </row>
    <row r="18" spans="1:2" x14ac:dyDescent="0.2">
      <c r="A18" s="25" t="s">
        <v>266</v>
      </c>
    </row>
    <row r="20" spans="1:2" x14ac:dyDescent="0.2">
      <c r="B20" s="25" t="s">
        <v>267</v>
      </c>
    </row>
    <row r="21" spans="1:2" x14ac:dyDescent="0.2">
      <c r="B21" s="25" t="s">
        <v>268</v>
      </c>
    </row>
    <row r="22" spans="1:2" x14ac:dyDescent="0.2">
      <c r="B22" s="25" t="s">
        <v>269</v>
      </c>
    </row>
    <row r="23" spans="1:2" x14ac:dyDescent="0.2">
      <c r="B23" s="25" t="s">
        <v>270</v>
      </c>
    </row>
    <row r="24" spans="1:2" x14ac:dyDescent="0.2">
      <c r="B24" s="25" t="s">
        <v>271</v>
      </c>
    </row>
    <row r="25" spans="1:2" x14ac:dyDescent="0.2">
      <c r="B25" s="25" t="s">
        <v>272</v>
      </c>
    </row>
    <row r="27" spans="1:2" x14ac:dyDescent="0.2">
      <c r="A27" s="25" t="s">
        <v>273</v>
      </c>
    </row>
    <row r="29" spans="1:2" x14ac:dyDescent="0.2">
      <c r="B29" s="25" t="s">
        <v>274</v>
      </c>
    </row>
    <row r="30" spans="1:2" x14ac:dyDescent="0.2">
      <c r="B30" s="25" t="s">
        <v>275</v>
      </c>
    </row>
    <row r="31" spans="1:2" x14ac:dyDescent="0.2">
      <c r="B31" s="25" t="s">
        <v>276</v>
      </c>
    </row>
    <row r="32" spans="1:2" x14ac:dyDescent="0.2">
      <c r="B32" s="25" t="s">
        <v>277</v>
      </c>
    </row>
    <row r="33" spans="1:12" x14ac:dyDescent="0.2">
      <c r="B33" s="25" t="s">
        <v>278</v>
      </c>
    </row>
    <row r="34" spans="1:12" x14ac:dyDescent="0.2">
      <c r="B34" s="25" t="s">
        <v>279</v>
      </c>
    </row>
    <row r="35" spans="1:12" x14ac:dyDescent="0.2">
      <c r="B35" s="25" t="s">
        <v>280</v>
      </c>
    </row>
    <row r="37" spans="1:12" x14ac:dyDescent="0.2">
      <c r="A37" s="26" t="s">
        <v>281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6" t="s">
        <v>282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6" t="s">
        <v>283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4" spans="1:12" x14ac:dyDescent="0.2">
      <c r="A44" s="572"/>
      <c r="B44" s="572"/>
      <c r="C44" s="572"/>
      <c r="D44" s="572"/>
      <c r="E44" s="572"/>
      <c r="H44" s="573"/>
      <c r="I44" s="573"/>
    </row>
    <row r="45" spans="1:12" x14ac:dyDescent="0.2">
      <c r="A45" s="569" t="s">
        <v>284</v>
      </c>
      <c r="B45" s="569"/>
      <c r="C45" s="569"/>
      <c r="D45" s="569"/>
      <c r="E45" s="569"/>
      <c r="H45" s="570" t="s">
        <v>285</v>
      </c>
      <c r="I45" s="570"/>
    </row>
    <row r="47" spans="1:12" x14ac:dyDescent="0.2">
      <c r="A47" s="28" t="s">
        <v>286</v>
      </c>
      <c r="B47" s="28"/>
    </row>
    <row r="48" spans="1:12" x14ac:dyDescent="0.2">
      <c r="A48" s="28"/>
      <c r="B48" s="28"/>
    </row>
  </sheetData>
  <sheetProtection selectLockedCells="1"/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0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3R RATING SUMMARY</vt:lpstr>
      <vt:lpstr>Traffic &amp; Accidents</vt:lpstr>
      <vt:lpstr>Structure</vt:lpstr>
      <vt:lpstr>ITN and DTN Graph</vt:lpstr>
      <vt:lpstr>Geometry</vt:lpstr>
      <vt:lpstr>3R Checklist</vt:lpstr>
      <vt:lpstr>Engineer's 3R letter</vt:lpstr>
      <vt:lpstr>'3R Checklist'!Print_Area</vt:lpstr>
      <vt:lpstr>'3R RATING SUMMARY'!Print_Area</vt:lpstr>
      <vt:lpstr>Geometry!Print_Area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Randy Hart</cp:lastModifiedBy>
  <cp:lastPrinted>2020-02-20T00:33:05Z</cp:lastPrinted>
  <dcterms:created xsi:type="dcterms:W3CDTF">1998-08-03T15:36:13Z</dcterms:created>
  <dcterms:modified xsi:type="dcterms:W3CDTF">2020-02-20T00:33:54Z</dcterms:modified>
</cp:coreProperties>
</file>